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xl/embeddings/oleObject202.bin" ContentType="application/vnd.openxmlformats-officedocument.oleObject"/>
  <Override PartName="/xl/embeddings/oleObject203.bin" ContentType="application/vnd.openxmlformats-officedocument.oleObject"/>
  <Override PartName="/xl/embeddings/oleObject204.bin" ContentType="application/vnd.openxmlformats-officedocument.oleObject"/>
  <Override PartName="/xl/embeddings/oleObject205.bin" ContentType="application/vnd.openxmlformats-officedocument.oleObject"/>
  <Override PartName="/xl/embeddings/oleObject206.bin" ContentType="application/vnd.openxmlformats-officedocument.oleObject"/>
  <Override PartName="/xl/embeddings/oleObject207.bin" ContentType="application/vnd.openxmlformats-officedocument.oleObject"/>
  <Override PartName="/xl/embeddings/oleObject208.bin" ContentType="application/vnd.openxmlformats-officedocument.oleObject"/>
  <Override PartName="/xl/embeddings/oleObject209.bin" ContentType="application/vnd.openxmlformats-officedocument.oleObject"/>
  <Override PartName="/xl/embeddings/oleObject210.bin" ContentType="application/vnd.openxmlformats-officedocument.oleObject"/>
  <Override PartName="/xl/embeddings/oleObject211.bin" ContentType="application/vnd.openxmlformats-officedocument.oleObject"/>
  <Override PartName="/xl/embeddings/oleObject212.bin" ContentType="application/vnd.openxmlformats-officedocument.oleObject"/>
  <Override PartName="/xl/embeddings/oleObject213.bin" ContentType="application/vnd.openxmlformats-officedocument.oleObject"/>
  <Override PartName="/xl/embeddings/oleObject214.bin" ContentType="application/vnd.openxmlformats-officedocument.oleObject"/>
  <Override PartName="/xl/embeddings/oleObject215.bin" ContentType="application/vnd.openxmlformats-officedocument.oleObject"/>
  <Override PartName="/xl/embeddings/oleObject216.bin" ContentType="application/vnd.openxmlformats-officedocument.oleObject"/>
  <Override PartName="/xl/embeddings/oleObject217.bin" ContentType="application/vnd.openxmlformats-officedocument.oleObject"/>
  <Override PartName="/xl/embeddings/oleObject218.bin" ContentType="application/vnd.openxmlformats-officedocument.oleObject"/>
  <Override PartName="/xl/embeddings/oleObject219.bin" ContentType="application/vnd.openxmlformats-officedocument.oleObject"/>
  <Override PartName="/xl/embeddings/oleObject220.bin" ContentType="application/vnd.openxmlformats-officedocument.oleObject"/>
  <Override PartName="/xl/embeddings/oleObject221.bin" ContentType="application/vnd.openxmlformats-officedocument.oleObject"/>
  <Override PartName="/xl/embeddings/oleObject222.bin" ContentType="application/vnd.openxmlformats-officedocument.oleObject"/>
  <Override PartName="/xl/embeddings/oleObject223.bin" ContentType="application/vnd.openxmlformats-officedocument.oleObject"/>
  <Override PartName="/xl/embeddings/oleObject224.bin" ContentType="application/vnd.openxmlformats-officedocument.oleObject"/>
  <Override PartName="/xl/embeddings/oleObject225.bin" ContentType="application/vnd.openxmlformats-officedocument.oleObject"/>
  <Override PartName="/xl/embeddings/oleObject226.bin" ContentType="application/vnd.openxmlformats-officedocument.oleObject"/>
  <Override PartName="/xl/embeddings/oleObject227.bin" ContentType="application/vnd.openxmlformats-officedocument.oleObject"/>
  <Override PartName="/xl/embeddings/oleObject228.bin" ContentType="application/vnd.openxmlformats-officedocument.oleObject"/>
  <Override PartName="/xl/embeddings/oleObject229.bin" ContentType="application/vnd.openxmlformats-officedocument.oleObject"/>
  <Override PartName="/xl/embeddings/oleObject230.bin" ContentType="application/vnd.openxmlformats-officedocument.oleObject"/>
  <Override PartName="/xl/embeddings/oleObject231.bin" ContentType="application/vnd.openxmlformats-officedocument.oleObject"/>
  <Override PartName="/xl/embeddings/oleObject232.bin" ContentType="application/vnd.openxmlformats-officedocument.oleObject"/>
  <Override PartName="/xl/embeddings/oleObject233.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xl/embeddings/oleObject234.bin" ContentType="application/vnd.openxmlformats-officedocument.oleObject"/>
  <Override PartName="/xl/embeddings/oleObject235.bin" ContentType="application/vnd.openxmlformats-officedocument.oleObject"/>
  <Override PartName="/xl/embeddings/oleObject236.bin" ContentType="application/vnd.openxmlformats-officedocument.oleObject"/>
  <Override PartName="/xl/embeddings/oleObject237.bin" ContentType="application/vnd.openxmlformats-officedocument.oleObject"/>
  <Override PartName="/xl/embeddings/oleObject238.bin" ContentType="application/vnd.openxmlformats-officedocument.oleObject"/>
  <Override PartName="/xl/embeddings/oleObject239.bin" ContentType="application/vnd.openxmlformats-officedocument.oleObject"/>
  <Override PartName="/xl/embeddings/oleObject240.bin" ContentType="application/vnd.openxmlformats-officedocument.oleObject"/>
  <Override PartName="/xl/embeddings/oleObject241.bin" ContentType="application/vnd.openxmlformats-officedocument.oleObject"/>
  <Override PartName="/xl/embeddings/oleObject242.bin" ContentType="application/vnd.openxmlformats-officedocument.oleObject"/>
  <Override PartName="/xl/embeddings/oleObject243.bin" ContentType="application/vnd.openxmlformats-officedocument.oleObject"/>
  <Override PartName="/xl/embeddings/oleObject244.bin" ContentType="application/vnd.openxmlformats-officedocument.oleObject"/>
  <Override PartName="/xl/embeddings/oleObject245.bin" ContentType="application/vnd.openxmlformats-officedocument.oleObject"/>
  <Override PartName="/xl/embeddings/oleObject246.bin" ContentType="application/vnd.openxmlformats-officedocument.oleObject"/>
  <Override PartName="/xl/embeddings/oleObject247.bin" ContentType="application/vnd.openxmlformats-officedocument.oleObject"/>
  <Override PartName="/xl/embeddings/oleObject248.bin" ContentType="application/vnd.openxmlformats-officedocument.oleObject"/>
  <Override PartName="/xl/embeddings/oleObject249.bin" ContentType="application/vnd.openxmlformats-officedocument.oleObject"/>
  <Override PartName="/xl/embeddings/oleObject250.bin" ContentType="application/vnd.openxmlformats-officedocument.oleObject"/>
  <Override PartName="/xl/embeddings/oleObject251.bin" ContentType="application/vnd.openxmlformats-officedocument.oleObject"/>
  <Override PartName="/xl/embeddings/oleObject252.bin" ContentType="application/vnd.openxmlformats-officedocument.oleObject"/>
  <Override PartName="/xl/embeddings/oleObject253.bin" ContentType="application/vnd.openxmlformats-officedocument.oleObject"/>
  <Override PartName="/xl/embeddings/oleObject254.bin" ContentType="application/vnd.openxmlformats-officedocument.oleObject"/>
  <Override PartName="/xl/embeddings/oleObject255.bin" ContentType="application/vnd.openxmlformats-officedocument.oleObject"/>
  <Override PartName="/xl/embeddings/oleObject256.bin" ContentType="application/vnd.openxmlformats-officedocument.oleObject"/>
  <Override PartName="/xl/embeddings/oleObject257.bin" ContentType="application/vnd.openxmlformats-officedocument.oleObject"/>
  <Override PartName="/xl/embeddings/oleObject258.bin" ContentType="application/vnd.openxmlformats-officedocument.oleObject"/>
  <Override PartName="/xl/embeddings/oleObject259.bin" ContentType="application/vnd.openxmlformats-officedocument.oleObject"/>
  <Override PartName="/xl/embeddings/oleObject260.bin" ContentType="application/vnd.openxmlformats-officedocument.oleObject"/>
  <Override PartName="/xl/embeddings/oleObject261.bin" ContentType="application/vnd.openxmlformats-officedocument.oleObject"/>
  <Override PartName="/xl/embeddings/oleObject262.bin" ContentType="application/vnd.openxmlformats-officedocument.oleObject"/>
  <Override PartName="/xl/embeddings/oleObject263.bin" ContentType="application/vnd.openxmlformats-officedocument.oleObject"/>
  <Override PartName="/xl/embeddings/oleObject264.bin" ContentType="application/vnd.openxmlformats-officedocument.oleObject"/>
  <Override PartName="/xl/embeddings/oleObject265.bin" ContentType="application/vnd.openxmlformats-officedocument.oleObject"/>
  <Override PartName="/xl/embeddings/oleObject266.bin" ContentType="application/vnd.openxmlformats-officedocument.oleObject"/>
  <Override PartName="/xl/embeddings/oleObject267.bin" ContentType="application/vnd.openxmlformats-officedocument.oleObject"/>
  <Override PartName="/xl/embeddings/oleObject268.bin" ContentType="application/vnd.openxmlformats-officedocument.oleObject"/>
  <Override PartName="/xl/embeddings/oleObject269.bin" ContentType="application/vnd.openxmlformats-officedocument.oleObject"/>
  <Override PartName="/xl/embeddings/oleObject270.bin" ContentType="application/vnd.openxmlformats-officedocument.oleObject"/>
  <Override PartName="/xl/embeddings/oleObject271.bin" ContentType="application/vnd.openxmlformats-officedocument.oleObject"/>
  <Override PartName="/xl/embeddings/oleObject272.bin" ContentType="application/vnd.openxmlformats-officedocument.oleObject"/>
  <Override PartName="/xl/embeddings/oleObject273.bin" ContentType="application/vnd.openxmlformats-officedocument.oleObject"/>
  <Override PartName="/xl/embeddings/oleObject274.bin" ContentType="application/vnd.openxmlformats-officedocument.oleObject"/>
  <Override PartName="/xl/embeddings/oleObject275.bin" ContentType="application/vnd.openxmlformats-officedocument.oleObject"/>
  <Override PartName="/xl/embeddings/oleObject276.bin" ContentType="application/vnd.openxmlformats-officedocument.oleObject"/>
  <Override PartName="/xl/embeddings/oleObject277.bin" ContentType="application/vnd.openxmlformats-officedocument.oleObject"/>
  <Override PartName="/xl/embeddings/oleObject278.bin" ContentType="application/vnd.openxmlformats-officedocument.oleObject"/>
  <Override PartName="/xl/embeddings/oleObject279.bin" ContentType="application/vnd.openxmlformats-officedocument.oleObject"/>
  <Override PartName="/xl/embeddings/oleObject280.bin" ContentType="application/vnd.openxmlformats-officedocument.oleObject"/>
  <Override PartName="/xl/embeddings/oleObject281.bin" ContentType="application/vnd.openxmlformats-officedocument.oleObject"/>
  <Override PartName="/xl/embeddings/oleObject282.bin" ContentType="application/vnd.openxmlformats-officedocument.oleObject"/>
  <Override PartName="/xl/embeddings/oleObject283.bin" ContentType="application/vnd.openxmlformats-officedocument.oleObject"/>
  <Override PartName="/xl/embeddings/oleObject284.bin" ContentType="application/vnd.openxmlformats-officedocument.oleObject"/>
  <Override PartName="/xl/embeddings/oleObject285.bin" ContentType="application/vnd.openxmlformats-officedocument.oleObject"/>
  <Override PartName="/xl/embeddings/oleObject286.bin" ContentType="application/vnd.openxmlformats-officedocument.oleObject"/>
  <Override PartName="/xl/embeddings/oleObject287.bin" ContentType="application/vnd.openxmlformats-officedocument.oleObject"/>
  <Override PartName="/xl/drawings/drawing4.xml" ContentType="application/vnd.openxmlformats-officedocument.drawing+xml"/>
  <Override PartName="/xl/embeddings/oleObject288.bin" ContentType="application/vnd.openxmlformats-officedocument.oleObject"/>
  <Override PartName="/xl/embeddings/oleObject289.bin" ContentType="application/vnd.openxmlformats-officedocument.oleObject"/>
  <Override PartName="/xl/drawings/drawing5.xml" ContentType="application/vnd.openxmlformats-officedocument.drawing+xml"/>
  <Override PartName="/xl/embeddings/oleObject290.bin" ContentType="application/vnd.openxmlformats-officedocument.oleObject"/>
  <Override PartName="/xl/embeddings/oleObject291.bin" ContentType="application/vnd.openxmlformats-officedocument.oleObject"/>
  <Override PartName="/xl/embeddings/oleObject292.bin" ContentType="application/vnd.openxmlformats-officedocument.oleObject"/>
  <Override PartName="/xl/embeddings/oleObject293.bin" ContentType="application/vnd.openxmlformats-officedocument.oleObject"/>
  <Override PartName="/xl/embeddings/oleObject294.bin" ContentType="application/vnd.openxmlformats-officedocument.oleObject"/>
  <Override PartName="/xl/embeddings/oleObject295.bin" ContentType="application/vnd.openxmlformats-officedocument.oleObject"/>
  <Override PartName="/xl/embeddings/oleObject296.bin" ContentType="application/vnd.openxmlformats-officedocument.oleObject"/>
  <Override PartName="/xl/embeddings/oleObject297.bin" ContentType="application/vnd.openxmlformats-officedocument.oleObject"/>
  <Override PartName="/xl/embeddings/oleObject298.bin" ContentType="application/vnd.openxmlformats-officedocument.oleObject"/>
  <Override PartName="/xl/embeddings/oleObject299.bin" ContentType="application/vnd.openxmlformats-officedocument.oleObject"/>
  <Override PartName="/xl/embeddings/oleObject300.bin" ContentType="application/vnd.openxmlformats-officedocument.oleObject"/>
  <Override PartName="/xl/embeddings/oleObject301.bin" ContentType="application/vnd.openxmlformats-officedocument.oleObject"/>
  <Override PartName="/xl/embeddings/oleObject302.bin" ContentType="application/vnd.openxmlformats-officedocument.oleObject"/>
  <Override PartName="/xl/embeddings/oleObject303.bin" ContentType="application/vnd.openxmlformats-officedocument.oleObject"/>
  <Override PartName="/xl/embeddings/oleObject304.bin" ContentType="application/vnd.openxmlformats-officedocument.oleObject"/>
  <Override PartName="/xl/embeddings/oleObject305.bin" ContentType="application/vnd.openxmlformats-officedocument.oleObject"/>
  <Override PartName="/xl/embeddings/oleObject306.bin" ContentType="application/vnd.openxmlformats-officedocument.oleObject"/>
  <Override PartName="/xl/embeddings/oleObject307.bin" ContentType="application/vnd.openxmlformats-officedocument.oleObject"/>
  <Override PartName="/xl/embeddings/oleObject308.bin" ContentType="application/vnd.openxmlformats-officedocument.oleObject"/>
  <Override PartName="/xl/embeddings/oleObject309.bin" ContentType="application/vnd.openxmlformats-officedocument.oleObject"/>
  <Override PartName="/xl/embeddings/oleObject310.bin" ContentType="application/vnd.openxmlformats-officedocument.oleObject"/>
  <Override PartName="/xl/embeddings/oleObject311.bin" ContentType="application/vnd.openxmlformats-officedocument.oleObject"/>
  <Override PartName="/xl/embeddings/oleObject312.bin" ContentType="application/vnd.openxmlformats-officedocument.oleObject"/>
  <Override PartName="/xl/embeddings/oleObject313.bin" ContentType="application/vnd.openxmlformats-officedocument.oleObject"/>
  <Override PartName="/xl/drawings/drawing6.xml" ContentType="application/vnd.openxmlformats-officedocument.drawing+xml"/>
  <Override PartName="/xl/embeddings/oleObject314.bin" ContentType="application/vnd.openxmlformats-officedocument.oleObject"/>
  <Override PartName="/xl/embeddings/oleObject315.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ЭтаКнига" defaultThemeVersion="124226"/>
  <bookViews>
    <workbookView xWindow="360" yWindow="105" windowWidth="15255" windowHeight="6150" tabRatio="669"/>
  </bookViews>
  <sheets>
    <sheet name="Вывод расчетов (1-11)" sheetId="1" r:id="rId1"/>
    <sheet name="Расчет пазов" sheetId="2" r:id="rId2"/>
    <sheet name="Рабочие и пусковые" sheetId="3" r:id="rId3"/>
    <sheet name="Корпус и обмотка" sheetId="5" r:id="rId4"/>
    <sheet name="Программные таблицы" sheetId="6" r:id="rId5"/>
    <sheet name="Ввод значений статус решения" sheetId="10" r:id="rId6"/>
    <sheet name="Картинки" sheetId="9" r:id="rId7"/>
    <sheet name="Описание компонентов" sheetId="8" r:id="rId8"/>
  </sheets>
  <definedNames>
    <definedName name="Раздел_7_Параметры_рабочего_режима_двигателя">'Вывод расчетов (1-11)'!#REF!</definedName>
  </definedNames>
  <calcPr calcId="145621"/>
</workbook>
</file>

<file path=xl/calcChain.xml><?xml version="1.0" encoding="utf-8"?>
<calcChain xmlns="http://schemas.openxmlformats.org/spreadsheetml/2006/main">
  <c r="E420" i="6" l="1"/>
  <c r="I426" i="6"/>
  <c r="G426" i="6"/>
  <c r="E426" i="6"/>
  <c r="I424" i="6"/>
  <c r="G424" i="6"/>
  <c r="I420" i="6"/>
  <c r="G420" i="6"/>
  <c r="E424" i="6"/>
  <c r="AG21" i="10" l="1"/>
  <c r="AF21" i="10"/>
  <c r="AE21" i="10"/>
  <c r="AD21" i="10"/>
  <c r="AJ20" i="10"/>
  <c r="AG19" i="10"/>
  <c r="AF19" i="10"/>
  <c r="AE19" i="10"/>
  <c r="AD19" i="10"/>
  <c r="AJ17" i="10"/>
  <c r="AH5" i="1" l="1"/>
  <c r="AN12" i="1" s="1"/>
  <c r="AH4" i="1" l="1"/>
  <c r="X21" i="10" l="1"/>
  <c r="X22" i="10" s="1"/>
  <c r="CC48" i="1"/>
  <c r="D12" i="6"/>
  <c r="D13" i="6"/>
  <c r="D14" i="6"/>
  <c r="D15" i="6"/>
  <c r="D16" i="6"/>
  <c r="D17" i="6"/>
  <c r="D18" i="6"/>
  <c r="D19" i="6"/>
  <c r="D20" i="6"/>
  <c r="D21" i="6"/>
  <c r="D22" i="6"/>
  <c r="D23" i="6"/>
  <c r="D24" i="6"/>
  <c r="D25" i="6"/>
  <c r="D26" i="6"/>
  <c r="D27" i="6"/>
  <c r="D28" i="6"/>
  <c r="D29" i="6"/>
  <c r="D30" i="6"/>
  <c r="D31" i="6"/>
  <c r="D32" i="6"/>
  <c r="D33" i="6"/>
  <c r="D34" i="6"/>
  <c r="D11" i="6"/>
  <c r="AD17" i="10" l="1"/>
  <c r="F12" i="6"/>
  <c r="F13" i="6"/>
  <c r="F14" i="6"/>
  <c r="F15" i="6"/>
  <c r="F16" i="6"/>
  <c r="F17" i="6"/>
  <c r="F18" i="6"/>
  <c r="F19" i="6"/>
  <c r="F20" i="6"/>
  <c r="F21" i="6"/>
  <c r="F22" i="6"/>
  <c r="F23" i="6"/>
  <c r="F24" i="6"/>
  <c r="F25" i="6"/>
  <c r="F26" i="6"/>
  <c r="F27" i="6"/>
  <c r="F28" i="6"/>
  <c r="F29" i="6"/>
  <c r="F30" i="6"/>
  <c r="F31" i="6"/>
  <c r="F32" i="6"/>
  <c r="F33" i="6"/>
  <c r="F34" i="6"/>
  <c r="F11" i="6"/>
  <c r="H12" i="6"/>
  <c r="H13" i="6"/>
  <c r="H14" i="6"/>
  <c r="H15" i="6"/>
  <c r="H16" i="6"/>
  <c r="H17" i="6"/>
  <c r="H18" i="6"/>
  <c r="H19" i="6"/>
  <c r="H20" i="6"/>
  <c r="H21" i="6"/>
  <c r="H22" i="6"/>
  <c r="H23" i="6"/>
  <c r="H24" i="6"/>
  <c r="H25" i="6"/>
  <c r="H26" i="6"/>
  <c r="H27" i="6"/>
  <c r="H28" i="6"/>
  <c r="H29" i="6"/>
  <c r="H30" i="6"/>
  <c r="H31" i="6"/>
  <c r="H32" i="6"/>
  <c r="H33" i="6"/>
  <c r="H34" i="6"/>
  <c r="H11" i="6"/>
  <c r="L12" i="6"/>
  <c r="L13" i="6"/>
  <c r="L14" i="6"/>
  <c r="L15" i="6"/>
  <c r="L16" i="6"/>
  <c r="L17" i="6"/>
  <c r="L18" i="6"/>
  <c r="L19" i="6"/>
  <c r="L20" i="6"/>
  <c r="L21" i="6"/>
  <c r="L22" i="6"/>
  <c r="L23" i="6"/>
  <c r="L24" i="6"/>
  <c r="L25" i="6"/>
  <c r="L26" i="6"/>
  <c r="L27" i="6"/>
  <c r="L28" i="6"/>
  <c r="L29" i="6"/>
  <c r="L30" i="6"/>
  <c r="L31" i="6"/>
  <c r="L32" i="6"/>
  <c r="L33" i="6"/>
  <c r="L34" i="6"/>
  <c r="L11" i="6"/>
  <c r="N12" i="6"/>
  <c r="N13" i="6"/>
  <c r="N14" i="6"/>
  <c r="N15" i="6"/>
  <c r="N16" i="6"/>
  <c r="N17" i="6"/>
  <c r="N18" i="6"/>
  <c r="N19" i="6"/>
  <c r="N20" i="6"/>
  <c r="N21" i="6"/>
  <c r="N22" i="6"/>
  <c r="N23" i="6"/>
  <c r="N24" i="6"/>
  <c r="N25" i="6"/>
  <c r="N26" i="6"/>
  <c r="N27" i="6"/>
  <c r="N28" i="6"/>
  <c r="N29" i="6"/>
  <c r="N30" i="6"/>
  <c r="N31" i="6"/>
  <c r="N32" i="6"/>
  <c r="N33" i="6"/>
  <c r="N34" i="6"/>
  <c r="N11" i="6"/>
  <c r="J12" i="6"/>
  <c r="J13" i="6"/>
  <c r="J14" i="6"/>
  <c r="J15" i="6"/>
  <c r="J16" i="6"/>
  <c r="J17" i="6"/>
  <c r="J18" i="6"/>
  <c r="J19" i="6"/>
  <c r="J20" i="6"/>
  <c r="J21" i="6"/>
  <c r="J22" i="6"/>
  <c r="J23" i="6"/>
  <c r="J24" i="6"/>
  <c r="J25" i="6"/>
  <c r="J26" i="6"/>
  <c r="J27" i="6"/>
  <c r="J28" i="6"/>
  <c r="J29" i="6"/>
  <c r="J30" i="6"/>
  <c r="J31" i="6"/>
  <c r="J32" i="6"/>
  <c r="J33" i="6"/>
  <c r="J34" i="6"/>
  <c r="J11" i="6"/>
  <c r="P18" i="1"/>
  <c r="P19" i="1"/>
  <c r="P17" i="1"/>
  <c r="TV104" i="1" l="1"/>
  <c r="M24" i="3"/>
  <c r="WY190" i="1"/>
  <c r="WY150" i="1"/>
  <c r="WY151" i="1"/>
  <c r="WY142" i="1"/>
  <c r="WY141" i="1"/>
  <c r="WY128" i="1"/>
  <c r="I12" i="3"/>
  <c r="O30" i="3"/>
  <c r="P30" i="3"/>
  <c r="Q30" i="3"/>
  <c r="R30" i="3"/>
  <c r="N30" i="3"/>
  <c r="M30" i="3"/>
  <c r="G16" i="3"/>
  <c r="C12" i="3"/>
  <c r="B12" i="3"/>
  <c r="KX59" i="1"/>
  <c r="KX58" i="1"/>
  <c r="KX57" i="1"/>
  <c r="NA132" i="1"/>
  <c r="NA118" i="1"/>
  <c r="NF98" i="1"/>
  <c r="KX87" i="1"/>
  <c r="KX89" i="1"/>
  <c r="KX88" i="1"/>
  <c r="MD92" i="1"/>
  <c r="D116" i="2"/>
  <c r="AH122" i="2" s="1"/>
  <c r="D113" i="2"/>
  <c r="AH120" i="2" s="1"/>
  <c r="D11" i="2"/>
  <c r="D8" i="2"/>
  <c r="BH59" i="2" s="1"/>
  <c r="MD88" i="1"/>
  <c r="MD100" i="1" s="1"/>
  <c r="D76" i="2" s="1"/>
  <c r="MD84" i="1"/>
  <c r="MD76" i="1"/>
  <c r="GK60" i="1"/>
  <c r="IV131" i="1"/>
  <c r="IV129" i="1"/>
  <c r="IV127" i="1"/>
  <c r="IV125" i="1"/>
  <c r="IV88" i="1"/>
  <c r="IV44" i="1"/>
  <c r="WY143" i="1" l="1"/>
  <c r="KX90" i="1"/>
  <c r="CF96" i="1"/>
  <c r="CC112" i="1"/>
  <c r="CC72" i="1"/>
  <c r="AN73" i="1"/>
  <c r="AN40" i="1"/>
  <c r="J12" i="3" l="1"/>
  <c r="D12" i="3"/>
  <c r="GK116" i="1"/>
  <c r="MD160" i="1"/>
  <c r="AN16" i="1"/>
  <c r="CC36" i="1" s="1"/>
  <c r="CC116" i="1"/>
  <c r="X23" i="10" l="1"/>
  <c r="X16" i="10" s="1"/>
  <c r="X17" i="10" s="1"/>
  <c r="AE11" i="10"/>
  <c r="E12" i="3"/>
  <c r="AK24" i="6" l="1"/>
  <c r="AN24" i="1" s="1"/>
  <c r="AH23" i="10"/>
  <c r="AG23" i="10"/>
  <c r="AF23" i="10"/>
  <c r="AE23" i="10"/>
  <c r="AI23" i="10"/>
  <c r="AD23" i="10"/>
  <c r="AI24" i="6" l="1"/>
  <c r="AD25" i="10" l="1"/>
  <c r="AL11" i="10"/>
  <c r="AD24" i="10" l="1"/>
  <c r="AN20" i="1"/>
  <c r="WY179" i="1" l="1"/>
  <c r="AN32" i="1"/>
  <c r="GK20" i="1"/>
  <c r="GK36" i="1" s="1"/>
  <c r="WY182" i="1"/>
  <c r="WY192" i="1" s="1"/>
  <c r="NA127" i="1"/>
  <c r="CC44" i="1" l="1"/>
  <c r="CC24" i="1"/>
  <c r="CC40" i="1"/>
  <c r="AN36" i="1"/>
  <c r="NA126" i="1"/>
  <c r="CC20" i="1"/>
  <c r="AN77" i="1"/>
  <c r="GK16" i="1"/>
  <c r="GK28" i="1" s="1"/>
  <c r="GK32" i="1" s="1"/>
  <c r="EE72" i="1"/>
  <c r="CC56" i="1" l="1"/>
  <c r="TV143" i="1"/>
  <c r="TV142" i="1" s="1"/>
  <c r="IV16" i="1"/>
  <c r="NA119" i="1" s="1"/>
  <c r="MD120" i="1"/>
  <c r="GK76" i="1"/>
  <c r="KX86" i="1"/>
  <c r="D7" i="2"/>
  <c r="EE84" i="1"/>
  <c r="WY185" i="1"/>
  <c r="WY184" i="1" s="1"/>
  <c r="WY181" i="1" s="1"/>
  <c r="AN81" i="1"/>
  <c r="EE28" i="1"/>
  <c r="NA100" i="1" s="1"/>
  <c r="IV40" i="1"/>
  <c r="KX85" i="1"/>
  <c r="KX91" i="1" s="1"/>
  <c r="NA109" i="1"/>
  <c r="NA108" i="1" s="1"/>
  <c r="NA124" i="1" s="1"/>
  <c r="TV139" i="1"/>
  <c r="TV137" i="1" s="1"/>
  <c r="TV133" i="1"/>
  <c r="IV12" i="1"/>
  <c r="CC60" i="1" l="1"/>
  <c r="BH63" i="2"/>
  <c r="BH62" i="2"/>
  <c r="BH58" i="2"/>
  <c r="BH60" i="2"/>
  <c r="BH61" i="2"/>
  <c r="IV36" i="1"/>
  <c r="NA110" i="1"/>
  <c r="KX92" i="1"/>
  <c r="MD116" i="1" s="1"/>
  <c r="MD124" i="1" s="1"/>
  <c r="MD108" i="1" s="1"/>
  <c r="TV138" i="1" s="1"/>
  <c r="MD156" i="1"/>
  <c r="TV144" i="1" s="1"/>
  <c r="GK80" i="1"/>
  <c r="NA121" i="1"/>
  <c r="CC64" i="1" l="1"/>
  <c r="GK48" i="1" s="1"/>
  <c r="TV128" i="1"/>
  <c r="TV132" i="1" s="1"/>
  <c r="D111" i="2"/>
  <c r="AH119" i="2" s="1"/>
  <c r="GK88" i="1"/>
  <c r="GK92" i="1" s="1"/>
  <c r="D114" i="2" s="1"/>
  <c r="AH121" i="2" s="1"/>
  <c r="D82" i="2"/>
  <c r="MD112" i="1" s="1"/>
  <c r="TV136" i="1" s="1"/>
  <c r="GK44" i="1" l="1"/>
  <c r="CC84" i="1"/>
  <c r="CC68" i="1"/>
  <c r="CC92" i="1" s="1"/>
  <c r="CC100" i="1" s="1"/>
  <c r="TV117" i="1"/>
  <c r="TV118" i="1" s="1"/>
  <c r="UA112" i="1"/>
  <c r="D112" i="2"/>
  <c r="AH118" i="2" s="1"/>
  <c r="GK100" i="1"/>
  <c r="GK96" i="1"/>
  <c r="CC88" i="1" l="1"/>
  <c r="EE32" i="1"/>
  <c r="IV20" i="1" s="1"/>
  <c r="GK112" i="1"/>
  <c r="GK56" i="1"/>
  <c r="R27" i="3"/>
  <c r="Q27" i="3"/>
  <c r="MD44" i="1"/>
  <c r="MF44" i="1" s="1"/>
  <c r="O27" i="3"/>
  <c r="GK104" i="1"/>
  <c r="GK120" i="1" s="1"/>
  <c r="M27" i="3"/>
  <c r="TV119" i="1"/>
  <c r="N27" i="3"/>
  <c r="P27" i="3"/>
  <c r="D169" i="2"/>
  <c r="MD152" i="1" s="1"/>
  <c r="TV102" i="1"/>
  <c r="GK124" i="1"/>
  <c r="IV100" i="1"/>
  <c r="IV32" i="1"/>
  <c r="D115" i="2"/>
  <c r="IV64" i="1"/>
  <c r="GK108" i="1" l="1"/>
  <c r="GK128" i="1" s="1"/>
  <c r="IV28" i="1"/>
  <c r="IV76" i="1"/>
  <c r="IV72" i="1" s="1"/>
  <c r="EE52" i="1"/>
  <c r="IV92" i="1"/>
  <c r="IV96" i="1"/>
  <c r="MD52" i="1"/>
  <c r="GK132" i="1"/>
  <c r="NA120" i="1"/>
  <c r="IV60" i="1"/>
  <c r="TV141" i="1"/>
  <c r="TV122" i="1"/>
  <c r="TV105" i="1"/>
  <c r="Q26" i="3"/>
  <c r="TV106" i="1"/>
  <c r="O23" i="3"/>
  <c r="TV111" i="1"/>
  <c r="TV115" i="1" s="1"/>
  <c r="TV116" i="1" s="1"/>
  <c r="R26" i="3"/>
  <c r="O26" i="3"/>
  <c r="M26" i="3"/>
  <c r="P26" i="3"/>
  <c r="N26" i="3"/>
  <c r="Q23" i="3"/>
  <c r="M23" i="3"/>
  <c r="N23" i="3"/>
  <c r="P23" i="3"/>
  <c r="R23" i="3"/>
  <c r="MD48" i="1" l="1"/>
  <c r="MD40" i="1" s="1"/>
  <c r="D10" i="2"/>
  <c r="EE76" i="1"/>
  <c r="IV48" i="1"/>
  <c r="IV68" i="1" s="1"/>
  <c r="NA99" i="1"/>
  <c r="MD28" i="1"/>
  <c r="EE68" i="1"/>
  <c r="WY136" i="1" s="1"/>
  <c r="IV24" i="1"/>
  <c r="NA98" i="1" s="1"/>
  <c r="MD164" i="1"/>
  <c r="MD148" i="1" s="1"/>
  <c r="MD168" i="1" s="1"/>
  <c r="TV145" i="1" s="1"/>
  <c r="NA92" i="1" l="1"/>
  <c r="NA125" i="1" s="1"/>
  <c r="F12" i="3" s="1"/>
  <c r="MF48" i="1"/>
  <c r="IV108" i="1"/>
  <c r="EE80" i="1"/>
  <c r="EE100" i="1"/>
  <c r="EE92" i="1"/>
  <c r="EE104" i="1" s="1"/>
  <c r="D6" i="2"/>
  <c r="MD24" i="1"/>
  <c r="WY149" i="1"/>
  <c r="EE88" i="1"/>
  <c r="D9" i="2"/>
  <c r="EE96" i="1"/>
  <c r="MD172" i="1"/>
  <c r="TV125" i="1"/>
  <c r="TV126" i="1" s="1"/>
  <c r="MF40" i="1"/>
  <c r="TV120" i="1"/>
  <c r="O28" i="3"/>
  <c r="N28" i="3"/>
  <c r="M28" i="3"/>
  <c r="R28" i="3"/>
  <c r="KV65" i="1"/>
  <c r="MD56" i="1"/>
  <c r="Q28" i="3"/>
  <c r="P28" i="3"/>
  <c r="IV112" i="1" l="1"/>
  <c r="IV116" i="1"/>
  <c r="IV120" i="1" s="1"/>
  <c r="MD20" i="1"/>
  <c r="MD16" i="1" s="1"/>
  <c r="MD12" i="1" s="1"/>
  <c r="MD104" i="1"/>
  <c r="MD64" i="1" s="1"/>
  <c r="WY169" i="1"/>
  <c r="WY168" i="1"/>
  <c r="Q29" i="3"/>
  <c r="R29" i="3"/>
  <c r="M29" i="3"/>
  <c r="N29" i="3"/>
  <c r="O29" i="3"/>
  <c r="P29" i="3"/>
  <c r="TV121" i="1"/>
  <c r="C16" i="3"/>
  <c r="MD60" i="1"/>
  <c r="RB73" i="1" l="1"/>
  <c r="RB74" i="1"/>
  <c r="RB75" i="1" s="1"/>
  <c r="H12" i="3"/>
  <c r="RB76" i="1"/>
  <c r="G12" i="3" s="1"/>
  <c r="NA135" i="1"/>
  <c r="NA134" i="1" s="1"/>
  <c r="NA133" i="1" s="1"/>
  <c r="NA136" i="1" s="1"/>
  <c r="TV140" i="1"/>
  <c r="MD144" i="1"/>
  <c r="B16" i="3"/>
  <c r="MD36" i="1"/>
  <c r="WY130" i="1"/>
  <c r="M45" i="3"/>
  <c r="R45" i="3"/>
  <c r="P45" i="3"/>
  <c r="Q45" i="3"/>
  <c r="N45" i="3"/>
  <c r="O45" i="3"/>
  <c r="TV146" i="1" l="1"/>
  <c r="TV149" i="1" s="1"/>
  <c r="WY147" i="1"/>
  <c r="WY148" i="1" s="1"/>
  <c r="WY129" i="1"/>
  <c r="RB80" i="1"/>
  <c r="H16" i="3" s="1"/>
  <c r="D16" i="3"/>
  <c r="RB77" i="1"/>
  <c r="E16" i="3" s="1"/>
  <c r="RB78" i="1"/>
  <c r="F16" i="3" s="1"/>
  <c r="TV99" i="1"/>
  <c r="TV127" i="1" s="1"/>
  <c r="P34" i="3" l="1"/>
  <c r="TV151" i="1"/>
  <c r="M34" i="3"/>
  <c r="M35" i="3"/>
  <c r="TV157" i="1"/>
  <c r="N34" i="3"/>
  <c r="R34" i="3"/>
  <c r="Q34" i="3"/>
  <c r="O34" i="3"/>
  <c r="WY135" i="1"/>
  <c r="WY146" i="1"/>
  <c r="WY122" i="1"/>
  <c r="Q44" i="3"/>
  <c r="R44" i="3"/>
  <c r="M44" i="3"/>
  <c r="P44" i="3"/>
  <c r="O44" i="3"/>
  <c r="N44" i="3"/>
  <c r="TV150" i="1"/>
  <c r="P47" i="3"/>
  <c r="N47" i="3"/>
  <c r="R47" i="3"/>
  <c r="M47" i="3"/>
  <c r="O47" i="3"/>
  <c r="Q47" i="3"/>
  <c r="Q46" i="3"/>
  <c r="M46" i="3"/>
  <c r="P46" i="3"/>
  <c r="O46" i="3"/>
  <c r="N46" i="3"/>
  <c r="R46" i="3"/>
  <c r="TV147" i="1" l="1"/>
  <c r="R37" i="3" s="1"/>
  <c r="Q36" i="3"/>
  <c r="R36" i="3"/>
  <c r="O36" i="3"/>
  <c r="M36" i="3"/>
  <c r="N36" i="3"/>
  <c r="P36" i="3"/>
  <c r="WY161" i="1"/>
  <c r="R48" i="3"/>
  <c r="R50" i="3" s="1"/>
  <c r="Q48" i="3"/>
  <c r="Q51" i="3" s="1"/>
  <c r="Q53" i="3" s="1"/>
  <c r="M48" i="3"/>
  <c r="M50" i="3" s="1"/>
  <c r="N48" i="3"/>
  <c r="N50" i="3" s="1"/>
  <c r="O48" i="3"/>
  <c r="O50" i="3" s="1"/>
  <c r="P48" i="3"/>
  <c r="P49" i="3" s="1"/>
  <c r="P55" i="3" s="1"/>
  <c r="P58" i="3" s="1"/>
  <c r="O37" i="3" l="1"/>
  <c r="N37" i="3"/>
  <c r="TV153" i="1"/>
  <c r="M37" i="3"/>
  <c r="TV154" i="1"/>
  <c r="Q37" i="3"/>
  <c r="P37" i="3"/>
  <c r="TV148" i="1"/>
  <c r="TV152" i="1" s="1"/>
  <c r="R51" i="3"/>
  <c r="R53" i="3" s="1"/>
  <c r="R49" i="3"/>
  <c r="R55" i="3" s="1"/>
  <c r="R58" i="3" s="1"/>
  <c r="Q49" i="3"/>
  <c r="Q55" i="3" s="1"/>
  <c r="Q58" i="3" s="1"/>
  <c r="Q50" i="3"/>
  <c r="N49" i="3"/>
  <c r="N55" i="3" s="1"/>
  <c r="N58" i="3" s="1"/>
  <c r="M51" i="3"/>
  <c r="M53" i="3" s="1"/>
  <c r="N51" i="3"/>
  <c r="N53" i="3" s="1"/>
  <c r="M49" i="3"/>
  <c r="O52" i="3" s="1"/>
  <c r="O51" i="3"/>
  <c r="O53" i="3" s="1"/>
  <c r="O49" i="3"/>
  <c r="O55" i="3" s="1"/>
  <c r="O58" i="3" s="1"/>
  <c r="P51" i="3"/>
  <c r="P53" i="3" s="1"/>
  <c r="P50" i="3"/>
  <c r="P52" i="3" l="1"/>
  <c r="P56" i="3" s="1"/>
  <c r="M55" i="3"/>
  <c r="M58" i="3" s="1"/>
  <c r="R52" i="3"/>
  <c r="R54" i="3" s="1"/>
  <c r="R63" i="3" s="1"/>
  <c r="Q52" i="3"/>
  <c r="Q56" i="3" s="1"/>
  <c r="M52" i="3"/>
  <c r="M56" i="3" s="1"/>
  <c r="N52" i="3"/>
  <c r="N54" i="3" s="1"/>
  <c r="O56" i="3"/>
  <c r="O54" i="3"/>
  <c r="P54" i="3" l="1"/>
  <c r="P63" i="3" s="1"/>
  <c r="N56" i="3"/>
  <c r="M54" i="3"/>
  <c r="M63" i="3" s="1"/>
  <c r="Q54" i="3"/>
  <c r="Q63" i="3" s="1"/>
  <c r="R56" i="3"/>
  <c r="N57" i="3"/>
  <c r="N59" i="3"/>
  <c r="O63" i="3"/>
  <c r="O59" i="3"/>
  <c r="O57" i="3"/>
  <c r="N63" i="3"/>
  <c r="R57" i="3"/>
  <c r="R59" i="3"/>
  <c r="P59" i="3" l="1"/>
  <c r="P57" i="3"/>
  <c r="Q59" i="3"/>
  <c r="M59" i="3"/>
  <c r="Q57" i="3"/>
  <c r="M57" i="3"/>
  <c r="N60" i="3"/>
  <c r="N62" i="3" s="1"/>
  <c r="O60" i="3"/>
  <c r="O61" i="3" s="1"/>
  <c r="R60" i="3"/>
  <c r="P60" i="3" l="1"/>
  <c r="P62" i="3" s="1"/>
  <c r="Q60" i="3"/>
  <c r="Q61" i="3" s="1"/>
  <c r="M60" i="3"/>
  <c r="M62" i="3" s="1"/>
  <c r="N61" i="3"/>
  <c r="O62" i="3"/>
  <c r="WY166" i="1"/>
  <c r="R62" i="3"/>
  <c r="R61" i="3"/>
  <c r="P61" i="3" l="1"/>
  <c r="Q62" i="3"/>
  <c r="M61" i="3"/>
  <c r="WY164" i="1"/>
  <c r="WY165" i="1"/>
  <c r="WY162" i="1" l="1"/>
  <c r="WY172" i="1" s="1"/>
  <c r="WY175" i="1" l="1"/>
  <c r="WY193" i="1" s="1"/>
  <c r="WY174" i="1"/>
</calcChain>
</file>

<file path=xl/sharedStrings.xml><?xml version="1.0" encoding="utf-8"?>
<sst xmlns="http://schemas.openxmlformats.org/spreadsheetml/2006/main" count="4171" uniqueCount="1088">
  <si>
    <t>Исходные данные</t>
  </si>
  <si>
    <t>Номинальная мощность</t>
  </si>
  <si>
    <t>Фазное напряжение</t>
  </si>
  <si>
    <t>частота вращения</t>
  </si>
  <si>
    <t>Вт</t>
  </si>
  <si>
    <t>об/мин</t>
  </si>
  <si>
    <t>В</t>
  </si>
  <si>
    <t>2.3</t>
  </si>
  <si>
    <t>2.7</t>
  </si>
  <si>
    <t>Наружный диаметр статора</t>
  </si>
  <si>
    <t>Пары полюсов</t>
  </si>
  <si>
    <t>Частота тока</t>
  </si>
  <si>
    <t>Гц</t>
  </si>
  <si>
    <t>Внутренний диаметр статора</t>
  </si>
  <si>
    <t>Высота оси вращения</t>
  </si>
  <si>
    <t>Кd определяется по таблице 2</t>
  </si>
  <si>
    <t>Полюсное деление</t>
  </si>
  <si>
    <t>Расчетная мощность</t>
  </si>
  <si>
    <t>Обмоточный коэффициент</t>
  </si>
  <si>
    <t>м</t>
  </si>
  <si>
    <t>А/м</t>
  </si>
  <si>
    <t>Тл</t>
  </si>
  <si>
    <t>Расчетная длина воздушного зазора</t>
  </si>
  <si>
    <t>Кв коэффициент формы</t>
  </si>
  <si>
    <t>3.3</t>
  </si>
  <si>
    <t>3.4</t>
  </si>
  <si>
    <t>3.5</t>
  </si>
  <si>
    <t>3.6</t>
  </si>
  <si>
    <t>3.7</t>
  </si>
  <si>
    <t>3.8</t>
  </si>
  <si>
    <t>Число пазов статора</t>
  </si>
  <si>
    <t>число фаз</t>
  </si>
  <si>
    <t>Число пазов на полюс и фазу</t>
  </si>
  <si>
    <t>Предварительное число эффективных проводников в пазу</t>
  </si>
  <si>
    <t>Номинальный ток обмотки статора</t>
  </si>
  <si>
    <t>Допустимое число а</t>
  </si>
  <si>
    <t>Окончательное число витков фазы обмотки статора</t>
  </si>
  <si>
    <t>Окончательное значение линейной нагрузки</t>
  </si>
  <si>
    <t>А</t>
  </si>
  <si>
    <t>3.10</t>
  </si>
  <si>
    <t>3.11</t>
  </si>
  <si>
    <t>3.12</t>
  </si>
  <si>
    <t>3.13</t>
  </si>
  <si>
    <t>3.14</t>
  </si>
  <si>
    <t>3.15</t>
  </si>
  <si>
    <t>Окончательное значение магнитного потока</t>
  </si>
  <si>
    <t>Индукция в воздушном зазоре</t>
  </si>
  <si>
    <t>Плотность тока в обмотке статора (предварительно)</t>
  </si>
  <si>
    <t>Значение (A*J) по рисунку 9</t>
  </si>
  <si>
    <t>4.2</t>
  </si>
  <si>
    <t>4.3</t>
  </si>
  <si>
    <t>Значение допустимой индукции в ярме статора Ba по таблице 5</t>
  </si>
  <si>
    <t>Значение допустимой индукции в зубцах статора Bz1 по таблице 5</t>
  </si>
  <si>
    <t>мм</t>
  </si>
  <si>
    <t>Размеры паза в штампе</t>
  </si>
  <si>
    <t>Значение h1</t>
  </si>
  <si>
    <t>в1'</t>
  </si>
  <si>
    <t>в2'</t>
  </si>
  <si>
    <t>h1'</t>
  </si>
  <si>
    <t>Sпр</t>
  </si>
  <si>
    <t>Sиз</t>
  </si>
  <si>
    <t>Sп'</t>
  </si>
  <si>
    <t>Высота ярма статора ha</t>
  </si>
  <si>
    <t>D внутриенний диаметр статора</t>
  </si>
  <si>
    <t>Воздушный зазор по рисунку 11</t>
  </si>
  <si>
    <t>Зубцовое деление</t>
  </si>
  <si>
    <t>Число пазов ротора по таблице 8 Z2</t>
  </si>
  <si>
    <t>Наружний диаметр статора Da</t>
  </si>
  <si>
    <t>Kв по таблице 9</t>
  </si>
  <si>
    <t>Ток в стержне ротора</t>
  </si>
  <si>
    <t>коэффициент приведения токов в двигателе</t>
  </si>
  <si>
    <t>Значение Bz2</t>
  </si>
  <si>
    <t>значение в2 для ротора</t>
  </si>
  <si>
    <t>Значение в1 для статора</t>
  </si>
  <si>
    <t>Значение в2 для статора</t>
  </si>
  <si>
    <t>Внешний диаметр ротора D2</t>
  </si>
  <si>
    <t>значение hш'</t>
  </si>
  <si>
    <t>Полная высота паза hп2</t>
  </si>
  <si>
    <t>Уточненная площадь сечения стержня qc</t>
  </si>
  <si>
    <t>Плотность тока в стержне J2</t>
  </si>
  <si>
    <t>Площадь поперечного сечения короткозамыкающих колец qкл</t>
  </si>
  <si>
    <t>значение h1 для ротора</t>
  </si>
  <si>
    <t>Δ</t>
  </si>
  <si>
    <t>средний диаметр короткозамыкающего кольца</t>
  </si>
  <si>
    <t>Bz1</t>
  </si>
  <si>
    <t>Bz2</t>
  </si>
  <si>
    <t>Индукция в ярме статора</t>
  </si>
  <si>
    <t>ha расчетная высота ярма статора</t>
  </si>
  <si>
    <t>Индукция в ярме ротора</t>
  </si>
  <si>
    <t>hj расчетная высота ярма ротора</t>
  </si>
  <si>
    <t>Магнитное напряжение воздушного зазора</t>
  </si>
  <si>
    <t>Магнитное напряжение зубцовой зоны статора</t>
  </si>
  <si>
    <t>Магнитное напряжение зубцовой зоны ротора</t>
  </si>
  <si>
    <t>hz2</t>
  </si>
  <si>
    <t>Коэффициент насыщения зубцовой зоны</t>
  </si>
  <si>
    <t>Магнитное напряжение ярма статора</t>
  </si>
  <si>
    <t>Магнитное напряжение ярма ротора</t>
  </si>
  <si>
    <t>Lj длина средней магнитной линии ярма ротора кроме двухполюсных</t>
  </si>
  <si>
    <t>Суммарное магнитное напряжение магнитной цепи</t>
  </si>
  <si>
    <t>Коэффициент насыщения магнитной цепи</t>
  </si>
  <si>
    <t>Намагничивающий ток</t>
  </si>
  <si>
    <t>Относительное значение магнитного тока</t>
  </si>
  <si>
    <t>Lj длина средней магнитной линии ярма ротора для двигателей 2p=2</t>
  </si>
  <si>
    <t>Значение Lj</t>
  </si>
  <si>
    <t>Ku</t>
  </si>
  <si>
    <t>Y1</t>
  </si>
  <si>
    <t>La длина средней магнитной линии ярма статора</t>
  </si>
  <si>
    <t>высота спинки ротора hj</t>
  </si>
  <si>
    <t>7.1</t>
  </si>
  <si>
    <t>7.2</t>
  </si>
  <si>
    <t>7.4</t>
  </si>
  <si>
    <t>7.5</t>
  </si>
  <si>
    <t>7.6</t>
  </si>
  <si>
    <t>7.7</t>
  </si>
  <si>
    <t>7.8</t>
  </si>
  <si>
    <t>7.9</t>
  </si>
  <si>
    <t>7.10</t>
  </si>
  <si>
    <t>Активное сопротивление фазы обмотки статора</t>
  </si>
  <si>
    <t>L1 общая длина эффективных проводников фазы обмотки</t>
  </si>
  <si>
    <t>lср1 средняя длинавитка обмотки</t>
  </si>
  <si>
    <t>lл длина лобовой части витка</t>
  </si>
  <si>
    <t>втк средняя ширина витка</t>
  </si>
  <si>
    <t>Относительное значение сопротивления r1</t>
  </si>
  <si>
    <t>r2</t>
  </si>
  <si>
    <t>rc</t>
  </si>
  <si>
    <t>rкл</t>
  </si>
  <si>
    <t>Приведение r2 к числу витков обмотки статора</t>
  </si>
  <si>
    <t>Относительное значение r2/</t>
  </si>
  <si>
    <t>Индуктивное сопротивление фазы обмотки статора</t>
  </si>
  <si>
    <t>Hz1 по таблице 12 при Bz1</t>
  </si>
  <si>
    <t>Hz2 по таблице 12 при Bz2</t>
  </si>
  <si>
    <t>Значение Bj</t>
  </si>
  <si>
    <t>Ha по таблице 11 при Ba</t>
  </si>
  <si>
    <t>Hj по таблице 11 при Bj</t>
  </si>
  <si>
    <t>Значение Bz1</t>
  </si>
  <si>
    <t>Значение Ba</t>
  </si>
  <si>
    <t>Коэффициент Kл</t>
  </si>
  <si>
    <t>Длина вылета прямолинейной части секции паза</t>
  </si>
  <si>
    <t>p удельное сопротивление материала обмотки (медь)</t>
  </si>
  <si>
    <t>p удельное сопротивление материала стержня (алюминий литой)</t>
  </si>
  <si>
    <t>p удельное сопротивление материала к-х колец (алюминиевые шины)</t>
  </si>
  <si>
    <t>Dкл.ср</t>
  </si>
  <si>
    <t>Значение b при двухслойной обмотке с укороченным шагом</t>
  </si>
  <si>
    <t>Коэффициент Kb/</t>
  </si>
  <si>
    <t>Окончательное значение коэффициента Kb/</t>
  </si>
  <si>
    <t>Коэффициент Kb/ и коэффициент Kb</t>
  </si>
  <si>
    <t>Коэффициент Kb</t>
  </si>
  <si>
    <t>Lл1 коэффициент магнитной проводимости лобового рассеяния</t>
  </si>
  <si>
    <t>Lд1 коэффициент магнитной проводимости дифференциального рассеяния</t>
  </si>
  <si>
    <t>Относительное значение x1*</t>
  </si>
  <si>
    <t>Индуктивное сопротивление фазы обмотки ротора</t>
  </si>
  <si>
    <t>Значение h2</t>
  </si>
  <si>
    <t>Значение h3</t>
  </si>
  <si>
    <t>Значение h0</t>
  </si>
  <si>
    <t>Значение hш</t>
  </si>
  <si>
    <t>Значение b</t>
  </si>
  <si>
    <t>Значение bш</t>
  </si>
  <si>
    <t>Значение bп</t>
  </si>
  <si>
    <t>Значение Kck/</t>
  </si>
  <si>
    <t>Коэффициент скоса bck</t>
  </si>
  <si>
    <t>Приоткрытых пазах статора и отсутствии скоса пазов</t>
  </si>
  <si>
    <t>При полузакрытых или полуоткрытых пазах статора с учетом скоса пазов</t>
  </si>
  <si>
    <t>Значение Δz</t>
  </si>
  <si>
    <t>Окончательное значение коэффициента Kb</t>
  </si>
  <si>
    <t>Значение K/</t>
  </si>
  <si>
    <t>Значение t2/t1</t>
  </si>
  <si>
    <t>Значение bш/y</t>
  </si>
  <si>
    <t>Общие</t>
  </si>
  <si>
    <t>Статор</t>
  </si>
  <si>
    <t>Ротор</t>
  </si>
  <si>
    <t>Значение b1 (ротор)</t>
  </si>
  <si>
    <t>Значение b2 (ротор)</t>
  </si>
  <si>
    <t>Значение bш (ротор)</t>
  </si>
  <si>
    <t>Значение h1 (ротор)</t>
  </si>
  <si>
    <t>Значение hn (ротор)</t>
  </si>
  <si>
    <t>Значение hш (ротор)</t>
  </si>
  <si>
    <t>Значение b1 (статор)</t>
  </si>
  <si>
    <t>Значение b2 (статор)</t>
  </si>
  <si>
    <t>Значение bш (статор)</t>
  </si>
  <si>
    <t>Значение h1 (статор)</t>
  </si>
  <si>
    <t>Значение hn (статор)</t>
  </si>
  <si>
    <t>Значение hш (статор)</t>
  </si>
  <si>
    <t>Значение b'</t>
  </si>
  <si>
    <t>а</t>
  </si>
  <si>
    <t>б</t>
  </si>
  <si>
    <t>в</t>
  </si>
  <si>
    <t>г,д,з</t>
  </si>
  <si>
    <t>е,ж,и</t>
  </si>
  <si>
    <t>Значение коэффициента kb</t>
  </si>
  <si>
    <t>Значение</t>
  </si>
  <si>
    <t>значение вш (ротор) из 5.9</t>
  </si>
  <si>
    <t>значение hш (ротор) из 5.9</t>
  </si>
  <si>
    <t>Lп1 коэффициент магнитной проводимости пазового рассеяния</t>
  </si>
  <si>
    <t>Окончательное значение коэффициента b</t>
  </si>
  <si>
    <t>Окончательное значение Е</t>
  </si>
  <si>
    <t>Значение Lд2</t>
  </si>
  <si>
    <t>Значение Lп2</t>
  </si>
  <si>
    <t>Значение E</t>
  </si>
  <si>
    <t>Значение Lл2</t>
  </si>
  <si>
    <t>Приведение x2 к числу витков статора</t>
  </si>
  <si>
    <t>Относительное значение</t>
  </si>
  <si>
    <t>Значение t1</t>
  </si>
  <si>
    <t>Значение t2</t>
  </si>
  <si>
    <t>Воздушный зазор</t>
  </si>
  <si>
    <t>Значение bш/t</t>
  </si>
  <si>
    <t>г</t>
  </si>
  <si>
    <t>д</t>
  </si>
  <si>
    <t>е</t>
  </si>
  <si>
    <t>ж</t>
  </si>
  <si>
    <t>8.1</t>
  </si>
  <si>
    <t>8.2</t>
  </si>
  <si>
    <t>8.3</t>
  </si>
  <si>
    <t>8.4</t>
  </si>
  <si>
    <t>8.5</t>
  </si>
  <si>
    <t>8.6</t>
  </si>
  <si>
    <t>8.7</t>
  </si>
  <si>
    <t>8.8</t>
  </si>
  <si>
    <t>8.9</t>
  </si>
  <si>
    <t>Потери в стали основные</t>
  </si>
  <si>
    <t>Пульсационные потери в зубцах ротора</t>
  </si>
  <si>
    <t>Сумма добавочных потерь в стали</t>
  </si>
  <si>
    <t>Полные потери в стали</t>
  </si>
  <si>
    <t>Добавочные потери при номинальном режиме</t>
  </si>
  <si>
    <t>Ток холостого хода двигателя</t>
  </si>
  <si>
    <t>Коэффициент мощности при холостом ходе</t>
  </si>
  <si>
    <t>9.1</t>
  </si>
  <si>
    <t>9.2</t>
  </si>
  <si>
    <t>9.3</t>
  </si>
  <si>
    <t>9.4</t>
  </si>
  <si>
    <t>10.1</t>
  </si>
  <si>
    <t>10.2</t>
  </si>
  <si>
    <t>10.3</t>
  </si>
  <si>
    <t>10.4</t>
  </si>
  <si>
    <t>10.5</t>
  </si>
  <si>
    <t>10.6</t>
  </si>
  <si>
    <t>10.7</t>
  </si>
  <si>
    <t>10.8</t>
  </si>
  <si>
    <t>10.9</t>
  </si>
  <si>
    <t>10.10</t>
  </si>
  <si>
    <t>10.11</t>
  </si>
  <si>
    <t>10.12</t>
  </si>
  <si>
    <t>10.13</t>
  </si>
  <si>
    <t>10.14</t>
  </si>
  <si>
    <t>10.15</t>
  </si>
  <si>
    <t>10.16</t>
  </si>
  <si>
    <t>10.17</t>
  </si>
  <si>
    <t>10.18</t>
  </si>
  <si>
    <t>10.19</t>
  </si>
  <si>
    <t>10.20</t>
  </si>
  <si>
    <t>10.21</t>
  </si>
  <si>
    <t>10.22</t>
  </si>
  <si>
    <t>10.23</t>
  </si>
  <si>
    <t>10.24</t>
  </si>
  <si>
    <t>10.25</t>
  </si>
  <si>
    <t>10.26</t>
  </si>
  <si>
    <t>11.1</t>
  </si>
  <si>
    <t>11.2</t>
  </si>
  <si>
    <t>11.3</t>
  </si>
  <si>
    <t>11.4</t>
  </si>
  <si>
    <t>11.5</t>
  </si>
  <si>
    <t>11.6</t>
  </si>
  <si>
    <t>11.7</t>
  </si>
  <si>
    <t>11.8</t>
  </si>
  <si>
    <t>11.9</t>
  </si>
  <si>
    <t>11.10</t>
  </si>
  <si>
    <t>Параметры из схемы замещения фазы обмотки машины</t>
  </si>
  <si>
    <t>Формулы для расчета рабочих характеристик приведены в таблице 17</t>
  </si>
  <si>
    <t>Расчетные величины для расчета (таблице 17)</t>
  </si>
  <si>
    <t>Активная составляющая тока холостого хода</t>
  </si>
  <si>
    <t>Расчетные точки характеристик определяются и заносятся в таблицу 18</t>
  </si>
  <si>
    <t>Критическое скольжение</t>
  </si>
  <si>
    <t>Параметры с учетом вытеснения тока</t>
  </si>
  <si>
    <t>величина по рисунку 20</t>
  </si>
  <si>
    <t>Глубина проникновения тока в стержень</t>
  </si>
  <si>
    <t>Коэффициент определяющий отношение площади всего сечения стержня</t>
  </si>
  <si>
    <t>Коэффициент общего увеличения сопротивления фазы ротора</t>
  </si>
  <si>
    <t>Приведенное активное сопротивление ротора с учетом эффекта вытеснения тока</t>
  </si>
  <si>
    <t>Площадь сечения стержня, ограниченная величиной</t>
  </si>
  <si>
    <t>Коэффициент, учитывающий изменения индуктивного сопротивления</t>
  </si>
  <si>
    <t>Приведенное индуктивное сопротивление фазы обмотки ротора</t>
  </si>
  <si>
    <t>Ток ротора без учета влияния насыщения магнитопровода полями рассеяния</t>
  </si>
  <si>
    <t>Средняя МДС обмотки, отнесенная к одному пазу обмотки статора</t>
  </si>
  <si>
    <t>Фиктивная индукция потока рассеяния в воздушном зазоре</t>
  </si>
  <si>
    <t>По рисунку 22 определяется коэффициент</t>
  </si>
  <si>
    <t>Коэффициент магнитной проводимости пазового рассеяния (ротор)</t>
  </si>
  <si>
    <t xml:space="preserve">Коэффициент магнитной проводимости пазового рассеяния обмотки статора </t>
  </si>
  <si>
    <t>Коэффициент магнитной проводимости дифференциального рассеяния обмотки статора</t>
  </si>
  <si>
    <t>Индуктивное сопротивление фазы обмотки статора с учетом насыщения</t>
  </si>
  <si>
    <t>Коэффициент магнитной проводимости пазового рассеяния ротора</t>
  </si>
  <si>
    <t>Коэффициент магнитной проводимости дифференциального рассеяния ротора</t>
  </si>
  <si>
    <t>Сопротивление взаимной индукции обмоток в пусковом режиме</t>
  </si>
  <si>
    <t>Ток в обмотке ротора и статора</t>
  </si>
  <si>
    <t>Относительное значение тока</t>
  </si>
  <si>
    <t>Относительное значение момента</t>
  </si>
  <si>
    <t>Действительное критическое скольжение</t>
  </si>
  <si>
    <t>Превышение температуры поверхности статора над температурой воздуха</t>
  </si>
  <si>
    <t>Перепад температуры в изоляции пазовой части обмотки ротора</t>
  </si>
  <si>
    <t>Перепад температуры по толщине изоляции лобовых частей обмотки ротора</t>
  </si>
  <si>
    <t>Превышение температуры поверхности над температурой воздуха внутри машины</t>
  </si>
  <si>
    <t>Среднее превышение температуры обмотки статора над температурой внутри машины</t>
  </si>
  <si>
    <t>Превышение температуры воздуха машины над температурой окружающей среды</t>
  </si>
  <si>
    <t>Среднее превышение температуры статора над температурой окружающей среды</t>
  </si>
  <si>
    <t>Вентиляционный расчет заключается в сопоставлении расхода воздуха</t>
  </si>
  <si>
    <t>Фактический расход воздуха, получаемый с помощью вентилятора</t>
  </si>
  <si>
    <t>Сопоставление требуемого и получаемого расхода воздуха</t>
  </si>
  <si>
    <t>Ko2</t>
  </si>
  <si>
    <t>Bо2</t>
  </si>
  <si>
    <t>Kда</t>
  </si>
  <si>
    <t>Кдz</t>
  </si>
  <si>
    <t>yc</t>
  </si>
  <si>
    <t>Kc</t>
  </si>
  <si>
    <t>B показатель степени (по таблице 16)</t>
  </si>
  <si>
    <t>p1,0/5,0 (по таблице 16)</t>
  </si>
  <si>
    <t>масса стали ярма</t>
  </si>
  <si>
    <t>масса стали зубцов статора</t>
  </si>
  <si>
    <t>bz1 средняя ширина зубца статора</t>
  </si>
  <si>
    <t>Значение Ixxa</t>
  </si>
  <si>
    <t>Электрические потери в статоре при холостом ходе</t>
  </si>
  <si>
    <t>Значение r12</t>
  </si>
  <si>
    <t>Значение x12</t>
  </si>
  <si>
    <t>Значение c1</t>
  </si>
  <si>
    <t>высота стержня в пазу</t>
  </si>
  <si>
    <t>Окончательное значение qr</t>
  </si>
  <si>
    <t>Поверхностные потери в роторе Pпов</t>
  </si>
  <si>
    <t>pпов удельные поверхностные потери ротора</t>
  </si>
  <si>
    <t>Впул2</t>
  </si>
  <si>
    <t>mz2</t>
  </si>
  <si>
    <t>Значение Kт</t>
  </si>
  <si>
    <t>Механические потери для двигателей со степенью защиты IP23</t>
  </si>
  <si>
    <t>Механические потери для двигателей со степенью защиты IP44</t>
  </si>
  <si>
    <t>Формула для расчета</t>
  </si>
  <si>
    <t>Формуа для расчета</t>
  </si>
  <si>
    <t>условная длина</t>
  </si>
  <si>
    <t>станины</t>
  </si>
  <si>
    <t>или сердечника</t>
  </si>
  <si>
    <t>Число полюсов</t>
  </si>
  <si>
    <t>Габаритные размеры,</t>
  </si>
  <si>
    <t>Установочные и присоединительные разме­ры, мм</t>
  </si>
  <si>
    <t>2; 4</t>
  </si>
  <si>
    <t>—</t>
  </si>
  <si>
    <t>2; 4; 6</t>
  </si>
  <si>
    <t>164;</t>
  </si>
  <si>
    <t>80А</t>
  </si>
  <si>
    <t>80В</t>
  </si>
  <si>
    <t>90L</t>
  </si>
  <si>
    <t>218 - 240</t>
  </si>
  <si>
    <t>201 - 223</t>
  </si>
  <si>
    <t>100S</t>
  </si>
  <si>
    <t>--</t>
  </si>
  <si>
    <t>100L</t>
  </si>
  <si>
    <t>112M</t>
  </si>
  <si>
    <t>132S</t>
  </si>
  <si>
    <t>4,6,8</t>
  </si>
  <si>
    <t>132M</t>
  </si>
  <si>
    <t>160S</t>
  </si>
  <si>
    <t>160M</t>
  </si>
  <si>
    <t>180S</t>
  </si>
  <si>
    <t>180M</t>
  </si>
  <si>
    <t>200M</t>
  </si>
  <si>
    <t>200L</t>
  </si>
  <si>
    <t>225M</t>
  </si>
  <si>
    <t>250S</t>
  </si>
  <si>
    <t>4,6,</t>
  </si>
  <si>
    <t>250M</t>
  </si>
  <si>
    <r>
      <t>l</t>
    </r>
    <r>
      <rPr>
        <vertAlign val="subscript"/>
        <sz val="14"/>
        <color theme="1"/>
        <rFont val="Times New Roman"/>
        <family val="1"/>
        <charset val="204"/>
      </rPr>
      <t>30</t>
    </r>
  </si>
  <si>
    <r>
      <t>h</t>
    </r>
    <r>
      <rPr>
        <vertAlign val="subscript"/>
        <sz val="14"/>
        <color theme="1"/>
        <rFont val="Times New Roman"/>
        <family val="1"/>
        <charset val="204"/>
      </rPr>
      <t>31</t>
    </r>
  </si>
  <si>
    <r>
      <t>d</t>
    </r>
    <r>
      <rPr>
        <vertAlign val="subscript"/>
        <sz val="14"/>
        <color theme="1"/>
        <rFont val="Times New Roman"/>
        <family val="1"/>
        <charset val="204"/>
      </rPr>
      <t>31</t>
    </r>
  </si>
  <si>
    <r>
      <t>l</t>
    </r>
    <r>
      <rPr>
        <vertAlign val="subscript"/>
        <sz val="14"/>
        <color theme="1"/>
        <rFont val="Times New Roman"/>
        <family val="1"/>
        <charset val="204"/>
      </rPr>
      <t>1</t>
    </r>
  </si>
  <si>
    <r>
      <t>l</t>
    </r>
    <r>
      <rPr>
        <vertAlign val="subscript"/>
        <sz val="14"/>
        <color theme="1"/>
        <rFont val="Times New Roman"/>
        <family val="1"/>
        <charset val="204"/>
      </rPr>
      <t>2</t>
    </r>
  </si>
  <si>
    <r>
      <t>l</t>
    </r>
    <r>
      <rPr>
        <vertAlign val="subscript"/>
        <sz val="14"/>
        <color theme="1"/>
        <rFont val="Times New Roman"/>
        <family val="1"/>
        <charset val="204"/>
      </rPr>
      <t>10</t>
    </r>
  </si>
  <si>
    <r>
      <t>l</t>
    </r>
    <r>
      <rPr>
        <vertAlign val="subscript"/>
        <sz val="14"/>
        <color theme="1"/>
        <rFont val="Times New Roman"/>
        <family val="1"/>
        <charset val="204"/>
      </rPr>
      <t>11</t>
    </r>
  </si>
  <si>
    <r>
      <t>l</t>
    </r>
    <r>
      <rPr>
        <vertAlign val="subscript"/>
        <sz val="14"/>
        <color theme="1"/>
        <rFont val="Times New Roman"/>
        <family val="1"/>
        <charset val="204"/>
      </rPr>
      <t>12</t>
    </r>
  </si>
  <si>
    <r>
      <t>l</t>
    </r>
    <r>
      <rPr>
        <vertAlign val="subscript"/>
        <sz val="14"/>
        <color theme="1"/>
        <rFont val="Times New Roman"/>
        <family val="1"/>
        <charset val="204"/>
      </rPr>
      <t>31</t>
    </r>
  </si>
  <si>
    <r>
      <t>l</t>
    </r>
    <r>
      <rPr>
        <vertAlign val="subscript"/>
        <sz val="14"/>
        <color theme="1"/>
        <rFont val="Times New Roman"/>
        <family val="1"/>
        <charset val="204"/>
      </rPr>
      <t>34</t>
    </r>
  </si>
  <si>
    <t>Высота оси вращения, условная длинна станины или сердечника</t>
  </si>
  <si>
    <t>Установочные и присоединительные  размеры, мм</t>
  </si>
  <si>
    <t>h</t>
  </si>
  <si>
    <t>2,4,6</t>
  </si>
  <si>
    <t>86/110</t>
  </si>
  <si>
    <t>80A</t>
  </si>
  <si>
    <t>80B</t>
  </si>
  <si>
    <t>205.5</t>
  </si>
  <si>
    <r>
      <t>l</t>
    </r>
    <r>
      <rPr>
        <vertAlign val="subscript"/>
        <sz val="14"/>
        <color theme="1"/>
        <rFont val="Times New Roman"/>
        <family val="1"/>
        <charset val="204"/>
      </rPr>
      <t>36</t>
    </r>
  </si>
  <si>
    <r>
      <t>l</t>
    </r>
    <r>
      <rPr>
        <vertAlign val="subscript"/>
        <sz val="14"/>
        <color theme="1"/>
        <rFont val="Times New Roman"/>
        <family val="1"/>
        <charset val="204"/>
      </rPr>
      <t>51</t>
    </r>
  </si>
  <si>
    <r>
      <t>b</t>
    </r>
    <r>
      <rPr>
        <vertAlign val="subscript"/>
        <sz val="14"/>
        <color theme="1"/>
        <rFont val="Times New Roman"/>
        <family val="1"/>
        <charset val="204"/>
      </rPr>
      <t>1</t>
    </r>
  </si>
  <si>
    <r>
      <t>b</t>
    </r>
    <r>
      <rPr>
        <vertAlign val="subscript"/>
        <sz val="14"/>
        <color theme="1"/>
        <rFont val="Times New Roman"/>
        <family val="1"/>
        <charset val="204"/>
      </rPr>
      <t>2</t>
    </r>
  </si>
  <si>
    <r>
      <t>b</t>
    </r>
    <r>
      <rPr>
        <vertAlign val="subscript"/>
        <sz val="14"/>
        <color theme="1"/>
        <rFont val="Times New Roman"/>
        <family val="1"/>
        <charset val="204"/>
      </rPr>
      <t>10</t>
    </r>
  </si>
  <si>
    <r>
      <t>b</t>
    </r>
    <r>
      <rPr>
        <vertAlign val="subscript"/>
        <sz val="14"/>
        <color theme="1"/>
        <rFont val="Times New Roman"/>
        <family val="1"/>
        <charset val="204"/>
      </rPr>
      <t>11</t>
    </r>
  </si>
  <si>
    <r>
      <t>b</t>
    </r>
    <r>
      <rPr>
        <vertAlign val="subscript"/>
        <sz val="14"/>
        <color theme="1"/>
        <rFont val="Times New Roman"/>
        <family val="1"/>
        <charset val="204"/>
      </rPr>
      <t>12</t>
    </r>
  </si>
  <si>
    <r>
      <t>b</t>
    </r>
    <r>
      <rPr>
        <vertAlign val="subscript"/>
        <sz val="14"/>
        <color theme="1"/>
        <rFont val="Times New Roman"/>
        <family val="1"/>
        <charset val="204"/>
      </rPr>
      <t>31</t>
    </r>
  </si>
  <si>
    <r>
      <t>b</t>
    </r>
    <r>
      <rPr>
        <vertAlign val="subscript"/>
        <sz val="14"/>
        <color theme="1"/>
        <rFont val="Times New Roman"/>
        <family val="1"/>
        <charset val="204"/>
      </rPr>
      <t>34</t>
    </r>
  </si>
  <si>
    <t>86|110</t>
  </si>
  <si>
    <t>2,4,6,8</t>
  </si>
  <si>
    <t>4,6,8,10</t>
  </si>
  <si>
    <t>Масса</t>
  </si>
  <si>
    <t>кг</t>
  </si>
  <si>
    <r>
      <t>h</t>
    </r>
    <r>
      <rPr>
        <vertAlign val="subscript"/>
        <sz val="10"/>
        <color theme="1"/>
        <rFont val="Times New Roman"/>
        <family val="1"/>
        <charset val="204"/>
      </rPr>
      <t>1</t>
    </r>
  </si>
  <si>
    <r>
      <t>h</t>
    </r>
    <r>
      <rPr>
        <vertAlign val="subscript"/>
        <sz val="10"/>
        <color theme="1"/>
        <rFont val="Times New Roman"/>
        <family val="1"/>
        <charset val="204"/>
      </rPr>
      <t>2</t>
    </r>
  </si>
  <si>
    <r>
      <t>h</t>
    </r>
    <r>
      <rPr>
        <vertAlign val="subscript"/>
        <sz val="10"/>
        <color theme="1"/>
        <rFont val="Times New Roman"/>
        <family val="1"/>
        <charset val="204"/>
      </rPr>
      <t>5</t>
    </r>
  </si>
  <si>
    <r>
      <t>h</t>
    </r>
    <r>
      <rPr>
        <vertAlign val="subscript"/>
        <sz val="10"/>
        <color theme="1"/>
        <rFont val="Times New Roman"/>
        <family val="1"/>
        <charset val="204"/>
      </rPr>
      <t>10</t>
    </r>
  </si>
  <si>
    <r>
      <t>h</t>
    </r>
    <r>
      <rPr>
        <vertAlign val="subscript"/>
        <sz val="10"/>
        <color theme="1"/>
        <rFont val="Times New Roman"/>
        <family val="1"/>
        <charset val="204"/>
      </rPr>
      <t>34</t>
    </r>
  </si>
  <si>
    <r>
      <t>d</t>
    </r>
    <r>
      <rPr>
        <vertAlign val="subscript"/>
        <sz val="10"/>
        <color theme="1"/>
        <rFont val="Times New Roman"/>
        <family val="1"/>
        <charset val="204"/>
      </rPr>
      <t>1</t>
    </r>
  </si>
  <si>
    <r>
      <t>d</t>
    </r>
    <r>
      <rPr>
        <vertAlign val="subscript"/>
        <sz val="10"/>
        <color theme="1"/>
        <rFont val="Times New Roman"/>
        <family val="1"/>
        <charset val="204"/>
      </rPr>
      <t>10</t>
    </r>
  </si>
  <si>
    <r>
      <t>d</t>
    </r>
    <r>
      <rPr>
        <vertAlign val="subscript"/>
        <sz val="10"/>
        <color theme="1"/>
        <rFont val="Times New Roman"/>
        <family val="1"/>
        <charset val="204"/>
      </rPr>
      <t>2</t>
    </r>
  </si>
  <si>
    <r>
      <t>h</t>
    </r>
    <r>
      <rPr>
        <vertAlign val="subscript"/>
        <sz val="10"/>
        <color theme="1"/>
        <rFont val="Times New Roman"/>
        <family val="1"/>
        <charset val="204"/>
      </rPr>
      <t>6</t>
    </r>
  </si>
  <si>
    <t>169/181</t>
  </si>
  <si>
    <t>186/198</t>
  </si>
  <si>
    <t>211/218</t>
  </si>
  <si>
    <t>110</t>
  </si>
  <si>
    <t>2; 4;</t>
  </si>
  <si>
    <t>6; 8</t>
  </si>
  <si>
    <t>112М</t>
  </si>
  <si>
    <t>4; 6; 8</t>
  </si>
  <si>
    <t>132М</t>
  </si>
  <si>
    <t>2; 4; 6; 8</t>
  </si>
  <si>
    <t>160М</t>
  </si>
  <si>
    <t>180М</t>
  </si>
  <si>
    <t>200М</t>
  </si>
  <si>
    <t>225М</t>
  </si>
  <si>
    <t>4; 6; 8;  10</t>
  </si>
  <si>
    <t>250М</t>
  </si>
  <si>
    <t>двигателя</t>
  </si>
  <si>
    <t>Габаритные и установочные размеры, мм</t>
  </si>
  <si>
    <r>
      <t>d</t>
    </r>
    <r>
      <rPr>
        <vertAlign val="subscript"/>
        <sz val="10"/>
        <color theme="1"/>
        <rFont val="Times New Roman"/>
        <family val="1"/>
        <charset val="204"/>
      </rPr>
      <t>30</t>
    </r>
  </si>
  <si>
    <r>
      <t>d*</t>
    </r>
    <r>
      <rPr>
        <vertAlign val="subscript"/>
        <sz val="10"/>
        <color theme="1"/>
        <rFont val="Times New Roman"/>
        <family val="1"/>
        <charset val="204"/>
      </rPr>
      <t>30</t>
    </r>
  </si>
  <si>
    <r>
      <t>d</t>
    </r>
    <r>
      <rPr>
        <vertAlign val="subscript"/>
        <sz val="10"/>
        <color theme="1"/>
        <rFont val="Times New Roman"/>
        <family val="1"/>
        <charset val="204"/>
      </rPr>
      <t>35</t>
    </r>
  </si>
  <si>
    <r>
      <t>d</t>
    </r>
    <r>
      <rPr>
        <vertAlign val="subscript"/>
        <sz val="10"/>
        <color theme="1"/>
        <rFont val="Times New Roman"/>
        <family val="1"/>
        <charset val="204"/>
      </rPr>
      <t>36</t>
    </r>
  </si>
  <si>
    <r>
      <t>d</t>
    </r>
    <r>
      <rPr>
        <vertAlign val="subscript"/>
        <sz val="10"/>
        <color theme="1"/>
        <rFont val="Times New Roman"/>
        <family val="1"/>
        <charset val="204"/>
      </rPr>
      <t>37</t>
    </r>
  </si>
  <si>
    <r>
      <t>d*</t>
    </r>
    <r>
      <rPr>
        <vertAlign val="subscript"/>
        <sz val="10"/>
        <color theme="1"/>
        <rFont val="Times New Roman"/>
        <family val="1"/>
        <charset val="204"/>
      </rPr>
      <t>38</t>
    </r>
  </si>
  <si>
    <r>
      <t>l</t>
    </r>
    <r>
      <rPr>
        <vertAlign val="subscript"/>
        <sz val="10"/>
        <color theme="1"/>
        <rFont val="Times New Roman"/>
        <family val="1"/>
        <charset val="204"/>
      </rPr>
      <t>52</t>
    </r>
  </si>
  <si>
    <r>
      <t>l</t>
    </r>
    <r>
      <rPr>
        <vertAlign val="subscript"/>
        <sz val="10"/>
        <color theme="1"/>
        <rFont val="Times New Roman"/>
        <family val="1"/>
        <charset val="204"/>
      </rPr>
      <t>53</t>
    </r>
  </si>
  <si>
    <r>
      <t>l</t>
    </r>
    <r>
      <rPr>
        <vertAlign val="subscript"/>
        <sz val="10"/>
        <color theme="1"/>
        <rFont val="Times New Roman"/>
        <family val="1"/>
        <charset val="204"/>
      </rPr>
      <t>54</t>
    </r>
  </si>
  <si>
    <r>
      <t>l</t>
    </r>
    <r>
      <rPr>
        <vertAlign val="subscript"/>
        <sz val="10"/>
        <color theme="1"/>
        <rFont val="Times New Roman"/>
        <family val="1"/>
        <charset val="204"/>
      </rPr>
      <t>55</t>
    </r>
  </si>
  <si>
    <r>
      <t>l</t>
    </r>
    <r>
      <rPr>
        <vertAlign val="subscript"/>
        <sz val="10"/>
        <color theme="1"/>
        <rFont val="Times New Roman"/>
        <family val="1"/>
        <charset val="204"/>
      </rPr>
      <t>56</t>
    </r>
  </si>
  <si>
    <t>4AB71A2</t>
  </si>
  <si>
    <t>M6</t>
  </si>
  <si>
    <t>4AB71B2</t>
  </si>
  <si>
    <t>4AB71A4</t>
  </si>
  <si>
    <t>4AB71B4</t>
  </si>
  <si>
    <t>4AB71A6</t>
  </si>
  <si>
    <t>4AB71B6</t>
  </si>
  <si>
    <t>4AB71B8</t>
  </si>
  <si>
    <t>4AB80A2</t>
  </si>
  <si>
    <t>4AB80B2</t>
  </si>
  <si>
    <t>4AB80A4</t>
  </si>
  <si>
    <t>4AB80B4</t>
  </si>
  <si>
    <t>4AB80A6</t>
  </si>
  <si>
    <t>4AB80B6</t>
  </si>
  <si>
    <t>4AB80A8</t>
  </si>
  <si>
    <t>4AB80B8</t>
  </si>
  <si>
    <t>4AB90A2</t>
  </si>
  <si>
    <t>4AB90A4</t>
  </si>
  <si>
    <t>4AB90A6</t>
  </si>
  <si>
    <t>4AB90A8</t>
  </si>
  <si>
    <t>4AB90B8</t>
  </si>
  <si>
    <t>4AB100A2</t>
  </si>
  <si>
    <t>4AB100B2</t>
  </si>
  <si>
    <t>4AB100A4</t>
  </si>
  <si>
    <t>4AB100B4</t>
  </si>
  <si>
    <t>4AB100B6</t>
  </si>
  <si>
    <t>4AB112A2</t>
  </si>
  <si>
    <t>4AB112A4</t>
  </si>
  <si>
    <t>4AB112A6</t>
  </si>
  <si>
    <t>4AB112B6</t>
  </si>
  <si>
    <t>4AB112A8</t>
  </si>
  <si>
    <t>4AB112B8</t>
  </si>
  <si>
    <t>4AB132A2</t>
  </si>
  <si>
    <t>4AB132A4</t>
  </si>
  <si>
    <t>4AB132B4</t>
  </si>
  <si>
    <t>4AB132A6</t>
  </si>
  <si>
    <t>4AB132B6</t>
  </si>
  <si>
    <t>4AB132A8</t>
  </si>
  <si>
    <t>4AB132B8</t>
  </si>
  <si>
    <t>4AB71A4/2</t>
  </si>
  <si>
    <t>4AB71B4/2</t>
  </si>
  <si>
    <t>4AB8A4/2</t>
  </si>
  <si>
    <t>4AB90A4/2</t>
  </si>
  <si>
    <t>4AB90B4/2</t>
  </si>
  <si>
    <t>4AB90B6/4</t>
  </si>
  <si>
    <t>4AB90B8/4</t>
  </si>
  <si>
    <t>4AB100A4/2</t>
  </si>
  <si>
    <t>4AB100B4/2</t>
  </si>
  <si>
    <t>4AB100A6/4</t>
  </si>
  <si>
    <t>4A100B6/4</t>
  </si>
  <si>
    <t>4AB100A8/4</t>
  </si>
  <si>
    <t>4AB100B8/4</t>
  </si>
  <si>
    <t>4AB100A8/6</t>
  </si>
  <si>
    <t>4AB100B8/6</t>
  </si>
  <si>
    <t>4AB100A6/4/2</t>
  </si>
  <si>
    <t>4AB100B6/4/2</t>
  </si>
  <si>
    <t>4AB100A8/4/2</t>
  </si>
  <si>
    <t>4AB100B8/4/2</t>
  </si>
  <si>
    <t>4AB100A8/6/4</t>
  </si>
  <si>
    <t>4AB100B8/6/4</t>
  </si>
  <si>
    <t>4AB100A8/6/4/2</t>
  </si>
  <si>
    <t>4AB100B8/6/4/2</t>
  </si>
  <si>
    <t>Типоразмер электродвигателя</t>
  </si>
  <si>
    <r>
      <t>l</t>
    </r>
    <r>
      <rPr>
        <vertAlign val="subscript"/>
        <sz val="10"/>
        <color theme="1"/>
        <rFont val="Times New Roman"/>
        <family val="1"/>
        <charset val="204"/>
      </rPr>
      <t>5</t>
    </r>
  </si>
  <si>
    <r>
      <t>b</t>
    </r>
    <r>
      <rPr>
        <vertAlign val="subscript"/>
        <sz val="10"/>
        <color theme="1"/>
        <rFont val="Times New Roman"/>
        <family val="1"/>
        <charset val="204"/>
      </rPr>
      <t>35</t>
    </r>
  </si>
  <si>
    <r>
      <t>d</t>
    </r>
    <r>
      <rPr>
        <vertAlign val="subscript"/>
        <sz val="10"/>
        <color theme="1"/>
        <rFont val="Times New Roman"/>
        <family val="1"/>
        <charset val="204"/>
      </rPr>
      <t>40</t>
    </r>
  </si>
  <si>
    <r>
      <t>d*</t>
    </r>
    <r>
      <rPr>
        <vertAlign val="subscript"/>
        <sz val="10"/>
        <color theme="1"/>
        <rFont val="Times New Roman"/>
        <family val="1"/>
        <charset val="204"/>
      </rPr>
      <t>40</t>
    </r>
  </si>
  <si>
    <r>
      <t>l</t>
    </r>
    <r>
      <rPr>
        <vertAlign val="subscript"/>
        <sz val="10"/>
        <color theme="1"/>
        <rFont val="Times New Roman"/>
        <family val="1"/>
        <charset val="204"/>
      </rPr>
      <t>57</t>
    </r>
  </si>
  <si>
    <r>
      <t>l</t>
    </r>
    <r>
      <rPr>
        <vertAlign val="subscript"/>
        <sz val="10"/>
        <color theme="1"/>
        <rFont val="Times New Roman"/>
        <family val="1"/>
        <charset val="204"/>
      </rPr>
      <t>58</t>
    </r>
  </si>
  <si>
    <t>4AB56A2</t>
  </si>
  <si>
    <t>4AB56B2</t>
  </si>
  <si>
    <t>4AB56A4</t>
  </si>
  <si>
    <t>4AB56B4</t>
  </si>
  <si>
    <t>4AB63A2</t>
  </si>
  <si>
    <t>4AB63B2</t>
  </si>
  <si>
    <t>4AB63A4</t>
  </si>
  <si>
    <t>4AB63B4</t>
  </si>
  <si>
    <t>4AB63A6</t>
  </si>
  <si>
    <t>4AB63B6</t>
  </si>
  <si>
    <t>Типоразмер электро</t>
  </si>
  <si>
    <r>
      <t>Расход воздуха, м</t>
    </r>
    <r>
      <rPr>
        <vertAlign val="superscript"/>
        <sz val="10"/>
        <color theme="1"/>
        <rFont val="Times New Roman"/>
        <family val="1"/>
        <charset val="204"/>
      </rPr>
      <t>2</t>
    </r>
    <r>
      <rPr>
        <sz val="10"/>
        <color theme="1"/>
        <rFont val="Times New Roman"/>
        <family val="1"/>
        <charset val="204"/>
      </rPr>
      <t>/с, не менее</t>
    </r>
  </si>
  <si>
    <r>
      <t>Сечение отверстий для входа и выхода воздуха, м</t>
    </r>
    <r>
      <rPr>
        <vertAlign val="superscript"/>
        <sz val="10"/>
        <color theme="1"/>
        <rFont val="Times New Roman"/>
        <family val="1"/>
        <charset val="204"/>
      </rPr>
      <t>2</t>
    </r>
  </si>
  <si>
    <t>Масса, кг</t>
  </si>
  <si>
    <t>Вентилятор</t>
  </si>
  <si>
    <r>
      <t>Q</t>
    </r>
    <r>
      <rPr>
        <vertAlign val="subscript"/>
        <sz val="10"/>
        <color theme="1"/>
        <rFont val="Times New Roman"/>
        <family val="1"/>
        <charset val="204"/>
      </rPr>
      <t>1</t>
    </r>
  </si>
  <si>
    <r>
      <t>Q</t>
    </r>
    <r>
      <rPr>
        <vertAlign val="subscript"/>
        <sz val="10"/>
        <color theme="1"/>
        <rFont val="Times New Roman"/>
        <family val="1"/>
        <charset val="204"/>
      </rPr>
      <t>2</t>
    </r>
  </si>
  <si>
    <r>
      <t>d</t>
    </r>
    <r>
      <rPr>
        <vertAlign val="subscript"/>
        <sz val="10"/>
        <color theme="1"/>
        <rFont val="Times New Roman"/>
        <family val="1"/>
        <charset val="204"/>
      </rPr>
      <t>41</t>
    </r>
  </si>
  <si>
    <r>
      <t>d</t>
    </r>
    <r>
      <rPr>
        <vertAlign val="subscript"/>
        <sz val="10"/>
        <color theme="1"/>
        <rFont val="Times New Roman"/>
        <family val="1"/>
        <charset val="204"/>
      </rPr>
      <t>43</t>
    </r>
  </si>
  <si>
    <r>
      <t>d*</t>
    </r>
    <r>
      <rPr>
        <vertAlign val="subscript"/>
        <sz val="10"/>
        <color theme="1"/>
        <rFont val="Times New Roman"/>
        <family val="1"/>
        <charset val="204"/>
      </rPr>
      <t>43</t>
    </r>
  </si>
  <si>
    <r>
      <t>h</t>
    </r>
    <r>
      <rPr>
        <vertAlign val="subscript"/>
        <sz val="10"/>
        <color theme="1"/>
        <rFont val="Times New Roman"/>
        <family val="1"/>
        <charset val="204"/>
      </rPr>
      <t>37</t>
    </r>
  </si>
  <si>
    <t>Типоразмерэлектродвигателя</t>
  </si>
  <si>
    <r>
      <t>b</t>
    </r>
    <r>
      <rPr>
        <vertAlign val="subscript"/>
        <sz val="10"/>
        <color theme="1"/>
        <rFont val="Times New Roman"/>
        <family val="1"/>
        <charset val="204"/>
      </rPr>
      <t>34</t>
    </r>
  </si>
  <si>
    <r>
      <t>d*</t>
    </r>
    <r>
      <rPr>
        <vertAlign val="subscript"/>
        <sz val="10"/>
        <color theme="1"/>
        <rFont val="Times New Roman"/>
        <family val="1"/>
        <charset val="204"/>
      </rPr>
      <t>39</t>
    </r>
  </si>
  <si>
    <r>
      <t>b</t>
    </r>
    <r>
      <rPr>
        <vertAlign val="subscript"/>
        <sz val="10"/>
        <color theme="1"/>
        <rFont val="Times New Roman"/>
        <family val="1"/>
        <charset val="204"/>
      </rPr>
      <t>36</t>
    </r>
  </si>
  <si>
    <r>
      <t>h</t>
    </r>
    <r>
      <rPr>
        <vertAlign val="subscript"/>
        <sz val="10"/>
        <color theme="1"/>
        <rFont val="Times New Roman"/>
        <family val="1"/>
        <charset val="204"/>
      </rPr>
      <t>38</t>
    </r>
  </si>
  <si>
    <t>4AB100B8</t>
  </si>
  <si>
    <t>4AB80A4/2</t>
  </si>
  <si>
    <t>4AB100B6/4</t>
  </si>
  <si>
    <r>
      <t>Расход воздуха, м</t>
    </r>
    <r>
      <rPr>
        <vertAlign val="superscript"/>
        <sz val="9"/>
        <color theme="1"/>
        <rFont val="Times New Roman"/>
        <family val="1"/>
        <charset val="204"/>
      </rPr>
      <t>3</t>
    </r>
    <r>
      <rPr>
        <sz val="9"/>
        <color theme="1"/>
        <rFont val="Times New Roman"/>
        <family val="1"/>
        <charset val="204"/>
      </rPr>
      <t>/с, не менее</t>
    </r>
  </si>
  <si>
    <r>
      <t>Сечение отверстий для входа и выхода воздуха, м</t>
    </r>
    <r>
      <rPr>
        <vertAlign val="superscript"/>
        <sz val="9"/>
        <color theme="1"/>
        <rFont val="Times New Roman"/>
        <family val="1"/>
        <charset val="204"/>
      </rPr>
      <t>2</t>
    </r>
  </si>
  <si>
    <r>
      <t>Q</t>
    </r>
    <r>
      <rPr>
        <vertAlign val="subscript"/>
        <sz val="9"/>
        <color theme="1"/>
        <rFont val="Times New Roman"/>
        <family val="1"/>
        <charset val="204"/>
      </rPr>
      <t>1</t>
    </r>
  </si>
  <si>
    <r>
      <t>Q</t>
    </r>
    <r>
      <rPr>
        <vertAlign val="subscript"/>
        <sz val="9"/>
        <color theme="1"/>
        <rFont val="Times New Roman"/>
        <family val="1"/>
        <charset val="204"/>
      </rPr>
      <t>2</t>
    </r>
  </si>
  <si>
    <r>
      <t>d</t>
    </r>
    <r>
      <rPr>
        <vertAlign val="subscript"/>
        <sz val="9"/>
        <color theme="1"/>
        <rFont val="Times New Roman"/>
        <family val="1"/>
        <charset val="204"/>
      </rPr>
      <t>41</t>
    </r>
  </si>
  <si>
    <r>
      <t>d</t>
    </r>
    <r>
      <rPr>
        <vertAlign val="subscript"/>
        <sz val="9"/>
        <color theme="1"/>
        <rFont val="Times New Roman"/>
        <family val="1"/>
        <charset val="204"/>
      </rPr>
      <t>43</t>
    </r>
  </si>
  <si>
    <r>
      <t>d*</t>
    </r>
    <r>
      <rPr>
        <vertAlign val="subscript"/>
        <sz val="9"/>
        <color theme="1"/>
        <rFont val="Times New Roman"/>
        <family val="1"/>
        <charset val="204"/>
      </rPr>
      <t>43</t>
    </r>
  </si>
  <si>
    <r>
      <t>l</t>
    </r>
    <r>
      <rPr>
        <vertAlign val="subscript"/>
        <sz val="9"/>
        <color theme="1"/>
        <rFont val="Times New Roman"/>
        <family val="1"/>
        <charset val="204"/>
      </rPr>
      <t>60</t>
    </r>
  </si>
  <si>
    <r>
      <t>l</t>
    </r>
    <r>
      <rPr>
        <vertAlign val="subscript"/>
        <sz val="9"/>
        <color theme="1"/>
        <rFont val="Times New Roman"/>
        <family val="1"/>
        <charset val="204"/>
      </rPr>
      <t>61</t>
    </r>
  </si>
  <si>
    <r>
      <t>l</t>
    </r>
    <r>
      <rPr>
        <vertAlign val="subscript"/>
        <sz val="9"/>
        <color theme="1"/>
        <rFont val="Times New Roman"/>
        <family val="1"/>
        <charset val="204"/>
      </rPr>
      <t>62</t>
    </r>
  </si>
  <si>
    <t>`17</t>
  </si>
  <si>
    <t>Значение b2/2</t>
  </si>
  <si>
    <t>Значение qr</t>
  </si>
  <si>
    <t>Значение br</t>
  </si>
  <si>
    <t xml:space="preserve">Высота оси вращения - определяется по графику и из таблицы 1 выбирается значение </t>
  </si>
  <si>
    <t>-</t>
  </si>
  <si>
    <t>коэффициент k(нас)</t>
  </si>
  <si>
    <t>Коэффициент K из таблицы 19</t>
  </si>
  <si>
    <t>Коэффициент K для обмоток изоляции класса нагревостойкоси В</t>
  </si>
  <si>
    <t>Коэффициент K для обмоток изоляции класса нагревостойкоси F</t>
  </si>
  <si>
    <t>Коэффициент K для обмоток изоляции класса нагревостойкоси H</t>
  </si>
  <si>
    <t>Значение коэффициента K</t>
  </si>
  <si>
    <t>lэкв средняя эквивалентная теплопроводность пазовой изоляции</t>
  </si>
  <si>
    <t>Диаметр изолированного провода</t>
  </si>
  <si>
    <t>Диаметр неизолированного провода</t>
  </si>
  <si>
    <t>Значение d/dиз</t>
  </si>
  <si>
    <t>Значение коэффициента Квыл</t>
  </si>
  <si>
    <t>Значение В</t>
  </si>
  <si>
    <t>Значение а1</t>
  </si>
  <si>
    <t>Значение аb</t>
  </si>
  <si>
    <t>Значение L</t>
  </si>
  <si>
    <t>Значение lg</t>
  </si>
  <si>
    <t>Значение lст</t>
  </si>
  <si>
    <t>Коэффициент m</t>
  </si>
  <si>
    <t>Число радиальных вентиляционных каналов</t>
  </si>
  <si>
    <t>Ширина радиальных вентиляционных каналов</t>
  </si>
  <si>
    <t>Фактический расход воздуха, получаемый с помощью вентилятора (Степень защиты IP44)</t>
  </si>
  <si>
    <t>Для двигателя со степенью защиты IP44</t>
  </si>
  <si>
    <t>Для двигателя со степенью защиты IP23</t>
  </si>
  <si>
    <t>Потери в двигателе при нормальном режиме</t>
  </si>
  <si>
    <t>Единица измерения</t>
  </si>
  <si>
    <t>Ом</t>
  </si>
  <si>
    <t>кВт</t>
  </si>
  <si>
    <t>Число парралельных ветвей (предварительно)</t>
  </si>
  <si>
    <t>Значение Bz2 по таблице 5</t>
  </si>
  <si>
    <t>коэффициент ki по рисунку 12</t>
  </si>
  <si>
    <t>Вz2ср</t>
  </si>
  <si>
    <t>При расчетной температуре   (класс нагревостойкости изоляции A, E, B)</t>
  </si>
  <si>
    <t>При расчетной температуре   (класс нагревостойкости изоляции F,H)</t>
  </si>
  <si>
    <t>коэффициент Kg</t>
  </si>
  <si>
    <t>скольжение для расчета в пояснительной записке</t>
  </si>
  <si>
    <t>h 2p=2</t>
  </si>
  <si>
    <t>h 2p=4</t>
  </si>
  <si>
    <t>h 2p=6</t>
  </si>
  <si>
    <t>h 2p=8</t>
  </si>
  <si>
    <t>h 2p=12</t>
  </si>
  <si>
    <t>h 2p=10</t>
  </si>
  <si>
    <t xml:space="preserve">p </t>
  </si>
  <si>
    <t>2p</t>
  </si>
  <si>
    <t>8–12</t>
  </si>
  <si>
    <r>
      <t>K</t>
    </r>
    <r>
      <rPr>
        <i/>
        <vertAlign val="subscript"/>
        <sz val="16"/>
        <color theme="1"/>
        <rFont val="Times New Roman"/>
        <family val="1"/>
        <charset val="204"/>
      </rPr>
      <t>D</t>
    </r>
  </si>
  <si>
    <t>0,52–0,57</t>
  </si>
  <si>
    <t>0,64–0,68</t>
  </si>
  <si>
    <t>0,70–0,72</t>
  </si>
  <si>
    <t>0,74–0,77</t>
  </si>
  <si>
    <t>"отсутствует значение"</t>
  </si>
  <si>
    <t>№</t>
  </si>
  <si>
    <t>Высота оси h</t>
  </si>
  <si>
    <t>ЕСЛИ(;;)</t>
  </si>
  <si>
    <t>Слишком большое значение мощности</t>
  </si>
  <si>
    <t>Наружний диаметр статора</t>
  </si>
  <si>
    <t>отсутствует значение</t>
  </si>
  <si>
    <t>***</t>
  </si>
  <si>
    <t>Число пар полюсов</t>
  </si>
  <si>
    <r>
      <rPr>
        <sz val="14"/>
        <color theme="1"/>
        <rFont val="Times New Roman"/>
        <family val="1"/>
        <charset val="204"/>
      </rPr>
      <t xml:space="preserve">Частота вращения </t>
    </r>
    <r>
      <rPr>
        <sz val="11"/>
        <color theme="1"/>
        <rFont val="Times New Roman"/>
        <family val="1"/>
        <charset val="204"/>
      </rPr>
      <t xml:space="preserve">
***
это параметр асинхронный машины
который указывает на стандартное
число оборотов в минуту при станд-
артной частоте в 50 или 60 гц
***</t>
    </r>
  </si>
  <si>
    <t>Стандартная частота вращения</t>
  </si>
  <si>
    <t>Номинальная мощность Раздел (1-11) Вт</t>
  </si>
  <si>
    <t>Номинальная мощность Раздел (1-11) кВт</t>
  </si>
  <si>
    <t>Введите стандартное значение частоты тока для дальнейших расчетов</t>
  </si>
  <si>
    <t>ρ</t>
  </si>
  <si>
    <t>σ</t>
  </si>
  <si>
    <t>β</t>
  </si>
  <si>
    <t>μ</t>
  </si>
  <si>
    <t>ν</t>
  </si>
  <si>
    <t>η</t>
  </si>
  <si>
    <t>ξ</t>
  </si>
  <si>
    <t>τ</t>
  </si>
  <si>
    <t>α</t>
  </si>
  <si>
    <t>φ</t>
  </si>
  <si>
    <t>λ</t>
  </si>
  <si>
    <t>cosφ</t>
  </si>
  <si>
    <t>[Подробнее]</t>
  </si>
  <si>
    <t>Формула</t>
  </si>
  <si>
    <t>Число пар полюсов          Раздел (1-11)</t>
  </si>
  <si>
    <t>ГОСТ 8338 - 75.pdf</t>
  </si>
  <si>
    <t></t>
  </si>
  <si>
    <t></t>
  </si>
  <si>
    <t></t>
  </si>
  <si>
    <t></t>
  </si>
  <si>
    <t>Копылов проектирование электрических машин</t>
  </si>
  <si>
    <t>D</t>
  </si>
  <si>
    <t></t>
  </si>
  <si>
    <r>
      <t>в</t>
    </r>
    <r>
      <rPr>
        <i/>
        <vertAlign val="subscript"/>
        <sz val="24"/>
        <color rgb="FF006600"/>
        <rFont val="Times New Roman"/>
        <family val="1"/>
        <charset val="204"/>
      </rPr>
      <t>1</t>
    </r>
  </si>
  <si>
    <r>
      <t>в</t>
    </r>
    <r>
      <rPr>
        <i/>
        <vertAlign val="subscript"/>
        <sz val="24"/>
        <color rgb="FF006600"/>
        <rFont val="Times New Roman"/>
        <family val="1"/>
        <charset val="204"/>
      </rPr>
      <t>2</t>
    </r>
  </si>
  <si>
    <r>
      <t>h</t>
    </r>
    <r>
      <rPr>
        <vertAlign val="subscript"/>
        <sz val="24"/>
        <color rgb="FF006600"/>
        <rFont val="Times New Roman"/>
        <family val="1"/>
        <charset val="204"/>
      </rPr>
      <t>1</t>
    </r>
  </si>
  <si>
    <t xml:space="preserve">Формула </t>
  </si>
  <si>
    <t>Обозначение</t>
  </si>
  <si>
    <r>
      <t>D</t>
    </r>
    <r>
      <rPr>
        <i/>
        <vertAlign val="subscript"/>
        <sz val="36"/>
        <color theme="1"/>
        <rFont val="Times New Roman"/>
        <family val="1"/>
        <charset val="204"/>
      </rPr>
      <t>A</t>
    </r>
  </si>
  <si>
    <t>p</t>
  </si>
  <si>
    <r>
      <t>K</t>
    </r>
    <r>
      <rPr>
        <i/>
        <vertAlign val="subscript"/>
        <sz val="36"/>
        <color theme="1"/>
        <rFont val="Times New Roman"/>
        <family val="1"/>
        <charset val="204"/>
      </rPr>
      <t>d</t>
    </r>
  </si>
  <si>
    <t></t>
  </si>
  <si>
    <t></t>
  </si>
  <si>
    <t>Номинальный диаметр неизолированного проводника, мм</t>
  </si>
  <si>
    <t>Среднее значение диаметра изолированного провода, мм</t>
  </si>
  <si>
    <r>
      <t xml:space="preserve">Площадь поперечного сечения неизолированного провода, мм </t>
    </r>
    <r>
      <rPr>
        <vertAlign val="superscript"/>
        <sz val="12"/>
        <color theme="1"/>
        <rFont val="Times New Roman"/>
        <family val="1"/>
        <charset val="204"/>
      </rPr>
      <t>2</t>
    </r>
  </si>
  <si>
    <t>Участки магнитной цепи</t>
  </si>
  <si>
    <t>Обозна- чение</t>
  </si>
  <si>
    <t>IP44</t>
  </si>
  <si>
    <t>IP23</t>
  </si>
  <si>
    <t>10 и 12</t>
  </si>
  <si>
    <t>Ярмо статора</t>
  </si>
  <si>
    <t>1,4–1,6</t>
  </si>
  <si>
    <t>1,15–1,35</t>
  </si>
  <si>
    <t>1,1–1,2</t>
  </si>
  <si>
    <t>1,45–1,6</t>
  </si>
  <si>
    <t>1,2–1,4</t>
  </si>
  <si>
    <t>1,1–1,3</t>
  </si>
  <si>
    <t>1,7–1,9</t>
  </si>
  <si>
    <t>1,6–1,8</t>
  </si>
  <si>
    <t>1,9–2,1</t>
  </si>
  <si>
    <t>1,8–2,0</t>
  </si>
  <si>
    <t>Зубцы статора в наиболее узком сечении:</t>
  </si>
  <si>
    <t>при по- луоткры- тых пазах</t>
  </si>
  <si>
    <t>1,75–1,95</t>
  </si>
  <si>
    <t>при открытых пазах</t>
  </si>
  <si>
    <t>Ярмо ротора:</t>
  </si>
  <si>
    <t>короткозам- кнутого</t>
  </si>
  <si>
    <t>≤1,45</t>
  </si>
  <si>
    <t>≤1,25</t>
  </si>
  <si>
    <t>≤1,15</t>
  </si>
  <si>
    <t>≤0,85</t>
  </si>
  <si>
    <t>≤1,55</t>
  </si>
  <si>
    <t>≤1,35</t>
  </si>
  <si>
    <t>≤0,95</t>
  </si>
  <si>
    <t>фазного</t>
  </si>
  <si>
    <t>≤1,05</t>
  </si>
  <si>
    <t>≤0,75</t>
  </si>
  <si>
    <t>U=6000 В</t>
  </si>
  <si>
    <t>≤1,30</t>
  </si>
  <si>
    <t>≤0,10</t>
  </si>
  <si>
    <t>≤1,20</t>
  </si>
  <si>
    <t>≤1,0</t>
  </si>
  <si>
    <t>1,75–1,85</t>
  </si>
  <si>
    <t>1,8–1,95</t>
  </si>
  <si>
    <t>Зубцы рото- ра в наибо- лее узком сечении</t>
  </si>
  <si>
    <t>корот- козамк- нутого</t>
  </si>
  <si>
    <t>1,5–1,7</t>
  </si>
  <si>
    <t>1,45–1,60</t>
  </si>
  <si>
    <t>1,55–1,70</t>
  </si>
  <si>
    <t>1,75–1,9</t>
  </si>
  <si>
    <t>2,0–2,2</t>
  </si>
  <si>
    <t>1,9–2,05</t>
  </si>
  <si>
    <t>ʋ q</t>
  </si>
  <si>
    <t>∞</t>
  </si>
  <si>
    <t>`</t>
  </si>
  <si>
    <t>Bz1 max</t>
  </si>
  <si>
    <t>Bz2 max</t>
  </si>
  <si>
    <t>Таблица 1- Высоты оси вращения электрических машин (по ГОСТ 13267) и соответствующие им наружные диаметры статоров асинхронных двигателей серии 4А</t>
  </si>
  <si>
    <t>ГОСТ 13267-73.pdf</t>
  </si>
  <si>
    <t>Таблица 2</t>
  </si>
  <si>
    <t xml:space="preserve"> Отношение KD =D/Da  в двигателях серии 4А при различных числах полюсов</t>
  </si>
  <si>
    <t>Таблица 4 - Диаметр и площадь поперечного сечения круглых медных эмалированных проводов марок ПЭТВ и ПЭТ–155</t>
  </si>
  <si>
    <t>Примечания:
1. Провода, размеры  которых  указаны  в  скобках,  следует применять только в отдельных случаях при обосновании технико-экономической целесообразности.
2. Среднее значение диаметра изолированного провода вычислено с учётом расчётной средней двухсторонней толщины эмалевой изоляции, принимаемой как округленное среднее арифметическое из минимальной и</t>
  </si>
  <si>
    <t>Таблица 5 - Допустимые значения индукции на различных участках магнитной цепи, Тл.</t>
  </si>
  <si>
    <t>Таблица 3 - Коэффициенты распределения kp трёхфазных обмоток с фазной зоной</t>
  </si>
  <si>
    <t>h, мм</t>
  </si>
  <si>
    <t>Марка стали</t>
  </si>
  <si>
    <t>Короткозамкнутый ротор</t>
  </si>
  <si>
    <t>Фазный ротор</t>
  </si>
  <si>
    <t>Способ изолировки листов</t>
  </si>
  <si>
    <t>50–250</t>
  </si>
  <si>
    <t>≤660</t>
  </si>
  <si>
    <t>Оксидирование</t>
  </si>
  <si>
    <t>280–355</t>
  </si>
  <si>
    <t>Лакировка</t>
  </si>
  <si>
    <t>Оксидная плёнка</t>
  </si>
  <si>
    <t>400–560</t>
  </si>
  <si>
    <r>
      <t>U</t>
    </r>
    <r>
      <rPr>
        <sz val="16"/>
        <color theme="1"/>
        <rFont val="Times New Roman"/>
        <family val="1"/>
        <charset val="204"/>
      </rPr>
      <t>, В</t>
    </r>
  </si>
  <si>
    <r>
      <t>k</t>
    </r>
    <r>
      <rPr>
        <i/>
        <vertAlign val="subscript"/>
        <sz val="16"/>
        <color theme="1"/>
        <rFont val="Times New Roman"/>
        <family val="1"/>
        <charset val="204"/>
      </rPr>
      <t>С</t>
    </r>
  </si>
  <si>
    <t>Таблица 6 - Рекомендуемые марки холоднокатаной изотропной электротехнической стали, способы изолировки листов и коэффициент заполнения сталью магнитопроводов статора и ротора асинхронных двигателей</t>
  </si>
  <si>
    <t>ГОСТ 31606-2012_В2_269KB.pdf</t>
  </si>
  <si>
    <t>ГОСТ 31606-2012_В1_463KB</t>
  </si>
  <si>
    <t>Рисунок</t>
  </si>
  <si>
    <t>Тип обмотки</t>
  </si>
  <si>
    <t>Высота оси вращения, мм</t>
  </si>
  <si>
    <t>Позиция</t>
  </si>
  <si>
    <t>Материал</t>
  </si>
  <si>
    <t>Число слоёв</t>
  </si>
  <si>
    <t>Односто- ронняя то- лщина, мм</t>
  </si>
  <si>
    <t>Наименование, марка</t>
  </si>
  <si>
    <t>Толщина, мм</t>
  </si>
  <si>
    <t>Класс B</t>
  </si>
  <si>
    <t>Класс F</t>
  </si>
  <si>
    <t>Класс H</t>
  </si>
  <si>
    <t>Однослойная</t>
  </si>
  <si>
    <t>50–80</t>
  </si>
  <si>
    <t>Плёнкостеклопласт</t>
  </si>
  <si>
    <t>изофлекс</t>
  </si>
  <si>
    <t>имидофлекс</t>
  </si>
  <si>
    <t>90–132</t>
  </si>
  <si>
    <t>Таблица 7 - Изоляция однослойных и двухслойных всыпных обмоток статоров асинхронных двигателей с высотой оси вращения до 250 мм. Напряжение до 660 В. Классы изоляции B, F, H</t>
  </si>
  <si>
    <t>Двухслойная</t>
  </si>
  <si>
    <t>180–250</t>
  </si>
  <si>
    <t>Число пазов ротора</t>
  </si>
  <si>
    <t>Пазы без скоса</t>
  </si>
  <si>
    <t>Пазы со скосом</t>
  </si>
  <si>
    <t>22, 38</t>
  </si>
  <si>
    <t>26, 28, 44, 46</t>
  </si>
  <si>
    <t>25, 27, 29, 43, 45, 47</t>
  </si>
  <si>
    <t>32, 33, 34, 50, 52</t>
  </si>
  <si>
    <t>38, 40, 56, 58</t>
  </si>
  <si>
    <t>37, 39, 41, 55, 57, 59</t>
  </si>
  <si>
    <t>26, 46, (48)</t>
  </si>
  <si>
    <t>44, 64, 66, 68</t>
  </si>
  <si>
    <t>42, 43, 51, 65, 67</t>
  </si>
  <si>
    <t>(34), 36, 44, 62, 64</t>
  </si>
  <si>
    <t>35, 44, 61, 63, 65</t>
  </si>
  <si>
    <t>56, 58, 86, 88, 90</t>
  </si>
  <si>
    <t>56, 57, 59, 85, 87, 89</t>
  </si>
  <si>
    <t>78, 82, 110, 112, 114</t>
  </si>
  <si>
    <t>44, 46, 74, 76</t>
  </si>
  <si>
    <t>57, 69, 77, 78, 79</t>
  </si>
  <si>
    <t>56, 64, 80, 88</t>
  </si>
  <si>
    <t>69, 75, 80, 89, 91, 92</t>
  </si>
  <si>
    <t>26, 44, 46</t>
  </si>
  <si>
    <t>(34), (50), 52, 54</t>
  </si>
  <si>
    <t>34, 38, 56, 58,62, 64</t>
  </si>
  <si>
    <t>50, 52, 68, 70, 74</t>
  </si>
  <si>
    <t>62, 64, 80, 82, 86</t>
  </si>
  <si>
    <t>61, 63, 68, 76, 81,83</t>
  </si>
  <si>
    <t>74, 94, 102, 104, 106</t>
  </si>
  <si>
    <t>138, 150</t>
  </si>
  <si>
    <t>56, 58, 62, 82, 84,86, 88</t>
  </si>
  <si>
    <t>57, 59, 60, 61, 83, 85,87, 90</t>
  </si>
  <si>
    <t>74, 76, 78, 80, 100,102, 104</t>
  </si>
  <si>
    <t>75, 77, 79, 101,103, 105</t>
  </si>
  <si>
    <t>66, (68), 70, 98, 100,102, 104</t>
  </si>
  <si>
    <t>(68), (69), (71), (97),(99), (101)</t>
  </si>
  <si>
    <t>79, 80, 81, 83, 109,111, 113</t>
  </si>
  <si>
    <t>68,72, 74,76,104,106,108, 110, 112, 114</t>
  </si>
  <si>
    <t>70, 71, 73, 87, 93,107, 109</t>
  </si>
  <si>
    <t>86, 88, 92, 94, 96, 98,102, 104, 106, 134,136, 138, 140, 142,144, 146</t>
  </si>
  <si>
    <t>99, 101, 103, 117,123, 137, 139</t>
  </si>
  <si>
    <t>68, 70, 74, 88, 98,106,108, 110</t>
  </si>
  <si>
    <t>(71), (73), 86, 87, 93,94, (107), (109)</t>
  </si>
  <si>
    <t>86, 88, 92, 100, 116,124, 128, 130, 132</t>
  </si>
  <si>
    <t>84, 89, 91, 104, 105,111, 112, 125, 127</t>
  </si>
  <si>
    <t>124,128, 136, 152,160, 164, 166, 168,170, 172</t>
  </si>
  <si>
    <t>125, 127, 141, 147,161, 163</t>
  </si>
  <si>
    <t>18, 20, 26, 31, 33,34, 35</t>
  </si>
  <si>
    <t>(18), 20, 21, 23, 24,37, 39, 40</t>
  </si>
  <si>
    <t>16, 18, 18, (20), 30,33, 34, 35, 36</t>
  </si>
  <si>
    <t>(24), 27, 28, 30, (32),34, 45, 48</t>
  </si>
  <si>
    <t>(33), 34, (38), (51),53</t>
  </si>
  <si>
    <t>(36), (38),(39), 40,(44), 57, 59</t>
  </si>
  <si>
    <t>48, 49, 51, 56, 64,69, 71</t>
  </si>
  <si>
    <t>106, 108, 116, 136,144, 146, 148, 150,152, 154, 158</t>
  </si>
  <si>
    <t>75, 77, 79, 89, 91, 93, 103</t>
  </si>
  <si>
    <t>107, 117, 119, 121 131, 133, 135, 145,</t>
  </si>
  <si>
    <t>120, 122, 124, 132,134, 154, 156, 164,166,168, 170, 172</t>
  </si>
  <si>
    <t>84, 86, 106, 108,116, 118</t>
  </si>
  <si>
    <t>Таблица 8 - Рекомендуемые числа пазов короткозамкнутых асинхронных двигателей</t>
  </si>
  <si>
    <t>50–63</t>
  </si>
  <si>
    <t>71–250</t>
  </si>
  <si>
    <t>400–500</t>
  </si>
  <si>
    <t>2–6</t>
  </si>
  <si>
    <t>2–8</t>
  </si>
  <si>
    <t>4–12</t>
  </si>
  <si>
    <r>
      <t>k</t>
    </r>
    <r>
      <rPr>
        <vertAlign val="subscript"/>
        <sz val="14"/>
        <color theme="1"/>
        <rFont val="Times New Roman"/>
        <family val="1"/>
        <charset val="204"/>
      </rPr>
      <t>B</t>
    </r>
  </si>
  <si>
    <t>B, Тл</t>
  </si>
  <si>
    <t>H, А/м</t>
  </si>
  <si>
    <t>Таблица 10 - Основная кривая намагничивания СТАЛЬ 2013</t>
  </si>
  <si>
    <t>Таблица 11 - Кривая намагничивания для ярма асинхронных двигателей СТАЛЬ 2013</t>
  </si>
  <si>
    <t>Таблица 12 - Кривая намагничивания для зубцов асинхронных двигателей СТАЛЬ 22013</t>
  </si>
  <si>
    <t>9 *</t>
  </si>
  <si>
    <r>
      <t>9</t>
    </r>
    <r>
      <rPr>
        <vertAlign val="superscript"/>
        <sz val="16"/>
        <color theme="1"/>
        <rFont val="Times New Roman"/>
        <family val="1"/>
        <charset val="204"/>
      </rPr>
      <t>*</t>
    </r>
    <r>
      <rPr>
        <sz val="16"/>
        <color theme="1"/>
        <rFont val="Times New Roman"/>
        <family val="1"/>
        <charset val="204"/>
      </rPr>
      <t xml:space="preserve"> , 15</t>
    </r>
    <r>
      <rPr>
        <vertAlign val="superscript"/>
        <sz val="16"/>
        <color theme="1"/>
        <rFont val="Times New Roman"/>
        <family val="1"/>
        <charset val="204"/>
      </rPr>
      <t>*</t>
    </r>
  </si>
  <si>
    <r>
      <t>11</t>
    </r>
    <r>
      <rPr>
        <vertAlign val="superscript"/>
        <sz val="16"/>
        <color theme="1"/>
        <rFont val="Times New Roman"/>
        <family val="1"/>
        <charset val="204"/>
      </rPr>
      <t>*</t>
    </r>
    <r>
      <rPr>
        <sz val="16"/>
        <color theme="1"/>
        <rFont val="Times New Roman"/>
        <family val="1"/>
        <charset val="204"/>
      </rPr>
      <t>, 12</t>
    </r>
    <r>
      <rPr>
        <vertAlign val="superscript"/>
        <sz val="16"/>
        <color theme="1"/>
        <rFont val="Times New Roman"/>
        <family val="1"/>
        <charset val="204"/>
      </rPr>
      <t>*</t>
    </r>
    <r>
      <rPr>
        <sz val="16"/>
        <color theme="1"/>
        <rFont val="Times New Roman"/>
        <family val="1"/>
        <charset val="204"/>
      </rPr>
      <t>, 15</t>
    </r>
    <r>
      <rPr>
        <vertAlign val="superscript"/>
        <sz val="16"/>
        <color theme="1"/>
        <rFont val="Times New Roman"/>
        <family val="1"/>
        <charset val="204"/>
      </rPr>
      <t>*</t>
    </r>
    <r>
      <rPr>
        <sz val="16"/>
        <color theme="1"/>
        <rFont val="Times New Roman"/>
        <family val="1"/>
        <charset val="204"/>
      </rPr>
      <t>, 21</t>
    </r>
    <r>
      <rPr>
        <vertAlign val="superscript"/>
        <sz val="16"/>
        <color theme="1"/>
        <rFont val="Times New Roman"/>
        <family val="1"/>
        <charset val="204"/>
      </rPr>
      <t>*</t>
    </r>
    <r>
      <rPr>
        <sz val="16"/>
        <color theme="1"/>
        <rFont val="Times New Roman"/>
        <family val="1"/>
        <charset val="204"/>
      </rPr>
      <t>, 22</t>
    </r>
    <r>
      <rPr>
        <vertAlign val="superscript"/>
        <sz val="16"/>
        <color theme="1"/>
        <rFont val="Times New Roman"/>
        <family val="1"/>
        <charset val="204"/>
      </rPr>
      <t>*</t>
    </r>
  </si>
  <si>
    <r>
      <t>14</t>
    </r>
    <r>
      <rPr>
        <vertAlign val="superscript"/>
        <sz val="16"/>
        <color theme="1"/>
        <rFont val="Times New Roman"/>
        <family val="1"/>
        <charset val="204"/>
      </rPr>
      <t>*</t>
    </r>
    <r>
      <rPr>
        <sz val="16"/>
        <color theme="1"/>
        <rFont val="Times New Roman"/>
        <family val="1"/>
        <charset val="204"/>
      </rPr>
      <t>, (18), 19</t>
    </r>
    <r>
      <rPr>
        <vertAlign val="superscript"/>
        <sz val="16"/>
        <color theme="1"/>
        <rFont val="Times New Roman"/>
        <family val="1"/>
        <charset val="204"/>
      </rPr>
      <t>*</t>
    </r>
    <r>
      <rPr>
        <sz val="16"/>
        <color theme="1"/>
        <rFont val="Times New Roman"/>
        <family val="1"/>
        <charset val="204"/>
      </rPr>
      <t>, 22</t>
    </r>
    <r>
      <rPr>
        <vertAlign val="superscript"/>
        <sz val="16"/>
        <color theme="1"/>
        <rFont val="Times New Roman"/>
        <family val="1"/>
        <charset val="204"/>
      </rPr>
      <t>*</t>
    </r>
    <r>
      <rPr>
        <sz val="16"/>
        <color theme="1"/>
        <rFont val="Times New Roman"/>
        <family val="1"/>
        <charset val="204"/>
      </rPr>
      <t>,26, 28</t>
    </r>
    <r>
      <rPr>
        <vertAlign val="superscript"/>
        <sz val="16"/>
        <color theme="1"/>
        <rFont val="Times New Roman"/>
        <family val="1"/>
        <charset val="204"/>
      </rPr>
      <t>*</t>
    </r>
  </si>
  <si>
    <r>
      <t>15</t>
    </r>
    <r>
      <rPr>
        <vertAlign val="superscript"/>
        <sz val="16"/>
        <color theme="1"/>
        <rFont val="Times New Roman"/>
        <family val="1"/>
        <charset val="204"/>
      </rPr>
      <t>*</t>
    </r>
    <r>
      <rPr>
        <sz val="16"/>
        <color theme="1"/>
        <rFont val="Times New Roman"/>
        <family val="1"/>
        <charset val="204"/>
      </rPr>
      <t>, (16</t>
    </r>
    <r>
      <rPr>
        <vertAlign val="superscript"/>
        <sz val="16"/>
        <color theme="1"/>
        <rFont val="Times New Roman"/>
        <family val="1"/>
        <charset val="204"/>
      </rPr>
      <t>*</t>
    </r>
    <r>
      <rPr>
        <sz val="16"/>
        <color theme="1"/>
        <rFont val="Times New Roman"/>
        <family val="1"/>
        <charset val="204"/>
      </rPr>
      <t>), 17</t>
    </r>
    <r>
      <rPr>
        <vertAlign val="superscript"/>
        <sz val="16"/>
        <color theme="1"/>
        <rFont val="Times New Roman"/>
        <family val="1"/>
        <charset val="204"/>
      </rPr>
      <t>*</t>
    </r>
    <r>
      <rPr>
        <sz val="16"/>
        <color theme="1"/>
        <rFont val="Times New Roman"/>
        <family val="1"/>
        <charset val="204"/>
      </rPr>
      <t>, 19, 32</t>
    </r>
  </si>
  <si>
    <r>
      <t>15</t>
    </r>
    <r>
      <rPr>
        <vertAlign val="superscript"/>
        <sz val="16"/>
        <color theme="1"/>
        <rFont val="Times New Roman"/>
        <family val="1"/>
        <charset val="204"/>
      </rPr>
      <t>*</t>
    </r>
  </si>
  <si>
    <r>
      <t>10</t>
    </r>
    <r>
      <rPr>
        <vertAlign val="superscript"/>
        <sz val="16"/>
        <color theme="1"/>
        <rFont val="Times New Roman"/>
        <family val="1"/>
        <charset val="204"/>
      </rPr>
      <t>*</t>
    </r>
    <r>
      <rPr>
        <sz val="16"/>
        <color theme="1"/>
        <rFont val="Times New Roman"/>
        <family val="1"/>
        <charset val="204"/>
      </rPr>
      <t>, 14</t>
    </r>
    <r>
      <rPr>
        <vertAlign val="superscript"/>
        <sz val="16"/>
        <color theme="1"/>
        <rFont val="Times New Roman"/>
        <family val="1"/>
        <charset val="204"/>
      </rPr>
      <t>*</t>
    </r>
    <r>
      <rPr>
        <sz val="16"/>
        <color theme="1"/>
        <rFont val="Times New Roman"/>
        <family val="1"/>
        <charset val="204"/>
      </rPr>
      <t xml:space="preserve"> ,</t>
    </r>
  </si>
  <si>
    <r>
      <t>18</t>
    </r>
    <r>
      <rPr>
        <vertAlign val="superscript"/>
        <sz val="16"/>
        <color theme="1"/>
        <rFont val="Times New Roman"/>
        <family val="1"/>
        <charset val="204"/>
      </rPr>
      <t>*</t>
    </r>
    <r>
      <rPr>
        <sz val="16"/>
        <color theme="1"/>
        <rFont val="Times New Roman"/>
        <family val="1"/>
        <charset val="204"/>
      </rPr>
      <t>, 22</t>
    </r>
    <r>
      <rPr>
        <vertAlign val="superscript"/>
        <sz val="16"/>
        <color theme="1"/>
        <rFont val="Times New Roman"/>
        <family val="1"/>
        <charset val="204"/>
      </rPr>
      <t>*</t>
    </r>
  </si>
  <si>
    <r>
      <t>15</t>
    </r>
    <r>
      <rPr>
        <vertAlign val="superscript"/>
        <sz val="16"/>
        <color theme="1"/>
        <rFont val="Times New Roman"/>
        <family val="1"/>
        <charset val="204"/>
      </rPr>
      <t>*</t>
    </r>
    <r>
      <rPr>
        <sz val="16"/>
        <color theme="1"/>
        <rFont val="Times New Roman"/>
        <family val="1"/>
        <charset val="204"/>
      </rPr>
      <t>, 16</t>
    </r>
    <r>
      <rPr>
        <vertAlign val="superscript"/>
        <sz val="16"/>
        <color theme="1"/>
        <rFont val="Times New Roman"/>
        <family val="1"/>
        <charset val="204"/>
      </rPr>
      <t>*</t>
    </r>
    <r>
      <rPr>
        <sz val="16"/>
        <color theme="1"/>
        <rFont val="Times New Roman"/>
        <family val="1"/>
        <charset val="204"/>
      </rPr>
      <t>, 17, (32)</t>
    </r>
  </si>
  <si>
    <r>
      <t>28</t>
    </r>
    <r>
      <rPr>
        <vertAlign val="superscript"/>
        <sz val="16"/>
        <color theme="1"/>
        <rFont val="Times New Roman"/>
        <family val="1"/>
        <charset val="204"/>
      </rPr>
      <t>*</t>
    </r>
    <r>
      <rPr>
        <sz val="16"/>
        <color theme="1"/>
        <rFont val="Times New Roman"/>
        <family val="1"/>
        <charset val="204"/>
      </rPr>
      <t>, 33, 47, 49, 50</t>
    </r>
  </si>
  <si>
    <t>Число полюсов 2p</t>
  </si>
  <si>
    <t>Катушки статора</t>
  </si>
  <si>
    <t>Лобовые части не изолированы</t>
  </si>
  <si>
    <t>Лобовые части изолированы лентой</t>
  </si>
  <si>
    <t>Таблица 13 - К расчёту размеров лобовых частей катушек всыпной обмотки</t>
  </si>
  <si>
    <t>Справочная информация Раздел (1-11)</t>
  </si>
  <si>
    <t>Расчетные формулы</t>
  </si>
  <si>
    <t>9.50, а</t>
  </si>
  <si>
    <t>9.50, б</t>
  </si>
  <si>
    <t xml:space="preserve">9.50, в,г,з </t>
  </si>
  <si>
    <t>9.50, д,е,и</t>
  </si>
  <si>
    <t>То  же</t>
  </si>
  <si>
    <t>9.50, ж</t>
  </si>
  <si>
    <t xml:space="preserve">9.66, а </t>
  </si>
  <si>
    <t xml:space="preserve">9.66, б </t>
  </si>
  <si>
    <t>9.66, в</t>
  </si>
  <si>
    <t>9.66, г</t>
  </si>
  <si>
    <t xml:space="preserve">9.66, д </t>
  </si>
  <si>
    <t>9.66, е</t>
  </si>
  <si>
    <t>Двухслойная и одно­слойная</t>
  </si>
  <si>
    <t xml:space="preserve">Таблица 9.26. Расчетные формулы для определения коэффициентов
магнитной проводимости пазового рассеяния обмоток статора и
фазного ротора асинхронных двигателей
</t>
  </si>
  <si>
    <r>
      <t>λ</t>
    </r>
    <r>
      <rPr>
        <vertAlign val="subscript"/>
        <sz val="16"/>
        <color theme="1"/>
        <rFont val="Times New Roman"/>
        <family val="1"/>
        <charset val="204"/>
      </rPr>
      <t>П.В</t>
    </r>
  </si>
  <si>
    <r>
      <t>λ</t>
    </r>
    <r>
      <rPr>
        <vertAlign val="subscript"/>
        <sz val="16"/>
        <color theme="1"/>
        <rFont val="Times New Roman"/>
        <family val="1"/>
        <charset val="204"/>
      </rPr>
      <t>П.Н</t>
    </r>
  </si>
  <si>
    <t>Таблица 9.34. Расчетные формулы для определения коэффициента магнитной проводимости пазового рассеянна двухклеточных роторов и роторов с фигурными пазами</t>
  </si>
  <si>
    <t>9.52, а</t>
  </si>
  <si>
    <t>9.52,6</t>
  </si>
  <si>
    <t>9.52, в</t>
  </si>
  <si>
    <t>9.52, г</t>
  </si>
  <si>
    <t>9.52, д</t>
  </si>
  <si>
    <t>Рис. 9.66. К расчету коэффициентов магнитной
проводимости пазового рассеяния двухклеточных
короткозамкнутых роторов с двойной беличьей клеткой
и с фигурными пазами:
а—г — пазы роторов с двойной беличьей клеткой;
д, е — фигурные пазы</t>
  </si>
  <si>
    <t>Рис. 9.50. К расчету коэффициентов магнитной проводимости пазового рассеяния
фазных обмоток: 
а—е — обмотки статора; ж—и — обмотки фазного ротора</t>
  </si>
  <si>
    <t>Рис. 9.52. К расчету коэффициентов магнитной проводимости
пазового рассеяния короткозамкнутых роторов:
а — д — полузакрытые пазы; е, ж — закрытые пазы</t>
  </si>
  <si>
    <t xml:space="preserve">Примечания: 1. При закрытых пазах ротора коэффициент магнитной прово¬димости шлица hш/ bш рассчитывать в соответствии с указаниями, приведенными в § 9.10 (см. рис. 9.52).
2. При расчете параметров холостого хода и номинального режима принимать kд.в = kд.н = 1.
</t>
  </si>
  <si>
    <t>Таблица 9.27. Расчетные формулы для определения коэффициентов 
магнитной проводимости пазового рассеяния короткозамкнутых роторов</t>
  </si>
  <si>
    <t>2013, 2011, 2211</t>
  </si>
  <si>
    <t>2,5–2,6</t>
  </si>
  <si>
    <r>
      <t>К</t>
    </r>
    <r>
      <rPr>
        <vertAlign val="subscript"/>
        <sz val="16"/>
        <color theme="1"/>
        <rFont val="Times New Roman"/>
        <family val="1"/>
        <charset val="204"/>
      </rPr>
      <t>Л</t>
    </r>
  </si>
  <si>
    <r>
      <t>≥</t>
    </r>
    <r>
      <rPr>
        <sz val="16"/>
        <color theme="1"/>
        <rFont val="Times New Roman"/>
        <family val="1"/>
        <charset val="204"/>
      </rPr>
      <t>8</t>
    </r>
  </si>
  <si>
    <r>
      <t>p</t>
    </r>
    <r>
      <rPr>
        <vertAlign val="subscript"/>
        <sz val="16"/>
        <color theme="1"/>
        <rFont val="Times New Roman"/>
        <family val="1"/>
        <charset val="204"/>
      </rPr>
      <t>1,0/50</t>
    </r>
    <r>
      <rPr>
        <sz val="16"/>
        <color theme="1"/>
        <rFont val="Times New Roman"/>
        <family val="1"/>
        <charset val="204"/>
      </rPr>
      <t xml:space="preserve"> ,Вт/кг</t>
    </r>
  </si>
  <si>
    <t>Число полюсов двигателя 2p</t>
  </si>
  <si>
    <t>Таблица 19 - Средние значения коэффициента K для асинхронных двигателей 4A</t>
  </si>
  <si>
    <t>Исполнение двигателя по способу защиты</t>
  </si>
  <si>
    <t>Таблица 16 - Удельные потери в стали асинхронных двигателей и значение β при толщине листов 0,5 мм</t>
  </si>
  <si>
    <t>Медь</t>
  </si>
  <si>
    <t>Алюминиевые шины</t>
  </si>
  <si>
    <t>Алюминий литой</t>
  </si>
  <si>
    <t>Обмотка из медных проводов или неизолированной меди</t>
  </si>
  <si>
    <t>Таблица 20 - Удельное электрическое сопротивление материала проводников обмотки</t>
  </si>
  <si>
    <t>Короткозамкнутые роторы асинхронных машин</t>
  </si>
  <si>
    <t>!</t>
  </si>
  <si>
    <t>Рис. 9.52.</t>
  </si>
  <si>
    <t>Рис. 15</t>
  </si>
  <si>
    <t>Описание</t>
  </si>
  <si>
    <t>В методических указаниях для определение коэффициента магнитной проводимости пазового рассеяния предоставляются рисунку с 7 и 9 пазов ротора  соответственно но формула для рис 9.52 для 6 и 8 то есть "е" "ж" отсутствует как соответственно отсутствует индентичные пазы ротора 8 и 9 "з" "и" такой же формы формулы соответствуют по таблицам методических указаний 
е - г
ж - д</t>
  </si>
  <si>
    <t>Несоответствие данных по рисункам 9.52 и 15 по исходным описаниям выполнения расчета коэффициентов магнитной проводимости пазового рассеяния</t>
  </si>
  <si>
    <r>
      <t xml:space="preserve">Удельное электрическое сопротивление, Ом·м, при температуре </t>
    </r>
    <r>
      <rPr>
        <vertAlign val="superscript"/>
        <sz val="16"/>
        <color theme="1"/>
        <rFont val="Times New Roman"/>
        <family val="1"/>
        <charset val="204"/>
      </rPr>
      <t>0</t>
    </r>
    <r>
      <rPr>
        <sz val="16"/>
        <color theme="1"/>
        <rFont val="Times New Roman"/>
        <family val="1"/>
        <charset val="204"/>
      </rPr>
      <t>С</t>
    </r>
  </si>
  <si>
    <r>
      <t xml:space="preserve">75 </t>
    </r>
    <r>
      <rPr>
        <vertAlign val="superscript"/>
        <sz val="16"/>
        <color theme="1"/>
        <rFont val="Times New Roman"/>
        <family val="1"/>
        <charset val="204"/>
      </rPr>
      <t>0</t>
    </r>
    <r>
      <rPr>
        <sz val="16"/>
        <color theme="1"/>
        <rFont val="Times New Roman"/>
        <family val="1"/>
        <charset val="204"/>
      </rPr>
      <t>С
[Ом∙м] ∙ 10</t>
    </r>
    <r>
      <rPr>
        <vertAlign val="superscript"/>
        <sz val="16"/>
        <color theme="1"/>
        <rFont val="Times New Roman"/>
        <family val="1"/>
        <charset val="204"/>
      </rPr>
      <t>-6</t>
    </r>
  </si>
  <si>
    <r>
      <t xml:space="preserve">115 </t>
    </r>
    <r>
      <rPr>
        <vertAlign val="superscript"/>
        <sz val="16"/>
        <color theme="1"/>
        <rFont val="Times New Roman"/>
        <family val="1"/>
        <charset val="204"/>
      </rPr>
      <t>0</t>
    </r>
    <r>
      <rPr>
        <sz val="16"/>
        <color theme="1"/>
        <rFont val="Times New Roman"/>
        <family val="1"/>
        <charset val="204"/>
      </rPr>
      <t>С
[Ом∙м] ∙ 10</t>
    </r>
    <r>
      <rPr>
        <vertAlign val="superscript"/>
        <sz val="16"/>
        <color theme="1"/>
        <rFont val="Times New Roman"/>
        <family val="1"/>
        <charset val="204"/>
      </rPr>
      <t>-6</t>
    </r>
  </si>
  <si>
    <r>
      <t xml:space="preserve">20 </t>
    </r>
    <r>
      <rPr>
        <vertAlign val="superscript"/>
        <sz val="16"/>
        <color theme="1"/>
        <rFont val="Times New Roman"/>
        <family val="1"/>
        <charset val="204"/>
      </rPr>
      <t>0</t>
    </r>
    <r>
      <rPr>
        <sz val="16"/>
        <color theme="1"/>
        <rFont val="Times New Roman"/>
        <family val="1"/>
        <charset val="204"/>
      </rPr>
      <t>С
[Ом∙м] ∙ 10</t>
    </r>
    <r>
      <rPr>
        <vertAlign val="superscript"/>
        <sz val="16"/>
        <color theme="1"/>
        <rFont val="Times New Roman"/>
        <family val="1"/>
        <charset val="204"/>
      </rPr>
      <t>-6</t>
    </r>
  </si>
  <si>
    <r>
      <t>B</t>
    </r>
    <r>
      <rPr>
        <vertAlign val="subscript"/>
        <sz val="16"/>
        <color theme="1"/>
        <rFont val="Times New Roman"/>
        <family val="1"/>
        <charset val="204"/>
      </rPr>
      <t>a</t>
    </r>
  </si>
  <si>
    <r>
      <t>B</t>
    </r>
    <r>
      <rPr>
        <vertAlign val="subscript"/>
        <sz val="16"/>
        <color theme="1"/>
        <rFont val="Times New Roman"/>
        <family val="1"/>
        <charset val="204"/>
      </rPr>
      <t>j</t>
    </r>
  </si>
  <si>
    <t>Уроовни вложенности</t>
  </si>
  <si>
    <t>1,1 - 1,2</t>
  </si>
  <si>
    <r>
      <t>B</t>
    </r>
    <r>
      <rPr>
        <vertAlign val="subscript"/>
        <sz val="36"/>
        <color theme="1"/>
        <rFont val="Times New Roman"/>
        <family val="1"/>
        <charset val="204"/>
      </rPr>
      <t>a</t>
    </r>
  </si>
  <si>
    <t>Участок магнитной цепи</t>
  </si>
  <si>
    <t>Исполнение</t>
  </si>
  <si>
    <r>
      <t>B</t>
    </r>
    <r>
      <rPr>
        <vertAlign val="subscript"/>
        <sz val="36"/>
        <color theme="1"/>
        <rFont val="Times New Roman"/>
        <family val="1"/>
        <charset val="204"/>
      </rPr>
      <t>z1max</t>
    </r>
  </si>
  <si>
    <r>
      <t>B</t>
    </r>
    <r>
      <rPr>
        <vertAlign val="subscript"/>
        <sz val="36"/>
        <color theme="1"/>
        <rFont val="Times New Roman"/>
        <family val="1"/>
        <charset val="204"/>
      </rPr>
      <t>z1</t>
    </r>
  </si>
  <si>
    <t>Зубцы статора при постоянном сечении, всыпная обмотка</t>
  </si>
  <si>
    <t>Зубцы статора при постоянном сечении (всыпная обмотка)</t>
  </si>
  <si>
    <t>Зубцы ротора при постоянном сечении (грушевидные пазы)</t>
  </si>
  <si>
    <t>при полуоткрытых пазах</t>
  </si>
  <si>
    <r>
      <t>B</t>
    </r>
    <r>
      <rPr>
        <vertAlign val="subscript"/>
        <sz val="36"/>
        <color theme="1"/>
        <rFont val="Times New Roman"/>
        <family val="1"/>
        <charset val="204"/>
      </rPr>
      <t>j</t>
    </r>
  </si>
  <si>
    <t>1,85–2,05</t>
  </si>
  <si>
    <r>
      <t>B</t>
    </r>
    <r>
      <rPr>
        <vertAlign val="subscript"/>
        <sz val="36"/>
        <color theme="1"/>
        <rFont val="Times New Roman"/>
        <family val="1"/>
        <charset val="204"/>
      </rPr>
      <t>z2</t>
    </r>
  </si>
  <si>
    <r>
      <t>B</t>
    </r>
    <r>
      <rPr>
        <vertAlign val="subscript"/>
        <sz val="36"/>
        <color theme="1"/>
        <rFont val="Times New Roman"/>
        <family val="1"/>
        <charset val="204"/>
      </rPr>
      <t>z2max</t>
    </r>
  </si>
  <si>
    <t>короткозамкнутого</t>
  </si>
  <si>
    <t>Зубцы ротора в наиболее узком сечении</t>
  </si>
  <si>
    <r>
      <t xml:space="preserve">Число полюсов </t>
    </r>
    <r>
      <rPr>
        <i/>
        <sz val="16"/>
        <color theme="1"/>
        <rFont val="Times New Roman"/>
        <family val="1"/>
        <charset val="204"/>
      </rPr>
      <t>2р</t>
    </r>
  </si>
  <si>
    <r>
      <t xml:space="preserve">Допустимое число </t>
    </r>
    <r>
      <rPr>
        <i/>
        <sz val="16"/>
        <color theme="1"/>
        <rFont val="Times New Roman"/>
        <family val="1"/>
        <charset val="204"/>
      </rPr>
      <t>а</t>
    </r>
  </si>
  <si>
    <t>Выбор числа а при числе полюсов</t>
  </si>
  <si>
    <r>
      <t>K</t>
    </r>
    <r>
      <rPr>
        <i/>
        <vertAlign val="subscript"/>
        <sz val="24"/>
        <color theme="1"/>
        <rFont val="Times New Roman"/>
        <family val="1"/>
        <charset val="204"/>
      </rPr>
      <t>E</t>
    </r>
  </si>
  <si>
    <t></t>
  </si>
  <si>
    <t>Рисунок 2 - Значение коэффициента kE</t>
  </si>
  <si>
    <t>Ед. Изм.</t>
  </si>
  <si>
    <t>2.5.1</t>
  </si>
  <si>
    <t>2.5.2</t>
  </si>
  <si>
    <t>2.5.3</t>
  </si>
  <si>
    <r>
      <t>P</t>
    </r>
    <r>
      <rPr>
        <i/>
        <vertAlign val="subscript"/>
        <sz val="36"/>
        <color theme="1"/>
        <rFont val="Times New Roman"/>
        <family val="1"/>
        <charset val="204"/>
      </rPr>
      <t>р</t>
    </r>
  </si>
  <si>
    <t>%</t>
  </si>
  <si>
    <t>Метр</t>
  </si>
  <si>
    <t>Определение главных размеров асинхронного двигателя</t>
  </si>
  <si>
    <t>≥</t>
  </si>
  <si>
    <t>≤</t>
  </si>
  <si>
    <t>&gt;</t>
  </si>
  <si>
    <t>&lt;</t>
  </si>
  <si>
    <t>÷</t>
  </si>
  <si>
    <t>∙</t>
  </si>
  <si>
    <t></t>
  </si>
  <si>
    <t>Записи txt Программа XLCS АД 4А</t>
  </si>
  <si>
    <r>
      <t>Обмоточный коэффициент K</t>
    </r>
    <r>
      <rPr>
        <vertAlign val="subscript"/>
        <sz val="16"/>
        <color theme="1"/>
        <rFont val="Times New Roman"/>
        <family val="1"/>
        <charset val="204"/>
      </rPr>
      <t>об1</t>
    </r>
    <r>
      <rPr>
        <sz val="16"/>
        <color theme="1"/>
        <rFont val="Times New Roman"/>
        <family val="1"/>
        <charset val="204"/>
      </rPr>
      <t xml:space="preserve"> зависит от типа обмотки статора
Предварительно задаются:
для однослойных обмоток K</t>
    </r>
    <r>
      <rPr>
        <vertAlign val="subscript"/>
        <sz val="16"/>
        <color theme="1"/>
        <rFont val="Times New Roman"/>
        <family val="1"/>
        <charset val="204"/>
      </rPr>
      <t>oб1</t>
    </r>
    <r>
      <rPr>
        <sz val="16"/>
        <color theme="1"/>
        <rFont val="Times New Roman"/>
        <family val="1"/>
        <charset val="204"/>
      </rPr>
      <t xml:space="preserve"> = 0,95 ÷ 0,96 ;
для двухслойных обмоток при 2р = 2 Koб1 = 0,9 ÷ 0,91;
для двухслойных обмоток при 2р &gt; 2 Koб1 = 0,91 ÷ 0,92;</t>
    </r>
  </si>
  <si>
    <t>Раздел 2</t>
  </si>
  <si>
    <t>Рад/с</t>
  </si>
  <si>
    <r>
      <t>D</t>
    </r>
    <r>
      <rPr>
        <i/>
        <vertAlign val="subscript"/>
        <sz val="16"/>
        <color theme="1"/>
        <rFont val="Times New Roman"/>
        <family val="1"/>
        <charset val="204"/>
      </rPr>
      <t>a</t>
    </r>
    <r>
      <rPr>
        <sz val="16"/>
        <color theme="1"/>
        <rFont val="Times New Roman"/>
        <family val="1"/>
        <charset val="204"/>
      </rPr>
      <t>, м</t>
    </r>
  </si>
  <si>
    <r>
      <t>K</t>
    </r>
    <r>
      <rPr>
        <i/>
        <vertAlign val="subscript"/>
        <sz val="36"/>
        <color theme="1"/>
        <rFont val="Times New Roman"/>
        <family val="1"/>
        <charset val="204"/>
      </rPr>
      <t>об1</t>
    </r>
  </si>
  <si>
    <t>Рисунок 4 - Примерные значения КПД и cos асинхронных двигателей серии 4А со степенью защиты IP44
a) - двигатель мощностью до 30 кВт
б) - двигатель мощностью до 400 кВт</t>
  </si>
  <si>
    <t>Рисунок 5 - Электромагнитные нагрузки асинхронных
двигателей серии 4А со стеменью защиты IP44
а) - при высоте вращения h ≤ 132 мм
б) - при h = 160 ÷ 180 мм</t>
  </si>
  <si>
    <r>
      <t>Удельное сопротивление алюминия после заливки в пазы машины несколько повышается в связи с
образованием некоторого количества раковин (воздушные включения) и изменением структуры при охлаждении в узких пазах. Поэтому в расчетах примем удельное сопротивление литой алюминиевой обмотки роторов асинхронных машин равной 10</t>
    </r>
    <r>
      <rPr>
        <vertAlign val="superscript"/>
        <sz val="16"/>
        <color theme="1"/>
        <rFont val="Times New Roman"/>
        <family val="1"/>
        <charset val="204"/>
      </rPr>
      <t>-6</t>
    </r>
    <r>
      <rPr>
        <sz val="16"/>
        <color theme="1"/>
        <rFont val="Times New Roman"/>
        <family val="1"/>
        <charset val="204"/>
      </rPr>
      <t xml:space="preserve"> /21,5 Ом·м при температуре 750 </t>
    </r>
    <r>
      <rPr>
        <vertAlign val="superscript"/>
        <sz val="16"/>
        <color theme="1"/>
        <rFont val="Times New Roman"/>
        <family val="1"/>
        <charset val="204"/>
      </rPr>
      <t>0</t>
    </r>
    <r>
      <rPr>
        <sz val="16"/>
        <color theme="1"/>
        <rFont val="Times New Roman"/>
        <family val="1"/>
        <charset val="204"/>
      </rPr>
      <t>С и 10</t>
    </r>
    <r>
      <rPr>
        <vertAlign val="superscript"/>
        <sz val="16"/>
        <color theme="1"/>
        <rFont val="Times New Roman"/>
        <family val="1"/>
        <charset val="204"/>
      </rPr>
      <t>-6</t>
    </r>
    <r>
      <rPr>
        <sz val="16"/>
        <color theme="1"/>
        <rFont val="Times New Roman"/>
        <family val="1"/>
        <charset val="204"/>
      </rPr>
      <t xml:space="preserve"> /20,3 Ом·м при температуре 1150 </t>
    </r>
    <r>
      <rPr>
        <vertAlign val="superscript"/>
        <sz val="16"/>
        <color theme="1"/>
        <rFont val="Times New Roman"/>
        <family val="1"/>
        <charset val="204"/>
      </rPr>
      <t>0</t>
    </r>
    <r>
      <rPr>
        <sz val="16"/>
        <color theme="1"/>
        <rFont val="Times New Roman"/>
        <family val="1"/>
        <charset val="204"/>
      </rPr>
      <t>С.</t>
    </r>
  </si>
  <si>
    <t>≈</t>
  </si>
  <si>
    <t>2.6.1</t>
  </si>
  <si>
    <t xml:space="preserve">Рисунок 20 - кривые φ и φкр в функции приведенной высоты ξ (φ ≈ ξ - 1)
при ξ &gt; 4 φ ≈ 4 ξ(4/15) при ξ &lt; 1 </t>
  </si>
  <si>
    <t>Рисунок 17 - к расчету магнитной проводимости пазов ротора</t>
  </si>
  <si>
    <t>Рисунок 15 - к расчету коэффициентов магнитной проводимости пазов статора</t>
  </si>
  <si>
    <t>δ</t>
  </si>
  <si>
    <t>Целое число</t>
  </si>
  <si>
    <t>Раздел 3</t>
  </si>
  <si>
    <t>Расчет обмотки статора</t>
  </si>
  <si>
    <t>Рисунок 8 - Зубцовое деление статора асинхронных двигателей со всыпной обмоткой
1 - при h ≤ 90 мм;
2 - при 90 &lt; h ≤ 250 мм;
3 - при h &gt; 250 мм;</t>
  </si>
  <si>
    <t>Дробное число</t>
  </si>
  <si>
    <r>
      <t>l</t>
    </r>
    <r>
      <rPr>
        <i/>
        <vertAlign val="subscript"/>
        <sz val="36"/>
        <color theme="1"/>
        <rFont val="Times New Roman"/>
        <family val="1"/>
        <charset val="204"/>
      </rPr>
      <t>δ</t>
    </r>
  </si>
  <si>
    <r>
      <t>Рисунок 7 - отношение λ = l</t>
    </r>
    <r>
      <rPr>
        <vertAlign val="subscript"/>
        <sz val="16"/>
        <color theme="1"/>
        <rFont val="Times New Roman"/>
        <family val="1"/>
        <charset val="204"/>
      </rPr>
      <t>δ</t>
    </r>
    <r>
      <rPr>
        <sz val="16"/>
        <color theme="1"/>
        <rFont val="Times New Roman"/>
        <family val="1"/>
        <charset val="204"/>
      </rPr>
      <t>/τ у двигателей серии 4А
а) - со степенью защиты IP44; б) - c IP23</t>
    </r>
  </si>
  <si>
    <t>3.1.1</t>
  </si>
  <si>
    <t>3.1.2</t>
  </si>
  <si>
    <t>3.2.1</t>
  </si>
  <si>
    <t>3.2.2</t>
  </si>
  <si>
    <t>Окончательное значение числа пазов принимается из полученного п.3.2 предела
с учетом того, что z1 должно быть кратным числу фаз m, а число пазов на
полюс и фазу должно быть целым числом</t>
  </si>
  <si>
    <r>
      <t>Таблица 9 - Коэффициенты k</t>
    </r>
    <r>
      <rPr>
        <vertAlign val="subscript"/>
        <sz val="16"/>
        <color theme="1"/>
        <rFont val="Times New Roman"/>
        <family val="1"/>
        <charset val="204"/>
      </rPr>
      <t>B</t>
    </r>
    <r>
      <rPr>
        <sz val="16"/>
        <color theme="1"/>
        <rFont val="Times New Roman"/>
        <family val="1"/>
        <charset val="204"/>
      </rPr>
      <t xml:space="preserve"> для расчёта диаметра вала асинхронных двигателей</t>
    </r>
  </si>
  <si>
    <r>
      <t>К</t>
    </r>
    <r>
      <rPr>
        <vertAlign val="subscript"/>
        <sz val="16"/>
        <color theme="1"/>
        <rFont val="Times New Roman"/>
        <family val="1"/>
        <charset val="204"/>
      </rPr>
      <t>ВЫЛ</t>
    </r>
  </si>
  <si>
    <t>Z</t>
  </si>
  <si>
    <t>3</t>
  </si>
  <si>
    <t>a</t>
  </si>
  <si>
    <t>Выборочное значение по таблице</t>
  </si>
  <si>
    <t>Выборочное значение по графику</t>
  </si>
  <si>
    <r>
      <rPr>
        <i/>
        <sz val="48"/>
        <color theme="1"/>
        <rFont val="Times New Roman"/>
        <family val="1"/>
        <charset val="204"/>
      </rPr>
      <t xml:space="preserve"> u</t>
    </r>
    <r>
      <rPr>
        <i/>
        <vertAlign val="subscript"/>
        <sz val="36"/>
        <color theme="1"/>
        <rFont val="Times New Roman"/>
        <family val="1"/>
        <charset val="204"/>
      </rPr>
      <t>П(предв)</t>
    </r>
  </si>
  <si>
    <t>1; 2</t>
  </si>
  <si>
    <t>1; 2; 3</t>
  </si>
  <si>
    <t>1; 2; 4</t>
  </si>
  <si>
    <t>1; 2; 5</t>
  </si>
  <si>
    <r>
      <t xml:space="preserve"> </t>
    </r>
    <r>
      <rPr>
        <i/>
        <sz val="48"/>
        <color theme="1"/>
        <rFont val="Times New Roman"/>
        <family val="1"/>
        <charset val="204"/>
      </rPr>
      <t>u</t>
    </r>
    <r>
      <rPr>
        <i/>
        <vertAlign val="subscript"/>
        <sz val="36"/>
        <color theme="1"/>
        <rFont val="Times New Roman"/>
        <family val="1"/>
        <charset val="204"/>
      </rPr>
      <t>П</t>
    </r>
  </si>
  <si>
    <t>Величина λ это отношение является критерием правильности выбора
главных размеров указанных на рисунке 7</t>
  </si>
  <si>
    <t>Синхронная углавая скорость асинхронного двигателя</t>
  </si>
  <si>
    <r>
      <t>К</t>
    </r>
    <r>
      <rPr>
        <i/>
        <vertAlign val="subscript"/>
        <sz val="36"/>
        <color theme="1"/>
        <rFont val="Times New Roman"/>
        <family val="1"/>
        <charset val="204"/>
      </rPr>
      <t>в</t>
    </r>
  </si>
  <si>
    <r>
      <t>Z</t>
    </r>
    <r>
      <rPr>
        <i/>
        <vertAlign val="subscript"/>
        <sz val="24"/>
        <color theme="1"/>
        <rFont val="Times New Roman"/>
        <family val="1"/>
        <charset val="204"/>
      </rPr>
      <t>1мин</t>
    </r>
  </si>
  <si>
    <r>
      <t>Z</t>
    </r>
    <r>
      <rPr>
        <i/>
        <vertAlign val="subscript"/>
        <sz val="24"/>
        <color theme="1"/>
        <rFont val="Times New Roman"/>
        <family val="1"/>
        <charset val="204"/>
      </rPr>
      <t>1макс</t>
    </r>
  </si>
  <si>
    <r>
      <t>B</t>
    </r>
    <r>
      <rPr>
        <i/>
        <vertAlign val="subscript"/>
        <sz val="36"/>
        <color theme="1"/>
        <rFont val="Times New Roman"/>
        <family val="1"/>
        <charset val="204"/>
      </rPr>
      <t>δ</t>
    </r>
  </si>
  <si>
    <t>Коэффициент мощности определяется по рисунку 4</t>
  </si>
  <si>
    <t>Коэффициент полезного действия определяется по рисунку 4</t>
  </si>
  <si>
    <t>Число парралельных ветвей, округленное до целого числа</t>
  </si>
  <si>
    <t>Константа</t>
  </si>
  <si>
    <t>Ку Здесь β = 0,8 - укорочение шага обмотки
Длая однослойной обмотки Kу всегда равен единице</t>
  </si>
  <si>
    <t>Da</t>
  </si>
  <si>
    <t>Вб</t>
  </si>
  <si>
    <t>а) - со степенью защиты IP44, h &lt; 32 мм 
б) - то же при h = 160 ÷ 250 мм;
в) - то же при h = h = 280 ÷ 355 мм(при продувном роторе);
г) - со тепенью защиты IP23, при h = 160 ÷ 250 мм
д) - то же при h = 280 ÷ 355 мм;
е) - то же при U = 6000 В</t>
  </si>
  <si>
    <r>
      <t>[A∙J</t>
    </r>
    <r>
      <rPr>
        <vertAlign val="subscript"/>
        <sz val="28"/>
        <color theme="1"/>
        <rFont val="Times New Roman"/>
        <family val="1"/>
        <charset val="204"/>
      </rPr>
      <t>1</t>
    </r>
    <r>
      <rPr>
        <sz val="28"/>
        <color theme="1"/>
        <rFont val="Times New Roman"/>
        <family val="1"/>
        <charset val="204"/>
      </rPr>
      <t>]</t>
    </r>
  </si>
  <si>
    <t>Рисунок - 9 Cреднее значение произведения (АJ) АД</t>
  </si>
  <si>
    <t>Плотность тока в обмотке статора (окончательно)</t>
  </si>
  <si>
    <r>
      <t>А/мм</t>
    </r>
    <r>
      <rPr>
        <vertAlign val="superscript"/>
        <sz val="24"/>
        <color theme="1"/>
        <rFont val="Times New Roman"/>
        <family val="1"/>
        <charset val="204"/>
      </rPr>
      <t>2</t>
    </r>
  </si>
  <si>
    <r>
      <t>А/м</t>
    </r>
    <r>
      <rPr>
        <vertAlign val="superscript"/>
        <sz val="28"/>
        <color theme="1"/>
        <rFont val="Times New Roman"/>
        <family val="1"/>
        <charset val="204"/>
      </rPr>
      <t>2</t>
    </r>
  </si>
  <si>
    <t>Сечение эффективного проводника (предварительно) по расчету</t>
  </si>
  <si>
    <r>
      <t>q</t>
    </r>
    <r>
      <rPr>
        <i/>
        <vertAlign val="subscript"/>
        <sz val="36"/>
        <color theme="1"/>
        <rFont val="Times New Roman"/>
        <family val="1"/>
        <charset val="204"/>
      </rPr>
      <t>эф</t>
    </r>
  </si>
  <si>
    <t>Сечение эффективного проводника (табличное значение)</t>
  </si>
  <si>
    <t>=</t>
  </si>
  <si>
    <r>
      <t>мм</t>
    </r>
    <r>
      <rPr>
        <vertAlign val="superscript"/>
        <sz val="22"/>
        <color theme="1"/>
        <rFont val="Times New Roman"/>
        <family val="1"/>
        <charset val="204"/>
      </rPr>
      <t>2</t>
    </r>
  </si>
  <si>
    <r>
      <t>А</t>
    </r>
    <r>
      <rPr>
        <vertAlign val="superscript"/>
        <sz val="28"/>
        <color theme="1"/>
        <rFont val="Times New Roman"/>
        <family val="1"/>
        <charset val="204"/>
      </rPr>
      <t>2</t>
    </r>
    <r>
      <rPr>
        <sz val="28"/>
        <color theme="1"/>
        <rFont val="Times New Roman"/>
        <family val="1"/>
        <charset val="204"/>
      </rPr>
      <t>/м</t>
    </r>
    <r>
      <rPr>
        <vertAlign val="superscript"/>
        <sz val="24"/>
        <color theme="1"/>
        <rFont val="Times New Roman"/>
        <family val="1"/>
        <charset val="204"/>
      </rPr>
      <t>3</t>
    </r>
  </si>
  <si>
    <r>
      <t>мм</t>
    </r>
    <r>
      <rPr>
        <vertAlign val="superscript"/>
        <sz val="28"/>
        <color theme="1"/>
        <rFont val="Times New Roman"/>
        <family val="1"/>
        <charset val="204"/>
      </rPr>
      <t>2</t>
    </r>
  </si>
  <si>
    <r>
      <t xml:space="preserve">Сечение одного проводника </t>
    </r>
    <r>
      <rPr>
        <i/>
        <sz val="18"/>
        <color theme="1"/>
        <rFont val="Times New Roman"/>
        <family val="1"/>
        <charset val="204"/>
      </rPr>
      <t>q</t>
    </r>
    <r>
      <rPr>
        <i/>
        <vertAlign val="subscript"/>
        <sz val="20"/>
        <color theme="1"/>
        <rFont val="Times New Roman"/>
        <family val="1"/>
        <charset val="204"/>
      </rPr>
      <t>эл</t>
    </r>
    <r>
      <rPr>
        <sz val="16"/>
        <color theme="1"/>
        <rFont val="Times New Roman"/>
        <family val="1"/>
        <charset val="204"/>
      </rPr>
      <t xml:space="preserve"> по таблице 4</t>
    </r>
  </si>
  <si>
    <r>
      <t xml:space="preserve">Число элементарных проводников (n эл) у всыпных обмоток </t>
    </r>
    <r>
      <rPr>
        <i/>
        <sz val="18"/>
        <color theme="1"/>
        <rFont val="Times New Roman"/>
        <family val="1"/>
        <charset val="204"/>
      </rPr>
      <t>n</t>
    </r>
    <r>
      <rPr>
        <i/>
        <vertAlign val="subscript"/>
        <sz val="20"/>
        <color theme="1"/>
        <rFont val="Times New Roman"/>
        <family val="1"/>
        <charset val="204"/>
      </rPr>
      <t>эф</t>
    </r>
    <r>
      <rPr>
        <i/>
        <vertAlign val="subscript"/>
        <sz val="18"/>
        <color theme="1"/>
        <rFont val="Times New Roman"/>
        <family val="1"/>
        <charset val="204"/>
      </rPr>
      <t xml:space="preserve">  </t>
    </r>
    <r>
      <rPr>
        <sz val="16"/>
        <color theme="1"/>
        <rFont val="Times New Roman"/>
        <family val="1"/>
        <charset val="204"/>
      </rPr>
      <t>≤  6</t>
    </r>
  </si>
  <si>
    <r>
      <rPr>
        <i/>
        <sz val="18"/>
        <color theme="1"/>
        <rFont val="Times New Roman"/>
        <family val="1"/>
        <charset val="204"/>
      </rPr>
      <t>K</t>
    </r>
    <r>
      <rPr>
        <i/>
        <vertAlign val="subscript"/>
        <sz val="20"/>
        <color theme="1"/>
        <rFont val="Times New Roman"/>
        <family val="1"/>
        <charset val="204"/>
      </rPr>
      <t>E</t>
    </r>
    <r>
      <rPr>
        <sz val="16"/>
        <color theme="1"/>
        <rFont val="Times New Roman"/>
        <family val="1"/>
        <charset val="204"/>
      </rPr>
      <t xml:space="preserve"> коэффициент определяется по рисунку 2</t>
    </r>
  </si>
  <si>
    <t>В - значение индукции выбирается по рисунку 5 графику электромагнитных нагрузок предварительно</t>
  </si>
  <si>
    <t>А линейная нагрузка выбирается по рисунку 5 графику 
электромагнитных нагрузок предварительно и расчитывается 
по току и  выбранным размерам окончательно</t>
  </si>
  <si>
    <r>
      <t>n</t>
    </r>
    <r>
      <rPr>
        <i/>
        <vertAlign val="subscript"/>
        <sz val="36"/>
        <color theme="1"/>
        <rFont val="Times New Roman"/>
        <family val="1"/>
        <charset val="204"/>
      </rPr>
      <t>эл</t>
    </r>
  </si>
  <si>
    <r>
      <t xml:space="preserve"> q</t>
    </r>
    <r>
      <rPr>
        <i/>
        <vertAlign val="subscript"/>
        <sz val="36"/>
        <color theme="1"/>
        <rFont val="Times New Roman"/>
        <family val="1"/>
        <charset val="204"/>
      </rPr>
      <t>эл</t>
    </r>
  </si>
  <si>
    <r>
      <t>q</t>
    </r>
    <r>
      <rPr>
        <i/>
        <vertAlign val="subscript"/>
        <sz val="28"/>
        <color theme="1"/>
        <rFont val="Times New Roman"/>
        <family val="1"/>
        <charset val="204"/>
      </rPr>
      <t>эф(табличное)</t>
    </r>
  </si>
  <si>
    <t>Выборочное значение целое значение</t>
  </si>
  <si>
    <r>
      <t>q</t>
    </r>
    <r>
      <rPr>
        <i/>
        <vertAlign val="subscript"/>
        <sz val="36"/>
        <color theme="1"/>
        <rFont val="Times New Roman"/>
        <family val="1"/>
        <charset val="204"/>
      </rPr>
      <t>эф(расчетное)</t>
    </r>
  </si>
  <si>
    <t>Ф</t>
  </si>
  <si>
    <r>
      <t>К</t>
    </r>
    <r>
      <rPr>
        <i/>
        <vertAlign val="subscript"/>
        <sz val="28"/>
        <color theme="1"/>
        <rFont val="Times New Roman"/>
        <family val="1"/>
        <charset val="204"/>
      </rPr>
      <t>у</t>
    </r>
  </si>
  <si>
    <r>
      <rPr>
        <i/>
        <sz val="16"/>
        <color theme="1"/>
        <rFont val="Times New Roman"/>
        <family val="1"/>
        <charset val="204"/>
      </rPr>
      <t>К</t>
    </r>
    <r>
      <rPr>
        <i/>
        <vertAlign val="subscript"/>
        <sz val="16"/>
        <color theme="1"/>
        <rFont val="Times New Roman"/>
        <family val="1"/>
        <charset val="204"/>
      </rPr>
      <t>p</t>
    </r>
    <r>
      <rPr>
        <sz val="16"/>
        <color theme="1"/>
        <rFont val="Times New Roman"/>
        <family val="1"/>
        <charset val="204"/>
      </rPr>
      <t xml:space="preserve"> по таблице 3</t>
    </r>
  </si>
  <si>
    <t xml:space="preserve">Окончательное значение t1 не должно выходить за указанные выше пределы
более чем на 10%. В любом случае для двигателей с h ≥ 56 мм зубцевое
деление t1 должно быть не менее 6 - 7 мм </t>
  </si>
  <si>
    <r>
      <rPr>
        <sz val="18"/>
        <color theme="1"/>
        <rFont val="Times New Roman"/>
        <family val="1"/>
        <charset val="204"/>
      </rPr>
      <t>z</t>
    </r>
    <r>
      <rPr>
        <vertAlign val="subscript"/>
        <sz val="20"/>
        <color theme="1"/>
        <rFont val="Times New Roman"/>
        <family val="1"/>
        <charset val="204"/>
      </rPr>
      <t>1макс</t>
    </r>
  </si>
  <si>
    <r>
      <rPr>
        <sz val="18"/>
        <color theme="1"/>
        <rFont val="Times New Roman"/>
        <family val="1"/>
        <charset val="204"/>
      </rPr>
      <t>z</t>
    </r>
    <r>
      <rPr>
        <vertAlign val="subscript"/>
        <sz val="20"/>
        <color theme="1"/>
        <rFont val="Times New Roman"/>
        <family val="1"/>
        <charset val="204"/>
      </rPr>
      <t>1мин</t>
    </r>
  </si>
  <si>
    <t>Обозначение 1</t>
  </si>
  <si>
    <t>Обозначение 2 общее</t>
  </si>
  <si>
    <r>
      <t>t</t>
    </r>
    <r>
      <rPr>
        <i/>
        <vertAlign val="subscript"/>
        <sz val="36"/>
        <color theme="1"/>
        <rFont val="Times New Roman"/>
        <family val="1"/>
        <charset val="204"/>
      </rPr>
      <t>1</t>
    </r>
  </si>
  <si>
    <r>
      <t>I</t>
    </r>
    <r>
      <rPr>
        <i/>
        <vertAlign val="subscript"/>
        <sz val="36"/>
        <color theme="1"/>
        <rFont val="Times New Roman"/>
        <family val="1"/>
        <charset val="204"/>
      </rPr>
      <t>1H</t>
    </r>
  </si>
  <si>
    <r>
      <rPr>
        <i/>
        <sz val="28"/>
        <color theme="1"/>
        <rFont val="Times New Roman"/>
        <family val="1"/>
        <charset val="204"/>
      </rPr>
      <t>K</t>
    </r>
    <r>
      <rPr>
        <i/>
        <vertAlign val="subscript"/>
        <sz val="28"/>
        <color theme="1"/>
        <rFont val="Times New Roman"/>
        <family val="1"/>
        <charset val="204"/>
      </rPr>
      <t>об</t>
    </r>
  </si>
  <si>
    <r>
      <t>q</t>
    </r>
    <r>
      <rPr>
        <i/>
        <vertAlign val="subscript"/>
        <sz val="28"/>
        <color theme="1"/>
        <rFont val="Times New Roman"/>
        <family val="1"/>
        <charset val="204"/>
      </rPr>
      <t>1</t>
    </r>
  </si>
  <si>
    <r>
      <t>t</t>
    </r>
    <r>
      <rPr>
        <i/>
        <vertAlign val="subscript"/>
        <sz val="28"/>
        <color theme="1"/>
        <rFont val="Times New Roman"/>
        <family val="1"/>
        <charset val="204"/>
      </rPr>
      <t xml:space="preserve">1макс </t>
    </r>
  </si>
  <si>
    <r>
      <t>t</t>
    </r>
    <r>
      <rPr>
        <i/>
        <vertAlign val="subscript"/>
        <sz val="28"/>
        <color theme="1"/>
        <rFont val="Times New Roman"/>
        <family val="1"/>
        <charset val="204"/>
      </rPr>
      <t xml:space="preserve">1мин </t>
    </r>
  </si>
  <si>
    <r>
      <t>К</t>
    </r>
    <r>
      <rPr>
        <i/>
        <vertAlign val="subscript"/>
        <sz val="28"/>
        <color theme="1"/>
        <rFont val="Times New Roman"/>
        <family val="1"/>
        <charset val="204"/>
      </rPr>
      <t>p</t>
    </r>
  </si>
  <si>
    <t>Раздел 5</t>
  </si>
  <si>
    <t>Раздел 6</t>
  </si>
  <si>
    <t>Раздел 7</t>
  </si>
  <si>
    <t>Раздел 8</t>
  </si>
  <si>
    <t>Раздел 9</t>
  </si>
  <si>
    <t>Раздел 10</t>
  </si>
  <si>
    <t>Раздел 11</t>
  </si>
  <si>
    <t>Расчет размеров зубцовой зонч статора и воздушного зазора</t>
  </si>
  <si>
    <r>
      <t>J</t>
    </r>
    <r>
      <rPr>
        <i/>
        <vertAlign val="subscript"/>
        <sz val="24"/>
        <color theme="1"/>
        <rFont val="Times New Roman"/>
        <family val="1"/>
        <charset val="204"/>
      </rPr>
      <t>1</t>
    </r>
  </si>
  <si>
    <r>
      <t xml:space="preserve">Значение </t>
    </r>
    <r>
      <rPr>
        <i/>
        <sz val="18"/>
        <color theme="1"/>
        <rFont val="Times New Roman"/>
        <family val="1"/>
        <charset val="204"/>
      </rPr>
      <t>h</t>
    </r>
    <r>
      <rPr>
        <i/>
        <vertAlign val="subscript"/>
        <sz val="20"/>
        <color theme="1"/>
        <rFont val="Times New Roman"/>
        <family val="1"/>
        <charset val="204"/>
      </rPr>
      <t>п</t>
    </r>
  </si>
  <si>
    <r>
      <rPr>
        <i/>
        <sz val="18"/>
        <color theme="1"/>
        <rFont val="Times New Roman"/>
        <family val="1"/>
        <charset val="204"/>
      </rPr>
      <t>в</t>
    </r>
    <r>
      <rPr>
        <i/>
        <vertAlign val="subscript"/>
        <sz val="20"/>
        <color theme="1"/>
        <rFont val="Times New Roman"/>
        <family val="1"/>
        <charset val="204"/>
      </rPr>
      <t>из</t>
    </r>
  </si>
  <si>
    <r>
      <t xml:space="preserve">Ширина зубца </t>
    </r>
    <r>
      <rPr>
        <i/>
        <sz val="18"/>
        <color theme="1"/>
        <rFont val="Times New Roman"/>
        <family val="1"/>
        <charset val="204"/>
      </rPr>
      <t>в</t>
    </r>
    <r>
      <rPr>
        <i/>
        <vertAlign val="subscript"/>
        <sz val="20"/>
        <color theme="1"/>
        <rFont val="Times New Roman"/>
        <family val="1"/>
        <charset val="204"/>
      </rPr>
      <t>z1</t>
    </r>
  </si>
  <si>
    <r>
      <t xml:space="preserve">Значение </t>
    </r>
    <r>
      <rPr>
        <i/>
        <sz val="18"/>
        <color theme="1"/>
        <rFont val="Times New Roman"/>
        <family val="1"/>
        <charset val="204"/>
      </rPr>
      <t>B</t>
    </r>
    <r>
      <rPr>
        <i/>
        <vertAlign val="subscript"/>
        <sz val="20"/>
        <color theme="1"/>
        <rFont val="Times New Roman"/>
        <family val="1"/>
        <charset val="204"/>
      </rPr>
      <t>j</t>
    </r>
    <r>
      <rPr>
        <sz val="16"/>
        <color theme="1"/>
        <rFont val="Times New Roman"/>
        <family val="1"/>
        <charset val="204"/>
      </rPr>
      <t xml:space="preserve"> по таблице 5</t>
    </r>
  </si>
  <si>
    <r>
      <t xml:space="preserve">Значение коэффициента </t>
    </r>
    <r>
      <rPr>
        <i/>
        <sz val="18"/>
        <color theme="1"/>
        <rFont val="Times New Roman"/>
        <family val="1"/>
        <charset val="204"/>
      </rPr>
      <t>K</t>
    </r>
    <r>
      <rPr>
        <i/>
        <vertAlign val="subscript"/>
        <sz val="20"/>
        <color theme="1"/>
        <rFont val="Times New Roman"/>
        <family val="1"/>
        <charset val="204"/>
      </rPr>
      <t>c</t>
    </r>
  </si>
  <si>
    <t>высота шлица паза hш (статор)
hш = (0,5 - 1,0) мм - высота шлица паза;
вш = (1,8 - 4,0) мм - ширина шлица паза;</t>
  </si>
  <si>
    <t>ширина шлица паза вш (статор)
hш = (0,5 - 1,0) мм - высота шлица паза;
вш = (1,8 - 4,0) мм - ширина шлица паза;</t>
  </si>
  <si>
    <r>
      <rPr>
        <sz val="18"/>
        <color theme="1"/>
        <rFont val="Times New Roman"/>
        <family val="1"/>
        <charset val="204"/>
      </rPr>
      <t>Δ</t>
    </r>
    <r>
      <rPr>
        <i/>
        <sz val="18"/>
        <color theme="1"/>
        <rFont val="Times New Roman"/>
        <family val="1"/>
        <charset val="204"/>
      </rPr>
      <t>h</t>
    </r>
    <r>
      <rPr>
        <i/>
        <vertAlign val="subscript"/>
        <sz val="20"/>
        <color theme="1"/>
        <rFont val="Times New Roman"/>
        <family val="1"/>
        <charset val="204"/>
      </rPr>
      <t xml:space="preserve">п </t>
    </r>
    <r>
      <rPr>
        <i/>
        <sz val="16"/>
        <color theme="1"/>
        <rFont val="Times New Roman"/>
        <family val="1"/>
        <charset val="204"/>
      </rPr>
      <t>п</t>
    </r>
    <r>
      <rPr>
        <sz val="16"/>
        <color theme="1"/>
        <rFont val="Times New Roman"/>
        <family val="1"/>
        <charset val="204"/>
      </rPr>
      <t xml:space="preserve">ринимается </t>
    </r>
    <r>
      <rPr>
        <sz val="18"/>
        <color theme="1"/>
        <rFont val="Times New Roman"/>
        <family val="1"/>
        <charset val="204"/>
      </rPr>
      <t>Δ</t>
    </r>
    <r>
      <rPr>
        <i/>
        <sz val="18"/>
        <color theme="1"/>
        <rFont val="Times New Roman"/>
        <family val="1"/>
        <charset val="204"/>
      </rPr>
      <t>в</t>
    </r>
    <r>
      <rPr>
        <i/>
        <vertAlign val="subscript"/>
        <sz val="20"/>
        <color theme="1"/>
        <rFont val="Times New Roman"/>
        <family val="1"/>
        <charset val="204"/>
      </rPr>
      <t>п</t>
    </r>
    <r>
      <rPr>
        <sz val="16"/>
        <color theme="1"/>
        <rFont val="Times New Roman"/>
        <family val="1"/>
        <charset val="204"/>
      </rPr>
      <t xml:space="preserve"> = 0,2 мм, </t>
    </r>
    <r>
      <rPr>
        <sz val="20"/>
        <color theme="1"/>
        <rFont val="Times New Roman"/>
        <family val="1"/>
        <charset val="204"/>
      </rPr>
      <t>Δ</t>
    </r>
    <r>
      <rPr>
        <i/>
        <sz val="18"/>
        <color theme="1"/>
        <rFont val="Times New Roman"/>
        <family val="1"/>
        <charset val="204"/>
      </rPr>
      <t>h</t>
    </r>
    <r>
      <rPr>
        <i/>
        <vertAlign val="subscript"/>
        <sz val="18"/>
        <color theme="1"/>
        <rFont val="Times New Roman"/>
        <family val="1"/>
        <charset val="204"/>
      </rPr>
      <t>п</t>
    </r>
    <r>
      <rPr>
        <sz val="16"/>
        <color theme="1"/>
        <rFont val="Times New Roman"/>
        <family val="1"/>
        <charset val="204"/>
      </rPr>
      <t xml:space="preserve"> = 0,2 мм</t>
    </r>
  </si>
  <si>
    <r>
      <rPr>
        <sz val="18"/>
        <color theme="1"/>
        <rFont val="Times New Roman"/>
        <family val="1"/>
        <charset val="204"/>
      </rPr>
      <t>Δ</t>
    </r>
    <r>
      <rPr>
        <i/>
        <sz val="18"/>
        <color theme="1"/>
        <rFont val="Times New Roman"/>
        <family val="1"/>
        <charset val="204"/>
      </rPr>
      <t>в</t>
    </r>
    <r>
      <rPr>
        <i/>
        <vertAlign val="subscript"/>
        <sz val="20"/>
        <color theme="1"/>
        <rFont val="Times New Roman"/>
        <family val="1"/>
        <charset val="204"/>
      </rPr>
      <t xml:space="preserve">п </t>
    </r>
    <r>
      <rPr>
        <i/>
        <sz val="16"/>
        <color theme="1"/>
        <rFont val="Times New Roman"/>
        <family val="1"/>
        <charset val="204"/>
      </rPr>
      <t>п</t>
    </r>
    <r>
      <rPr>
        <sz val="16"/>
        <color theme="1"/>
        <rFont val="Times New Roman"/>
        <family val="1"/>
        <charset val="204"/>
      </rPr>
      <t xml:space="preserve">ринимается </t>
    </r>
    <r>
      <rPr>
        <sz val="18"/>
        <color theme="1"/>
        <rFont val="Times New Roman"/>
        <family val="1"/>
        <charset val="204"/>
      </rPr>
      <t>Δ</t>
    </r>
    <r>
      <rPr>
        <i/>
        <sz val="18"/>
        <color theme="1"/>
        <rFont val="Times New Roman"/>
        <family val="1"/>
        <charset val="204"/>
      </rPr>
      <t>в</t>
    </r>
    <r>
      <rPr>
        <i/>
        <vertAlign val="subscript"/>
        <sz val="20"/>
        <color theme="1"/>
        <rFont val="Times New Roman"/>
        <family val="1"/>
        <charset val="204"/>
      </rPr>
      <t>п</t>
    </r>
    <r>
      <rPr>
        <sz val="16"/>
        <color theme="1"/>
        <rFont val="Times New Roman"/>
        <family val="1"/>
        <charset val="204"/>
      </rPr>
      <t xml:space="preserve"> = 0,2 мм, </t>
    </r>
    <r>
      <rPr>
        <sz val="20"/>
        <color theme="1"/>
        <rFont val="Times New Roman"/>
        <family val="1"/>
        <charset val="204"/>
      </rPr>
      <t>Δ</t>
    </r>
    <r>
      <rPr>
        <i/>
        <sz val="18"/>
        <color theme="1"/>
        <rFont val="Times New Roman"/>
        <family val="1"/>
        <charset val="204"/>
      </rPr>
      <t>h</t>
    </r>
    <r>
      <rPr>
        <i/>
        <vertAlign val="subscript"/>
        <sz val="18"/>
        <color theme="1"/>
        <rFont val="Times New Roman"/>
        <family val="1"/>
        <charset val="204"/>
      </rPr>
      <t>п</t>
    </r>
    <r>
      <rPr>
        <sz val="16"/>
        <color theme="1"/>
        <rFont val="Times New Roman"/>
        <family val="1"/>
        <charset val="204"/>
      </rPr>
      <t xml:space="preserve"> = 0,2 мм</t>
    </r>
  </si>
  <si>
    <r>
      <rPr>
        <sz val="18"/>
        <color theme="1"/>
        <rFont val="Times New Roman"/>
        <family val="1"/>
        <charset val="204"/>
      </rPr>
      <t>t</t>
    </r>
    <r>
      <rPr>
        <vertAlign val="subscript"/>
        <sz val="20"/>
        <color theme="1"/>
        <rFont val="Times New Roman"/>
        <family val="1"/>
        <charset val="204"/>
      </rPr>
      <t>1макс</t>
    </r>
    <r>
      <rPr>
        <vertAlign val="subscript"/>
        <sz val="16"/>
        <color theme="1"/>
        <rFont val="Times New Roman"/>
        <family val="1"/>
        <charset val="204"/>
      </rPr>
      <t xml:space="preserve"> </t>
    </r>
    <r>
      <rPr>
        <sz val="16"/>
        <color theme="1"/>
        <rFont val="Times New Roman"/>
        <family val="1"/>
        <charset val="204"/>
      </rPr>
      <t>максимальное значение зубцового деления</t>
    </r>
  </si>
  <si>
    <r>
      <rPr>
        <sz val="18"/>
        <color theme="1"/>
        <rFont val="Times New Roman"/>
        <family val="1"/>
        <charset val="204"/>
      </rPr>
      <t>t</t>
    </r>
    <r>
      <rPr>
        <vertAlign val="subscript"/>
        <sz val="20"/>
        <color theme="1"/>
        <rFont val="Times New Roman"/>
        <family val="1"/>
        <charset val="204"/>
      </rPr>
      <t>1мин</t>
    </r>
    <r>
      <rPr>
        <sz val="16"/>
        <color theme="1"/>
        <rFont val="Times New Roman"/>
        <family val="1"/>
        <charset val="204"/>
      </rPr>
      <t xml:space="preserve"> минимальное значение зубцового деления</t>
    </r>
  </si>
  <si>
    <t>значение коэффициента Кз коэффициент заполнения паза характеризует
плотность укладки проводников в пазы при ручной укладке обмоток
коэффициент заполнения паза должен быть Kз = 0,7 - 0,75, а при
механизированной укдадке Kз = 0,7 - 0,72</t>
  </si>
  <si>
    <t>Рисунок 10 - к расчету размеров зубцовой зоны всыпной обмотки статора</t>
  </si>
  <si>
    <r>
      <t>10</t>
    </r>
    <r>
      <rPr>
        <vertAlign val="superscript"/>
        <sz val="24"/>
        <color theme="1"/>
        <rFont val="Times New Roman"/>
        <family val="1"/>
        <charset val="204"/>
      </rPr>
      <t xml:space="preserve">6 </t>
    </r>
    <r>
      <rPr>
        <sz val="24"/>
        <color theme="1"/>
        <rFont val="Times New Roman"/>
        <family val="1"/>
        <charset val="204"/>
      </rPr>
      <t>∙ (А/м</t>
    </r>
    <r>
      <rPr>
        <vertAlign val="superscript"/>
        <sz val="24"/>
        <color theme="1"/>
        <rFont val="Times New Roman"/>
        <family val="1"/>
        <charset val="204"/>
      </rPr>
      <t>2</t>
    </r>
    <r>
      <rPr>
        <sz val="24"/>
        <color theme="1"/>
        <rFont val="Times New Roman"/>
        <family val="1"/>
        <charset val="204"/>
      </rPr>
      <t>)</t>
    </r>
  </si>
  <si>
    <t>Расчет ротора</t>
  </si>
  <si>
    <t>Площадь поперечного сечения стержня qc</t>
  </si>
  <si>
    <t>Iкл ток короткозамыкающих кольцец</t>
  </si>
  <si>
    <r>
      <rPr>
        <i/>
        <sz val="18"/>
        <color theme="1"/>
        <rFont val="Times New Roman"/>
        <family val="1"/>
        <charset val="204"/>
      </rPr>
      <t>в</t>
    </r>
    <r>
      <rPr>
        <i/>
        <vertAlign val="subscript"/>
        <sz val="20"/>
        <color theme="1"/>
        <rFont val="Times New Roman"/>
        <family val="1"/>
        <charset val="204"/>
      </rPr>
      <t>кл</t>
    </r>
  </si>
  <si>
    <r>
      <rPr>
        <i/>
        <sz val="18"/>
        <color theme="1"/>
        <rFont val="Times New Roman"/>
        <family val="1"/>
        <charset val="204"/>
      </rPr>
      <t>а</t>
    </r>
    <r>
      <rPr>
        <i/>
        <vertAlign val="subscript"/>
        <sz val="16"/>
        <color theme="1"/>
        <rFont val="Times New Roman"/>
        <family val="1"/>
        <charset val="204"/>
      </rPr>
      <t>кл</t>
    </r>
  </si>
  <si>
    <r>
      <t>K</t>
    </r>
    <r>
      <rPr>
        <i/>
        <vertAlign val="subscript"/>
        <sz val="36"/>
        <color theme="1"/>
        <rFont val="Times New Roman"/>
        <family val="1"/>
        <charset val="204"/>
      </rPr>
      <t>з</t>
    </r>
  </si>
  <si>
    <t xml:space="preserve">
В небольших двигателях мощностью менее 2...3 кВт  I*μ может до¬стигать значения 0,5...0,6, несмотря на правильно выбранные разме¬ры и малое насыщение магнитопровода. Это объясняется относите¬льно большим значением магнитного 
</t>
  </si>
  <si>
    <t>Раздел 12</t>
  </si>
  <si>
    <r>
      <t xml:space="preserve">Допустимая ширина зуба </t>
    </r>
    <r>
      <rPr>
        <i/>
        <sz val="18"/>
        <color theme="1"/>
        <rFont val="Times New Roman"/>
        <family val="1"/>
        <charset val="204"/>
      </rPr>
      <t>в</t>
    </r>
    <r>
      <rPr>
        <i/>
        <vertAlign val="subscript"/>
        <sz val="20"/>
        <color theme="1"/>
        <rFont val="Times New Roman"/>
        <family val="1"/>
        <charset val="204"/>
      </rPr>
      <t>z2</t>
    </r>
  </si>
  <si>
    <r>
      <t>в</t>
    </r>
    <r>
      <rPr>
        <i/>
        <vertAlign val="subscript"/>
        <sz val="24"/>
        <color theme="1"/>
        <rFont val="Times New Roman"/>
        <family val="1"/>
        <charset val="204"/>
      </rPr>
      <t>Z2</t>
    </r>
  </si>
  <si>
    <t>Fontello</t>
  </si>
  <si>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</si>
  <si>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</si>
  <si>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</si>
  <si>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</si>
  <si>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</si>
  <si>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</si>
  <si>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</si>
  <si>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</si>
  <si>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</si>
  <si>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q</t>
    </r>
    <r>
      <rPr>
        <i/>
        <vertAlign val="subscript"/>
        <sz val="36"/>
        <color theme="1"/>
        <rFont val="Times New Roman"/>
        <family val="1"/>
        <charset val="204"/>
      </rPr>
      <t>кл</t>
    </r>
  </si>
  <si>
    <r>
      <t>q</t>
    </r>
    <r>
      <rPr>
        <i/>
        <vertAlign val="subscript"/>
        <sz val="36"/>
        <color theme="1"/>
        <rFont val="Times New Roman"/>
        <family val="1"/>
        <charset val="204"/>
      </rPr>
      <t>c</t>
    </r>
  </si>
  <si>
    <r>
      <t xml:space="preserve">Внутренний диаметр ротора </t>
    </r>
    <r>
      <rPr>
        <sz val="18"/>
        <color theme="1"/>
        <rFont val="Times New Roman"/>
        <family val="1"/>
        <charset val="204"/>
      </rPr>
      <t>D</t>
    </r>
    <r>
      <rPr>
        <vertAlign val="subscript"/>
        <sz val="20"/>
        <color theme="1"/>
        <rFont val="Times New Roman"/>
        <family val="1"/>
        <charset val="204"/>
      </rPr>
      <t>j</t>
    </r>
  </si>
  <si>
    <r>
      <t>D</t>
    </r>
    <r>
      <rPr>
        <i/>
        <vertAlign val="subscript"/>
        <sz val="36"/>
        <color theme="1"/>
        <rFont val="Times New Roman"/>
        <family val="1"/>
        <charset val="204"/>
      </rPr>
      <t>j</t>
    </r>
  </si>
  <si>
    <r>
      <t>h</t>
    </r>
    <r>
      <rPr>
        <i/>
        <vertAlign val="subscript"/>
        <sz val="24"/>
        <color theme="1"/>
        <rFont val="Times New Roman"/>
        <family val="1"/>
        <charset val="204"/>
      </rPr>
      <t>ш</t>
    </r>
  </si>
  <si>
    <r>
      <t>в</t>
    </r>
    <r>
      <rPr>
        <i/>
        <vertAlign val="subscript"/>
        <sz val="36"/>
        <color theme="1"/>
        <rFont val="Times New Roman"/>
        <family val="1"/>
        <charset val="204"/>
      </rPr>
      <t>1</t>
    </r>
  </si>
  <si>
    <r>
      <t xml:space="preserve">значение </t>
    </r>
    <r>
      <rPr>
        <i/>
        <sz val="20"/>
        <color theme="1"/>
        <rFont val="Times New Roman"/>
        <family val="1"/>
        <charset val="204"/>
      </rPr>
      <t>в</t>
    </r>
    <r>
      <rPr>
        <i/>
        <vertAlign val="subscript"/>
        <sz val="20"/>
        <color theme="1"/>
        <rFont val="Times New Roman"/>
        <family val="1"/>
        <charset val="204"/>
      </rPr>
      <t>1</t>
    </r>
    <r>
      <rPr>
        <sz val="16"/>
        <color theme="1"/>
        <rFont val="Times New Roman"/>
        <family val="1"/>
        <charset val="204"/>
      </rPr>
      <t xml:space="preserve"> для ротора</t>
    </r>
  </si>
  <si>
    <r>
      <t xml:space="preserve">от </t>
    </r>
    <r>
      <rPr>
        <i/>
        <sz val="20"/>
        <color theme="1"/>
        <rFont val="Times New Roman"/>
        <family val="1"/>
        <charset val="204"/>
      </rPr>
      <t>в</t>
    </r>
    <r>
      <rPr>
        <i/>
        <vertAlign val="subscript"/>
        <sz val="20"/>
        <color theme="1"/>
        <rFont val="Times New Roman"/>
        <family val="1"/>
        <charset val="204"/>
      </rPr>
      <t>1</t>
    </r>
  </si>
  <si>
    <r>
      <t xml:space="preserve">% </t>
    </r>
    <r>
      <rPr>
        <i/>
        <sz val="28"/>
        <color theme="1"/>
        <rFont val="Times New Roman"/>
        <family val="1"/>
        <charset val="204"/>
      </rPr>
      <t>в</t>
    </r>
    <r>
      <rPr>
        <i/>
        <vertAlign val="subscript"/>
        <sz val="28"/>
        <color theme="1"/>
        <rFont val="Times New Roman"/>
        <family val="1"/>
        <charset val="204"/>
      </rPr>
      <t>1</t>
    </r>
  </si>
  <si>
    <r>
      <t>плотность тока в стержне ротора J</t>
    </r>
    <r>
      <rPr>
        <vertAlign val="subscript"/>
        <sz val="16"/>
        <color theme="1"/>
        <rFont val="Times New Roman"/>
        <family val="1"/>
        <charset val="204"/>
      </rPr>
      <t>2</t>
    </r>
    <r>
      <rPr>
        <sz val="16"/>
        <color theme="1"/>
        <rFont val="Times New Roman"/>
        <family val="1"/>
        <charset val="204"/>
      </rPr>
      <t xml:space="preserve"> = (2,5-3,5) ∙ 10</t>
    </r>
    <r>
      <rPr>
        <vertAlign val="superscript"/>
        <sz val="16"/>
        <color theme="1"/>
        <rFont val="Times New Roman"/>
        <family val="1"/>
        <charset val="204"/>
      </rPr>
      <t xml:space="preserve">6 </t>
    </r>
    <r>
      <rPr>
        <sz val="16"/>
        <color theme="1"/>
        <rFont val="Times New Roman"/>
        <family val="1"/>
        <charset val="204"/>
      </rPr>
      <t>(А/м</t>
    </r>
    <r>
      <rPr>
        <vertAlign val="superscript"/>
        <sz val="16"/>
        <color theme="1"/>
        <rFont val="Times New Roman"/>
        <family val="1"/>
        <charset val="204"/>
      </rPr>
      <t>2</t>
    </r>
    <r>
      <rPr>
        <sz val="16"/>
        <color theme="1"/>
        <rFont val="Times New Roman"/>
        <family val="1"/>
        <charset val="204"/>
      </rPr>
      <t>)</t>
    </r>
  </si>
  <si>
    <t>Расчет магнитной цепи</t>
  </si>
  <si>
    <t>Параметры рабочего режима асинхронного двигателя</t>
  </si>
  <si>
    <t>Расчет потерь</t>
  </si>
  <si>
    <t>Расчет рабочих характеристик аналитическим методом</t>
  </si>
  <si>
    <t>Расчет пусковых характеристик</t>
  </si>
  <si>
    <t>Тепловой расчет</t>
  </si>
  <si>
    <r>
      <rPr>
        <i/>
        <sz val="28"/>
        <color theme="1"/>
        <rFont val="Times New Roman"/>
        <family val="1"/>
        <charset val="204"/>
      </rPr>
      <t>K</t>
    </r>
    <r>
      <rPr>
        <i/>
        <vertAlign val="subscript"/>
        <sz val="28"/>
        <color theme="1"/>
        <rFont val="Times New Roman"/>
        <family val="1"/>
        <charset val="204"/>
      </rPr>
      <t>c</t>
    </r>
  </si>
  <si>
    <r>
      <t>h</t>
    </r>
    <r>
      <rPr>
        <i/>
        <vertAlign val="subscript"/>
        <sz val="36"/>
        <color theme="1"/>
        <rFont val="Times New Roman"/>
        <family val="1"/>
        <charset val="204"/>
      </rPr>
      <t>ш</t>
    </r>
  </si>
  <si>
    <r>
      <t>в</t>
    </r>
    <r>
      <rPr>
        <i/>
        <vertAlign val="subscript"/>
        <sz val="36"/>
        <color theme="1"/>
        <rFont val="Times New Roman"/>
        <family val="1"/>
        <charset val="204"/>
      </rPr>
      <t>ш</t>
    </r>
  </si>
  <si>
    <r>
      <t>в</t>
    </r>
    <r>
      <rPr>
        <i/>
        <vertAlign val="subscript"/>
        <sz val="36"/>
        <color theme="1"/>
        <rFont val="Times New Roman"/>
        <family val="1"/>
        <charset val="204"/>
      </rPr>
      <t>2</t>
    </r>
  </si>
  <si>
    <r>
      <t>h</t>
    </r>
    <r>
      <rPr>
        <i/>
        <vertAlign val="subscript"/>
        <sz val="24"/>
        <color theme="1"/>
        <rFont val="Times New Roman"/>
        <family val="1"/>
        <charset val="204"/>
      </rPr>
      <t>1</t>
    </r>
  </si>
  <si>
    <t>ротор</t>
  </si>
  <si>
    <r>
      <t>Если значение   отличается от рекомендованных, то необходимо показать размеры паза. Для этого надо принять другие значения B</t>
    </r>
    <r>
      <rPr>
        <vertAlign val="subscript"/>
        <sz val="16"/>
        <color theme="1"/>
        <rFont val="Times New Roman"/>
        <family val="1"/>
        <charset val="204"/>
      </rPr>
      <t>a</t>
    </r>
    <r>
      <rPr>
        <sz val="16"/>
        <color theme="1"/>
        <rFont val="Times New Roman"/>
        <family val="1"/>
        <charset val="204"/>
      </rPr>
      <t xml:space="preserve"> и B</t>
    </r>
    <r>
      <rPr>
        <vertAlign val="subscript"/>
        <sz val="16"/>
        <color theme="1"/>
        <rFont val="Times New Roman"/>
        <family val="1"/>
        <charset val="204"/>
      </rPr>
      <t>z1</t>
    </r>
    <r>
      <rPr>
        <sz val="16"/>
        <color theme="1"/>
        <rFont val="Times New Roman"/>
        <family val="1"/>
        <charset val="204"/>
      </rPr>
      <t xml:space="preserve"> и повторить расчет п.4.2 – 4.7</t>
    </r>
  </si>
  <si>
    <t xml:space="preserve">большинстве случаев это свидетельствует о том, что размеры машины выбраны завышенными и активные материалы недоиспользо¬ваны. Такой двигатель может иметь высокие КПД и cosφ, но плохие показатели расхода материалов на единицу мощности, большие  массу и габариты.
Если же в аналогичном двигателе I*μ &gt; 0,3...0,4, то это в большин¬стве случаев означает, что либо его габариты взяты меньшими, чем следовало, либо неправильно выбраны размерные соотношения  участков магнитопровода. Двигатель будет иметь низкие КПД и  cosφ.
</t>
  </si>
  <si>
    <r>
      <t>J</t>
    </r>
    <r>
      <rPr>
        <i/>
        <vertAlign val="subscript"/>
        <sz val="24"/>
        <color theme="1"/>
        <rFont val="Times New Roman"/>
        <family val="1"/>
        <charset val="204"/>
      </rPr>
      <t>2</t>
    </r>
  </si>
  <si>
    <t xml:space="preserve">Jкл плотность тока в короткозамыкающих кольцах </t>
  </si>
  <si>
    <r>
      <t>J</t>
    </r>
    <r>
      <rPr>
        <i/>
        <vertAlign val="subscript"/>
        <sz val="24"/>
        <color theme="1"/>
        <rFont val="Times New Roman"/>
        <family val="1"/>
        <charset val="204"/>
      </rPr>
      <t>кл</t>
    </r>
  </si>
  <si>
    <t>Раздел 8 расчет потерь</t>
  </si>
  <si>
    <t>Раздел 7 параметры рабочего режима двигателя</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</si>
</sst>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0000"/>
    <numFmt numFmtId="166" formatCode="0.0"/>
    <numFmt numFmtId="167" formatCode="0.000"/>
    <numFmt numFmtId="168" formatCode="0.0000"/>
  </numFmts>
  <fonts count="73" x14ac:knownFonts="1">
    <font>
      <sz val="11"/>
      <color theme="1"/>
      <name val="Calibri"/>
      <family val="2"/>
      <charset val="204"/>
      <scheme val="minor"/>
    </font>
    <font>
      <sz val="14"/>
      <color theme="1"/>
      <name val="Times New Roman"/>
      <family val="1"/>
      <charset val="204"/>
    </font>
    <font>
      <sz val="16"/>
      <color theme="1"/>
      <name val="Times New Roman"/>
      <family val="1"/>
      <charset val="204"/>
    </font>
    <font>
      <b/>
      <sz val="16"/>
      <color theme="1"/>
      <name val="Times New Roman"/>
      <family val="1"/>
      <charset val="204"/>
    </font>
    <font>
      <sz val="11"/>
      <color theme="1"/>
      <name val="Times New Roman"/>
      <family val="1"/>
      <charset val="204"/>
    </font>
    <font>
      <sz val="12"/>
      <color theme="1"/>
      <name val="Times New Roman"/>
      <family val="1"/>
      <charset val="204"/>
    </font>
    <font>
      <sz val="10"/>
      <color theme="1"/>
      <name val="Times New Roman"/>
      <family val="1"/>
      <charset val="204"/>
    </font>
    <font>
      <sz val="14"/>
      <color theme="1"/>
      <name val="Calibri"/>
      <family val="2"/>
      <charset val="204"/>
      <scheme val="minor"/>
    </font>
    <font>
      <vertAlign val="subscript"/>
      <sz val="14"/>
      <color theme="1"/>
      <name val="Times New Roman"/>
      <family val="1"/>
      <charset val="204"/>
    </font>
    <font>
      <i/>
      <sz val="14"/>
      <color theme="1"/>
      <name val="Times New Roman"/>
      <family val="1"/>
      <charset val="204"/>
    </font>
    <font>
      <i/>
      <sz val="10"/>
      <color theme="1"/>
      <name val="Times New Roman"/>
      <family val="1"/>
      <charset val="204"/>
    </font>
    <font>
      <vertAlign val="subscript"/>
      <sz val="10"/>
      <color theme="1"/>
      <name val="Times New Roman"/>
      <family val="1"/>
      <charset val="204"/>
    </font>
    <font>
      <sz val="10"/>
      <color rgb="FF000000"/>
      <name val="Times New Roman"/>
      <family val="1"/>
      <charset val="204"/>
    </font>
    <font>
      <vertAlign val="superscript"/>
      <sz val="10"/>
      <color theme="1"/>
      <name val="Times New Roman"/>
      <family val="1"/>
      <charset val="204"/>
    </font>
    <font>
      <sz val="9"/>
      <color theme="1"/>
      <name val="Times New Roman"/>
      <family val="1"/>
      <charset val="204"/>
    </font>
    <font>
      <vertAlign val="superscript"/>
      <sz val="9"/>
      <color theme="1"/>
      <name val="Times New Roman"/>
      <family val="1"/>
      <charset val="204"/>
    </font>
    <font>
      <vertAlign val="subscript"/>
      <sz val="9"/>
      <color theme="1"/>
      <name val="Times New Roman"/>
      <family val="1"/>
      <charset val="204"/>
    </font>
    <font>
      <i/>
      <vertAlign val="subscript"/>
      <sz val="16"/>
      <color theme="1"/>
      <name val="Times New Roman"/>
      <family val="1"/>
      <charset val="204"/>
    </font>
    <font>
      <sz val="9"/>
      <color theme="1"/>
      <name val="Arial"/>
      <family val="2"/>
      <charset val="204"/>
    </font>
    <font>
      <sz val="22"/>
      <color theme="1"/>
      <name val="Times New Roman"/>
      <family val="1"/>
      <charset val="204"/>
    </font>
    <font>
      <sz val="28"/>
      <color theme="1"/>
      <name val="Times New Roman"/>
      <family val="1"/>
      <charset val="204"/>
    </font>
    <font>
      <vertAlign val="subscript"/>
      <sz val="16"/>
      <color theme="1"/>
      <name val="Times New Roman"/>
      <family val="1"/>
      <charset val="204"/>
    </font>
    <font>
      <sz val="18"/>
      <color theme="1"/>
      <name val="Bahnschrift"/>
      <family val="2"/>
      <charset val="204"/>
    </font>
    <font>
      <u/>
      <sz val="11"/>
      <color theme="10"/>
      <name val="Calibri"/>
      <family val="2"/>
      <charset val="204"/>
      <scheme val="minor"/>
    </font>
    <font>
      <b/>
      <u/>
      <sz val="11"/>
      <color rgb="FF006600"/>
      <name val="Calibri"/>
      <family val="2"/>
      <charset val="204"/>
      <scheme val="minor"/>
    </font>
    <font>
      <u/>
      <sz val="12"/>
      <color theme="10"/>
      <name val="Calibri"/>
      <family val="2"/>
      <charset val="204"/>
      <scheme val="minor"/>
    </font>
    <font>
      <sz val="28"/>
      <color rgb="FF800080"/>
      <name val="fontello"/>
    </font>
    <font>
      <sz val="24"/>
      <color theme="1"/>
      <name val="Times New Roman"/>
      <family val="1"/>
      <charset val="204"/>
    </font>
    <font>
      <sz val="32"/>
      <color theme="1"/>
      <name val="fontello"/>
    </font>
    <font>
      <i/>
      <sz val="24"/>
      <color rgb="FF006600"/>
      <name val="Times New Roman"/>
      <family val="1"/>
      <charset val="204"/>
    </font>
    <font>
      <i/>
      <vertAlign val="subscript"/>
      <sz val="24"/>
      <color rgb="FF006600"/>
      <name val="Times New Roman"/>
      <family val="1"/>
      <charset val="204"/>
    </font>
    <font>
      <vertAlign val="subscript"/>
      <sz val="24"/>
      <color rgb="FF006600"/>
      <name val="Times New Roman"/>
      <family val="1"/>
      <charset val="204"/>
    </font>
    <font>
      <i/>
      <vertAlign val="subscript"/>
      <sz val="36"/>
      <color theme="1"/>
      <name val="Times New Roman"/>
      <family val="1"/>
      <charset val="204"/>
    </font>
    <font>
      <i/>
      <sz val="36"/>
      <color theme="1"/>
      <name val="Times New Roman"/>
      <family val="1"/>
      <charset val="204"/>
    </font>
    <font>
      <i/>
      <sz val="24"/>
      <color theme="1"/>
      <name val="Times New Roman"/>
      <family val="1"/>
      <charset val="204"/>
    </font>
    <font>
      <vertAlign val="superscript"/>
      <sz val="12"/>
      <color theme="1"/>
      <name val="Times New Roman"/>
      <family val="1"/>
      <charset val="204"/>
    </font>
    <font>
      <u/>
      <sz val="16"/>
      <color theme="1"/>
      <name val="Bahnschrift"/>
      <family val="2"/>
      <charset val="204"/>
    </font>
    <font>
      <i/>
      <sz val="16"/>
      <color theme="1"/>
      <name val="Times New Roman"/>
      <family val="1"/>
      <charset val="204"/>
    </font>
    <font>
      <i/>
      <sz val="16"/>
      <color theme="1"/>
      <name val="Arial"/>
      <family val="2"/>
      <charset val="204"/>
    </font>
    <font>
      <b/>
      <u/>
      <sz val="16"/>
      <color rgb="FF006600"/>
      <name val="Calibri"/>
      <family val="2"/>
      <charset val="204"/>
      <scheme val="minor"/>
    </font>
    <font>
      <vertAlign val="superscript"/>
      <sz val="16"/>
      <color theme="1"/>
      <name val="Times New Roman"/>
      <family val="1"/>
      <charset val="204"/>
    </font>
    <font>
      <sz val="16"/>
      <color theme="1"/>
      <name val="Courier New"/>
      <family val="3"/>
      <charset val="204"/>
    </font>
    <font>
      <sz val="72"/>
      <color theme="1"/>
      <name val="Times New Roman"/>
      <family val="1"/>
      <charset val="204"/>
    </font>
    <font>
      <sz val="16"/>
      <color theme="1"/>
      <name val="Calibri"/>
      <family val="2"/>
      <charset val="204"/>
      <scheme val="minor"/>
    </font>
    <font>
      <sz val="36"/>
      <color theme="1"/>
      <name val="Times New Roman"/>
      <family val="1"/>
      <charset val="204"/>
    </font>
    <font>
      <vertAlign val="subscript"/>
      <sz val="36"/>
      <color theme="1"/>
      <name val="Times New Roman"/>
      <family val="1"/>
      <charset val="204"/>
    </font>
    <font>
      <sz val="16"/>
      <name val="Calibri"/>
      <family val="2"/>
      <charset val="204"/>
      <scheme val="minor"/>
    </font>
    <font>
      <b/>
      <sz val="24"/>
      <color theme="1"/>
      <name val="Times New Roman"/>
      <family val="1"/>
      <charset val="204"/>
    </font>
    <font>
      <b/>
      <sz val="36"/>
      <name val="Times New Roman"/>
      <family val="1"/>
      <charset val="204"/>
    </font>
    <font>
      <b/>
      <u/>
      <sz val="14"/>
      <color rgb="FF006600"/>
      <name val="Calibri"/>
      <family val="2"/>
      <charset val="204"/>
      <scheme val="minor"/>
    </font>
    <font>
      <i/>
      <vertAlign val="subscript"/>
      <sz val="24"/>
      <color theme="1"/>
      <name val="Times New Roman"/>
      <family val="1"/>
      <charset val="204"/>
    </font>
    <font>
      <i/>
      <sz val="16"/>
      <color theme="1"/>
      <name val="Lucida Sans Unicode"/>
      <family val="2"/>
      <charset val="204"/>
    </font>
    <font>
      <sz val="26"/>
      <color theme="1"/>
      <name val="Times New Roman"/>
      <family val="1"/>
      <charset val="204"/>
    </font>
    <font>
      <sz val="30"/>
      <color theme="1"/>
      <name val="Times New Roman"/>
      <family val="1"/>
      <charset val="204"/>
    </font>
    <font>
      <b/>
      <sz val="22"/>
      <color rgb="FF006600"/>
      <name val="Bahnschrift"/>
      <family val="2"/>
      <charset val="204"/>
    </font>
    <font>
      <i/>
      <sz val="48"/>
      <color theme="1"/>
      <name val="Times New Roman"/>
      <family val="1"/>
      <charset val="204"/>
    </font>
    <font>
      <b/>
      <sz val="18"/>
      <color rgb="FF006600"/>
      <name val="Bahnschrift"/>
      <family val="2"/>
      <charset val="204"/>
    </font>
    <font>
      <i/>
      <sz val="26"/>
      <color theme="1"/>
      <name val="Times New Roman"/>
      <family val="1"/>
      <charset val="204"/>
    </font>
    <font>
      <i/>
      <sz val="28"/>
      <color theme="1"/>
      <name val="Times New Roman"/>
      <family val="1"/>
      <charset val="204"/>
    </font>
    <font>
      <i/>
      <vertAlign val="subscript"/>
      <sz val="28"/>
      <color theme="1"/>
      <name val="Times New Roman"/>
      <family val="1"/>
      <charset val="204"/>
    </font>
    <font>
      <vertAlign val="subscript"/>
      <sz val="28"/>
      <color theme="1"/>
      <name val="Times New Roman"/>
      <family val="1"/>
      <charset val="204"/>
    </font>
    <font>
      <vertAlign val="superscript"/>
      <sz val="24"/>
      <color theme="1"/>
      <name val="Times New Roman"/>
      <family val="1"/>
      <charset val="204"/>
    </font>
    <font>
      <vertAlign val="superscript"/>
      <sz val="28"/>
      <color theme="1"/>
      <name val="Times New Roman"/>
      <family val="1"/>
      <charset val="204"/>
    </font>
    <font>
      <b/>
      <sz val="48"/>
      <color rgb="FF006600"/>
      <name val="Calibri"/>
      <family val="2"/>
      <charset val="204"/>
      <scheme val="minor"/>
    </font>
    <font>
      <vertAlign val="superscript"/>
      <sz val="22"/>
      <color theme="1"/>
      <name val="Times New Roman"/>
      <family val="1"/>
      <charset val="204"/>
    </font>
    <font>
      <i/>
      <sz val="18"/>
      <color theme="1"/>
      <name val="Times New Roman"/>
      <family val="1"/>
      <charset val="204"/>
    </font>
    <font>
      <i/>
      <vertAlign val="subscript"/>
      <sz val="18"/>
      <color theme="1"/>
      <name val="Times New Roman"/>
      <family val="1"/>
      <charset val="204"/>
    </font>
    <font>
      <i/>
      <vertAlign val="subscript"/>
      <sz val="20"/>
      <color theme="1"/>
      <name val="Times New Roman"/>
      <family val="1"/>
      <charset val="204"/>
    </font>
    <font>
      <vertAlign val="subscript"/>
      <sz val="20"/>
      <color theme="1"/>
      <name val="Times New Roman"/>
      <family val="1"/>
      <charset val="204"/>
    </font>
    <font>
      <sz val="18"/>
      <color theme="1"/>
      <name val="Times New Roman"/>
      <family val="1"/>
      <charset val="204"/>
    </font>
    <font>
      <sz val="20"/>
      <color theme="1"/>
      <name val="Times New Roman"/>
      <family val="1"/>
      <charset val="204"/>
    </font>
    <font>
      <sz val="11"/>
      <color rgb="FF333333"/>
      <name val="Arial"/>
      <family val="2"/>
      <charset val="204"/>
    </font>
    <font>
      <i/>
      <sz val="20"/>
      <color theme="1"/>
      <name val="Times New Roman"/>
      <family val="1"/>
      <charset val="204"/>
    </font>
  </fonts>
  <fills count="17">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FFFFFF"/>
        <bgColor indexed="64"/>
      </patternFill>
    </fill>
    <fill>
      <patternFill patternType="solid">
        <fgColor theme="1"/>
        <bgColor indexed="64"/>
      </patternFill>
    </fill>
    <fill>
      <patternFill patternType="lightUp">
        <bgColor rgb="FFFFFF00"/>
      </patternFill>
    </fill>
    <fill>
      <patternFill patternType="solid">
        <fgColor rgb="FFFF0000"/>
        <bgColor indexed="64"/>
      </patternFill>
    </fill>
    <fill>
      <gradientFill degree="180">
        <stop position="0">
          <color rgb="FF99FF99"/>
        </stop>
        <stop position="1">
          <color rgb="FF92D050"/>
        </stop>
      </gradientFill>
    </fill>
    <fill>
      <gradientFill degree="180">
        <stop position="0">
          <color rgb="FFFFFF00"/>
        </stop>
        <stop position="1">
          <color rgb="FFFFC000"/>
        </stop>
      </gradientFill>
    </fill>
    <fill>
      <gradientFill>
        <stop position="0">
          <color rgb="FFFFC000"/>
        </stop>
        <stop position="1">
          <color rgb="FFFF0000"/>
        </stop>
      </gradientFill>
    </fill>
    <fill>
      <gradientFill degree="45">
        <stop position="0">
          <color theme="0" tint="-0.34900967436750391"/>
        </stop>
        <stop position="1">
          <color theme="2"/>
        </stop>
      </gradientFill>
    </fill>
    <fill>
      <patternFill patternType="gray0625">
        <bgColor theme="0" tint="-0.14996795556505021"/>
      </patternFill>
    </fill>
    <fill>
      <gradientFill type="path" degree="180" left="0.5" right="0.5" top="0.5" bottom="0.5">
        <stop position="0">
          <color rgb="FF00B0F0"/>
        </stop>
        <stop position="1">
          <color rgb="FF7BF1EE"/>
        </stop>
      </gradientFill>
    </fill>
    <fill>
      <gradientFill degree="90">
        <stop position="0">
          <color rgb="FF00B0F0"/>
        </stop>
        <stop position="1">
          <color rgb="FF00FFCC"/>
        </stop>
      </gradientFill>
    </fill>
    <fill>
      <gradientFill degree="180">
        <stop position="0">
          <color rgb="FFFF0000"/>
        </stop>
        <stop position="1">
          <color theme="5" tint="0.80001220740379042"/>
        </stop>
      </gradientFill>
    </fill>
    <fill>
      <patternFill patternType="darkDown">
        <bgColor theme="0" tint="-0.14990691854609822"/>
      </patternFill>
    </fill>
  </fills>
  <borders count="5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style="thin">
        <color indexed="64"/>
      </right>
      <top style="medium">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medium">
        <color indexed="64"/>
      </bottom>
      <diagonal/>
    </border>
    <border>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medium">
        <color indexed="64"/>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diagonal/>
    </border>
    <border>
      <left style="thin">
        <color indexed="64"/>
      </left>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style="medium">
        <color indexed="64"/>
      </bottom>
      <diagonal/>
    </border>
    <border>
      <left style="medium">
        <color indexed="64"/>
      </left>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s>
  <cellStyleXfs count="2">
    <xf numFmtId="0" fontId="0" fillId="0" borderId="0"/>
    <xf numFmtId="0" fontId="23" fillId="0" borderId="0" applyNumberFormat="0" applyFont="0" applyFill="0" applyBorder="0" applyAlignment="0" applyProtection="0"/>
  </cellStyleXfs>
  <cellXfs count="901">
    <xf numFmtId="0" fontId="0" fillId="0" borderId="0" xfId="0"/>
    <xf numFmtId="164" fontId="1" fillId="0" borderId="0" xfId="0" applyNumberFormat="1" applyFont="1"/>
    <xf numFmtId="164" fontId="1" fillId="0" borderId="0" xfId="0" applyNumberFormat="1" applyFont="1" applyBorder="1"/>
    <xf numFmtId="164" fontId="2" fillId="0" borderId="0" xfId="0" applyNumberFormat="1" applyFont="1" applyAlignment="1">
      <alignment horizontal="center" vertical="center"/>
    </xf>
    <xf numFmtId="164" fontId="2" fillId="2" borderId="1" xfId="0" applyNumberFormat="1" applyFont="1" applyFill="1" applyBorder="1" applyAlignment="1">
      <alignment horizontal="center" vertical="center"/>
    </xf>
    <xf numFmtId="164" fontId="2" fillId="0" borderId="0" xfId="0" applyNumberFormat="1" applyFont="1" applyBorder="1" applyAlignment="1">
      <alignment horizontal="center" vertical="center"/>
    </xf>
    <xf numFmtId="164" fontId="2" fillId="0" borderId="1" xfId="0" applyNumberFormat="1" applyFont="1" applyBorder="1" applyAlignment="1">
      <alignment horizontal="center" vertical="center"/>
    </xf>
    <xf numFmtId="49" fontId="2" fillId="0" borderId="0" xfId="0" applyNumberFormat="1" applyFont="1" applyAlignment="1">
      <alignment horizontal="center" vertical="center"/>
    </xf>
    <xf numFmtId="49" fontId="2" fillId="0" borderId="1" xfId="0" applyNumberFormat="1" applyFont="1" applyBorder="1" applyAlignment="1">
      <alignment horizontal="center" vertical="center"/>
    </xf>
    <xf numFmtId="49" fontId="2" fillId="0" borderId="0" xfId="0" applyNumberFormat="1" applyFont="1" applyBorder="1" applyAlignment="1">
      <alignment horizontal="center" vertical="center"/>
    </xf>
    <xf numFmtId="164" fontId="2" fillId="0" borderId="1" xfId="0" applyNumberFormat="1" applyFont="1" applyBorder="1" applyAlignment="1">
      <alignment horizontal="left" vertical="center"/>
    </xf>
    <xf numFmtId="164" fontId="2" fillId="2" borderId="1" xfId="0" applyNumberFormat="1" applyFont="1" applyFill="1" applyBorder="1" applyAlignment="1">
      <alignment horizontal="left" vertical="center"/>
    </xf>
    <xf numFmtId="164" fontId="2" fillId="0" borderId="0" xfId="0" applyNumberFormat="1" applyFont="1" applyAlignment="1">
      <alignment horizontal="left" vertical="center"/>
    </xf>
    <xf numFmtId="164" fontId="2" fillId="0" borderId="0" xfId="0" applyNumberFormat="1" applyFont="1" applyBorder="1" applyAlignment="1">
      <alignment horizontal="left" vertical="center"/>
    </xf>
    <xf numFmtId="0" fontId="2" fillId="0" borderId="1" xfId="0" applyFont="1" applyBorder="1" applyAlignment="1">
      <alignment horizontal="left" vertical="center"/>
    </xf>
    <xf numFmtId="49" fontId="2" fillId="0" borderId="1" xfId="0" applyNumberFormat="1" applyFont="1" applyBorder="1" applyAlignment="1">
      <alignment horizontal="left" vertical="center"/>
    </xf>
    <xf numFmtId="164" fontId="2" fillId="0" borderId="0" xfId="0" applyNumberFormat="1" applyFont="1"/>
    <xf numFmtId="164" fontId="2" fillId="0" borderId="1" xfId="0" applyNumberFormat="1" applyFont="1" applyBorder="1"/>
    <xf numFmtId="0" fontId="2" fillId="0" borderId="1" xfId="0" applyFont="1" applyBorder="1"/>
    <xf numFmtId="0" fontId="2" fillId="0" borderId="0" xfId="0" applyFont="1"/>
    <xf numFmtId="0" fontId="2" fillId="0" borderId="0" xfId="0" applyFont="1" applyBorder="1"/>
    <xf numFmtId="0" fontId="4" fillId="0" borderId="1" xfId="0" applyFont="1" applyBorder="1"/>
    <xf numFmtId="0" fontId="4" fillId="0" borderId="0" xfId="0" applyFont="1" applyBorder="1"/>
    <xf numFmtId="0" fontId="4" fillId="0" borderId="0" xfId="0" applyFont="1"/>
    <xf numFmtId="0" fontId="2" fillId="0" borderId="1" xfId="0" applyFont="1" applyBorder="1" applyAlignment="1">
      <alignment horizontal="center" vertical="center"/>
    </xf>
    <xf numFmtId="0" fontId="2" fillId="0" borderId="0" xfId="0" applyFont="1" applyBorder="1" applyAlignment="1">
      <alignment horizontal="center" vertical="center"/>
    </xf>
    <xf numFmtId="0" fontId="2" fillId="0" borderId="0" xfId="0" applyFont="1" applyAlignment="1">
      <alignment horizontal="center" vertical="center"/>
    </xf>
    <xf numFmtId="0" fontId="2" fillId="0" borderId="0" xfId="0" applyFont="1" applyAlignment="1">
      <alignment horizontal="center"/>
    </xf>
    <xf numFmtId="0" fontId="2" fillId="0" borderId="1" xfId="0" applyFont="1" applyBorder="1" applyAlignment="1">
      <alignment horizontal="center"/>
    </xf>
    <xf numFmtId="2" fontId="2" fillId="0" borderId="0" xfId="0" applyNumberFormat="1" applyFont="1" applyAlignment="1">
      <alignment horizontal="center" vertical="center"/>
    </xf>
    <xf numFmtId="2" fontId="2" fillId="0" borderId="1" xfId="0" applyNumberFormat="1" applyFont="1" applyBorder="1" applyAlignment="1">
      <alignment horizontal="center" vertical="center"/>
    </xf>
    <xf numFmtId="2" fontId="2" fillId="0" borderId="1" xfId="0" applyNumberFormat="1" applyFont="1" applyBorder="1"/>
    <xf numFmtId="2" fontId="2" fillId="0" borderId="0" xfId="0" applyNumberFormat="1" applyFont="1" applyBorder="1" applyAlignment="1">
      <alignment horizontal="center" vertical="center"/>
    </xf>
    <xf numFmtId="2" fontId="4" fillId="0" borderId="0" xfId="0" applyNumberFormat="1" applyFont="1"/>
    <xf numFmtId="164" fontId="1" fillId="0" borderId="0" xfId="0" applyNumberFormat="1" applyFont="1" applyAlignment="1">
      <alignment horizontal="center" vertical="center"/>
    </xf>
    <xf numFmtId="164" fontId="1" fillId="0" borderId="1" xfId="0" applyNumberFormat="1" applyFont="1" applyBorder="1" applyAlignment="1">
      <alignment horizontal="center" vertical="center"/>
    </xf>
    <xf numFmtId="164" fontId="2" fillId="3" borderId="1" xfId="0" applyNumberFormat="1" applyFont="1" applyFill="1" applyBorder="1"/>
    <xf numFmtId="164" fontId="2" fillId="3" borderId="1" xfId="0" applyNumberFormat="1" applyFont="1" applyFill="1" applyBorder="1" applyAlignment="1">
      <alignment horizontal="center" vertical="center"/>
    </xf>
    <xf numFmtId="164" fontId="2" fillId="3" borderId="1" xfId="0" applyNumberFormat="1" applyFont="1" applyFill="1" applyBorder="1" applyAlignment="1">
      <alignment horizontal="left" vertical="center"/>
    </xf>
    <xf numFmtId="0" fontId="2" fillId="3" borderId="1" xfId="0" applyFont="1" applyFill="1" applyBorder="1"/>
    <xf numFmtId="2" fontId="2" fillId="3" borderId="1" xfId="0" applyNumberFormat="1" applyFont="1" applyFill="1" applyBorder="1" applyAlignment="1">
      <alignment horizontal="center" vertical="center"/>
    </xf>
    <xf numFmtId="0" fontId="2" fillId="0" borderId="0" xfId="0" applyFont="1" applyAlignment="1">
      <alignment horizontal="left" vertical="center"/>
    </xf>
    <xf numFmtId="49" fontId="2" fillId="0" borderId="2" xfId="0" applyNumberFormat="1" applyFont="1" applyBorder="1" applyAlignment="1">
      <alignment horizontal="center" vertical="center"/>
    </xf>
    <xf numFmtId="164" fontId="2" fillId="0" borderId="2" xfId="0" applyNumberFormat="1" applyFont="1" applyBorder="1" applyAlignment="1">
      <alignment horizontal="center" vertical="center"/>
    </xf>
    <xf numFmtId="164" fontId="1" fillId="0" borderId="1" xfId="0" applyNumberFormat="1" applyFont="1" applyBorder="1"/>
    <xf numFmtId="164" fontId="1" fillId="0" borderId="1" xfId="0" applyNumberFormat="1" applyFont="1" applyBorder="1" applyAlignment="1">
      <alignment horizontal="left" vertical="center"/>
    </xf>
    <xf numFmtId="0" fontId="5" fillId="0" borderId="1" xfId="0" applyFont="1" applyBorder="1"/>
    <xf numFmtId="0" fontId="4" fillId="0" borderId="1" xfId="0" applyFont="1" applyBorder="1" applyAlignment="1">
      <alignment horizontal="center" vertical="center"/>
    </xf>
    <xf numFmtId="0" fontId="4" fillId="0" borderId="1" xfId="0" applyFont="1" applyBorder="1" applyAlignment="1">
      <alignment horizontal="center"/>
    </xf>
    <xf numFmtId="0" fontId="4" fillId="0" borderId="0" xfId="0" applyFont="1" applyBorder="1" applyAlignment="1"/>
    <xf numFmtId="0" fontId="6" fillId="0" borderId="8" xfId="0" applyFont="1" applyBorder="1" applyAlignment="1">
      <alignment horizontal="center" wrapText="1"/>
    </xf>
    <xf numFmtId="0" fontId="6" fillId="0" borderId="6" xfId="0" applyFont="1" applyBorder="1" applyAlignment="1">
      <alignment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0" fillId="0" borderId="9" xfId="0" applyBorder="1" applyAlignment="1">
      <alignment wrapText="1"/>
    </xf>
    <xf numFmtId="0" fontId="0" fillId="0" borderId="10" xfId="0" applyBorder="1" applyAlignment="1">
      <alignment wrapText="1"/>
    </xf>
    <xf numFmtId="0" fontId="6" fillId="0" borderId="4" xfId="0" applyFont="1" applyBorder="1" applyAlignment="1">
      <alignment horizontal="center" wrapText="1"/>
    </xf>
    <xf numFmtId="0" fontId="6" fillId="0" borderId="6" xfId="0" applyFont="1" applyBorder="1" applyAlignment="1">
      <alignment horizontal="center" wrapText="1"/>
    </xf>
    <xf numFmtId="0" fontId="6" fillId="0" borderId="5" xfId="0" applyFont="1" applyBorder="1" applyAlignment="1">
      <alignment horizontal="center" wrapText="1"/>
    </xf>
    <xf numFmtId="0" fontId="10" fillId="0" borderId="10" xfId="0" applyFont="1" applyBorder="1" applyAlignment="1">
      <alignment horizontal="center" wrapText="1"/>
    </xf>
    <xf numFmtId="49" fontId="0" fillId="0" borderId="0" xfId="0" applyNumberFormat="1" applyBorder="1"/>
    <xf numFmtId="49" fontId="0" fillId="0" borderId="0" xfId="0" applyNumberFormat="1" applyBorder="1" applyAlignment="1">
      <alignment horizontal="center" vertical="center"/>
    </xf>
    <xf numFmtId="49" fontId="0" fillId="0" borderId="0" xfId="0" applyNumberFormat="1"/>
    <xf numFmtId="49" fontId="0" fillId="0" borderId="0" xfId="0" applyNumberFormat="1" applyAlignment="1">
      <alignment horizontal="center" vertical="center"/>
    </xf>
    <xf numFmtId="49" fontId="1" fillId="4" borderId="4" xfId="0" applyNumberFormat="1" applyFont="1" applyFill="1" applyBorder="1" applyAlignment="1">
      <alignment horizontal="center" vertical="center" wrapText="1"/>
    </xf>
    <xf numFmtId="49" fontId="1" fillId="0" borderId="0" xfId="0" applyNumberFormat="1" applyFont="1"/>
    <xf numFmtId="49" fontId="1" fillId="4" borderId="5" xfId="0" applyNumberFormat="1" applyFont="1" applyFill="1" applyBorder="1" applyAlignment="1">
      <alignment horizontal="center" vertical="center" wrapText="1"/>
    </xf>
    <xf numFmtId="49" fontId="9" fillId="0" borderId="10" xfId="0" applyNumberFormat="1" applyFont="1" applyBorder="1" applyAlignment="1">
      <alignment horizontal="center" vertical="center" wrapText="1"/>
    </xf>
    <xf numFmtId="49" fontId="1" fillId="0" borderId="6" xfId="0" applyNumberFormat="1" applyFont="1" applyBorder="1" applyAlignment="1">
      <alignment vertical="center" wrapText="1"/>
    </xf>
    <xf numFmtId="49" fontId="1" fillId="0" borderId="10" xfId="0" applyNumberFormat="1" applyFont="1" applyBorder="1" applyAlignment="1">
      <alignment horizontal="center" vertical="center" wrapText="1"/>
    </xf>
    <xf numFmtId="49" fontId="1" fillId="4" borderId="6" xfId="0" applyNumberFormat="1" applyFont="1" applyFill="1" applyBorder="1" applyAlignment="1">
      <alignment horizontal="center" vertical="center" wrapText="1"/>
    </xf>
    <xf numFmtId="49" fontId="1" fillId="4" borderId="10" xfId="0" applyNumberFormat="1" applyFont="1" applyFill="1" applyBorder="1" applyAlignment="1">
      <alignment horizontal="center" vertical="center" wrapText="1"/>
    </xf>
    <xf numFmtId="49" fontId="9" fillId="4" borderId="10" xfId="0" applyNumberFormat="1" applyFont="1" applyFill="1" applyBorder="1" applyAlignment="1">
      <alignment horizontal="center" vertical="center" wrapText="1"/>
    </xf>
    <xf numFmtId="49" fontId="1" fillId="0" borderId="3" xfId="0" applyNumberFormat="1" applyFont="1" applyBorder="1" applyAlignment="1">
      <alignment vertical="center" wrapText="1"/>
    </xf>
    <xf numFmtId="49" fontId="1" fillId="0" borderId="7" xfId="0" applyNumberFormat="1" applyFont="1" applyBorder="1" applyAlignment="1">
      <alignment horizontal="center" vertical="center" wrapText="1"/>
    </xf>
    <xf numFmtId="49" fontId="1" fillId="0" borderId="9" xfId="0" applyNumberFormat="1" applyFont="1" applyBorder="1" applyAlignment="1">
      <alignment horizontal="center" vertical="center" wrapText="1"/>
    </xf>
    <xf numFmtId="49" fontId="1" fillId="0" borderId="3" xfId="0" applyNumberFormat="1" applyFont="1" applyBorder="1" applyAlignment="1">
      <alignment horizontal="center" vertical="center" wrapText="1"/>
    </xf>
    <xf numFmtId="49" fontId="1" fillId="0" borderId="6" xfId="0" applyNumberFormat="1" applyFont="1" applyBorder="1" applyAlignment="1">
      <alignment horizontal="center" vertical="center" wrapText="1"/>
    </xf>
    <xf numFmtId="0" fontId="12" fillId="4" borderId="9" xfId="0" applyFont="1" applyFill="1" applyBorder="1" applyAlignment="1">
      <alignment horizontal="center" vertical="top" wrapText="1"/>
    </xf>
    <xf numFmtId="0" fontId="0" fillId="4" borderId="9" xfId="0" applyFill="1" applyBorder="1" applyAlignment="1">
      <alignment vertical="top" wrapText="1"/>
    </xf>
    <xf numFmtId="0" fontId="0" fillId="4" borderId="10" xfId="0" applyFill="1" applyBorder="1" applyAlignment="1">
      <alignment vertical="top" wrapText="1"/>
    </xf>
    <xf numFmtId="0" fontId="12" fillId="4" borderId="10" xfId="0" applyFont="1" applyFill="1" applyBorder="1" applyAlignment="1">
      <alignment horizontal="center" vertical="top" wrapText="1"/>
    </xf>
    <xf numFmtId="0" fontId="12" fillId="4" borderId="6" xfId="0" applyFont="1" applyFill="1" applyBorder="1" applyAlignment="1">
      <alignment vertical="top" wrapText="1"/>
    </xf>
    <xf numFmtId="0" fontId="6" fillId="0" borderId="10" xfId="0" applyFont="1" applyBorder="1" applyAlignment="1">
      <alignment horizontal="center" vertical="top" wrapText="1"/>
    </xf>
    <xf numFmtId="0" fontId="6" fillId="0" borderId="6" xfId="0" applyFont="1" applyBorder="1" applyAlignment="1">
      <alignment horizontal="center" vertical="top" wrapText="1"/>
    </xf>
    <xf numFmtId="0" fontId="0" fillId="0" borderId="6" xfId="0" applyBorder="1" applyAlignment="1">
      <alignment wrapText="1"/>
    </xf>
    <xf numFmtId="49" fontId="0" fillId="0" borderId="0" xfId="0" applyNumberFormat="1" applyAlignment="1">
      <alignment vertical="center"/>
    </xf>
    <xf numFmtId="0" fontId="6" fillId="0" borderId="6" xfId="0" applyFont="1" applyBorder="1" applyAlignment="1">
      <alignment horizontal="center" vertical="center" wrapText="1"/>
    </xf>
    <xf numFmtId="0" fontId="6" fillId="0" borderId="10" xfId="0" applyFont="1" applyBorder="1" applyAlignment="1">
      <alignment horizontal="center" vertical="center" wrapText="1"/>
    </xf>
    <xf numFmtId="0" fontId="6" fillId="0" borderId="12" xfId="0" applyFont="1" applyBorder="1" applyAlignment="1">
      <alignment horizontal="center" vertical="center" wrapText="1"/>
    </xf>
    <xf numFmtId="0" fontId="14" fillId="0" borderId="10" xfId="0" applyFont="1" applyBorder="1" applyAlignment="1">
      <alignment horizontal="center" vertical="center" wrapText="1"/>
    </xf>
    <xf numFmtId="0" fontId="14" fillId="0" borderId="6" xfId="0" applyFont="1" applyBorder="1" applyAlignment="1">
      <alignment horizontal="center" vertical="center" wrapText="1"/>
    </xf>
    <xf numFmtId="0" fontId="4" fillId="0" borderId="0" xfId="0" applyFont="1" applyAlignment="1">
      <alignment horizontal="center" vertical="center"/>
    </xf>
    <xf numFmtId="0" fontId="4" fillId="3" borderId="1" xfId="0" applyFont="1" applyFill="1" applyBorder="1"/>
    <xf numFmtId="164" fontId="1" fillId="0" borderId="0" xfId="0" applyNumberFormat="1" applyFont="1" applyAlignment="1">
      <alignment horizontal="center"/>
    </xf>
    <xf numFmtId="0" fontId="2" fillId="2" borderId="1" xfId="0" applyFont="1" applyFill="1" applyBorder="1" applyAlignment="1">
      <alignment horizontal="left" vertical="center"/>
    </xf>
    <xf numFmtId="0" fontId="4" fillId="0" borderId="0" xfId="0" applyFont="1" applyBorder="1" applyAlignment="1">
      <alignment horizontal="center" vertical="center"/>
    </xf>
    <xf numFmtId="2" fontId="4" fillId="0" borderId="1" xfId="0" applyNumberFormat="1" applyFont="1" applyBorder="1" applyAlignment="1">
      <alignment horizontal="center" vertical="center"/>
    </xf>
    <xf numFmtId="2" fontId="4" fillId="2" borderId="1" xfId="0" applyNumberFormat="1" applyFont="1" applyFill="1" applyBorder="1" applyAlignment="1">
      <alignment horizontal="center" vertical="center"/>
    </xf>
    <xf numFmtId="164" fontId="2" fillId="0" borderId="1" xfId="0" applyNumberFormat="1" applyFont="1" applyFill="1" applyBorder="1" applyAlignment="1">
      <alignment horizontal="left" vertical="center"/>
    </xf>
    <xf numFmtId="164" fontId="2" fillId="0" borderId="1" xfId="0" applyNumberFormat="1" applyFont="1" applyFill="1" applyBorder="1" applyAlignment="1">
      <alignment horizontal="center" vertical="center"/>
    </xf>
    <xf numFmtId="0" fontId="18" fillId="0" borderId="0" xfId="0" applyFont="1" applyBorder="1" applyAlignment="1">
      <alignment horizontal="left" vertical="center" wrapText="1" indent="3"/>
    </xf>
    <xf numFmtId="0" fontId="18" fillId="0" borderId="0" xfId="0" applyFont="1" applyBorder="1" applyAlignment="1">
      <alignment horizontal="center" vertical="center" wrapText="1"/>
    </xf>
    <xf numFmtId="0" fontId="4" fillId="0" borderId="1" xfId="0" applyFont="1" applyBorder="1" applyAlignment="1">
      <alignment horizontal="left" vertical="center"/>
    </xf>
    <xf numFmtId="0" fontId="4" fillId="0" borderId="18" xfId="0" applyFont="1" applyBorder="1"/>
    <xf numFmtId="0" fontId="4" fillId="0" borderId="2" xfId="0" applyFont="1" applyBorder="1"/>
    <xf numFmtId="0" fontId="4" fillId="0" borderId="19" xfId="0" applyFont="1" applyBorder="1"/>
    <xf numFmtId="0" fontId="4" fillId="0" borderId="19" xfId="0" applyFont="1" applyBorder="1" applyAlignment="1">
      <alignment horizontal="left" vertical="center"/>
    </xf>
    <xf numFmtId="0" fontId="19" fillId="0" borderId="1" xfId="0" applyFont="1" applyFill="1" applyBorder="1" applyAlignment="1">
      <alignment horizontal="center" vertical="center"/>
    </xf>
    <xf numFmtId="0" fontId="19" fillId="0" borderId="2" xfId="0" applyFont="1" applyBorder="1" applyAlignment="1">
      <alignment horizontal="center" vertical="center"/>
    </xf>
    <xf numFmtId="0" fontId="4" fillId="0" borderId="0" xfId="0" applyFont="1" applyBorder="1" applyAlignment="1">
      <alignment vertical="center" wrapText="1"/>
    </xf>
    <xf numFmtId="1" fontId="4" fillId="0" borderId="1" xfId="0" applyNumberFormat="1" applyFont="1" applyBorder="1" applyAlignment="1">
      <alignment horizontal="center" vertical="center" wrapText="1"/>
    </xf>
    <xf numFmtId="0" fontId="4" fillId="0" borderId="24" xfId="0" applyFont="1" applyBorder="1"/>
    <xf numFmtId="0" fontId="4" fillId="0" borderId="2" xfId="0" applyFont="1" applyBorder="1" applyAlignment="1">
      <alignment vertical="center" wrapText="1"/>
    </xf>
    <xf numFmtId="0" fontId="4" fillId="0" borderId="25" xfId="0" applyFont="1" applyBorder="1"/>
    <xf numFmtId="0" fontId="4" fillId="0" borderId="26" xfId="0" applyFont="1" applyBorder="1"/>
    <xf numFmtId="0" fontId="4" fillId="0" borderId="27" xfId="0" applyFont="1" applyBorder="1"/>
    <xf numFmtId="0" fontId="19" fillId="0" borderId="24" xfId="0" applyFont="1" applyBorder="1" applyAlignment="1">
      <alignment horizontal="center" vertical="center"/>
    </xf>
    <xf numFmtId="0" fontId="19" fillId="0" borderId="19" xfId="0" applyFont="1" applyFill="1" applyBorder="1" applyAlignment="1">
      <alignment horizontal="center" vertical="center"/>
    </xf>
    <xf numFmtId="1" fontId="19" fillId="0" borderId="24" xfId="0" applyNumberFormat="1" applyFont="1" applyBorder="1" applyAlignment="1">
      <alignment horizontal="center" vertical="center"/>
    </xf>
    <xf numFmtId="0" fontId="19" fillId="0" borderId="19" xfId="0" applyFont="1" applyBorder="1" applyAlignment="1" applyProtection="1">
      <alignment horizontal="center" vertical="center"/>
    </xf>
    <xf numFmtId="0" fontId="19" fillId="0" borderId="19" xfId="0" applyFont="1" applyBorder="1" applyAlignment="1">
      <alignment horizontal="center" vertical="center"/>
    </xf>
    <xf numFmtId="0" fontId="4" fillId="0" borderId="28" xfId="0" applyFont="1" applyBorder="1" applyAlignment="1">
      <alignment horizontal="left" vertical="center"/>
    </xf>
    <xf numFmtId="0" fontId="4" fillId="0" borderId="28" xfId="0" applyFont="1" applyBorder="1"/>
    <xf numFmtId="0" fontId="4" fillId="0" borderId="0" xfId="0" applyFont="1" applyFill="1" applyBorder="1"/>
    <xf numFmtId="0" fontId="4" fillId="0" borderId="0" xfId="0" applyFont="1" applyFill="1"/>
    <xf numFmtId="0" fontId="4" fillId="5" borderId="0" xfId="0" applyFont="1" applyFill="1" applyBorder="1"/>
    <xf numFmtId="0" fontId="4" fillId="3" borderId="0" xfId="0" applyFont="1" applyFill="1" applyBorder="1"/>
    <xf numFmtId="0" fontId="4" fillId="0" borderId="1" xfId="0" applyFont="1" applyBorder="1" applyAlignment="1">
      <alignment horizontal="center" vertical="center"/>
    </xf>
    <xf numFmtId="0" fontId="4" fillId="7" borderId="0" xfId="0" applyFont="1" applyFill="1" applyBorder="1"/>
    <xf numFmtId="0" fontId="4" fillId="9" borderId="1" xfId="0" applyFont="1" applyFill="1" applyBorder="1" applyAlignment="1">
      <alignment horizontal="left" vertical="center" wrapText="1"/>
    </xf>
    <xf numFmtId="0" fontId="1" fillId="0" borderId="0" xfId="0" applyFont="1" applyFill="1" applyBorder="1" applyAlignment="1">
      <alignment horizontal="center" vertical="center"/>
    </xf>
    <xf numFmtId="0" fontId="2" fillId="0" borderId="0" xfId="0" applyFont="1" applyFill="1" applyBorder="1" applyAlignment="1">
      <alignment horizontal="center" vertical="center"/>
    </xf>
    <xf numFmtId="0" fontId="4" fillId="0" borderId="0" xfId="0" applyFont="1" applyFill="1" applyBorder="1" applyAlignment="1">
      <alignment horizontal="center" vertical="center"/>
    </xf>
    <xf numFmtId="164" fontId="2" fillId="0" borderId="0" xfId="0" applyNumberFormat="1" applyFont="1" applyFill="1" applyBorder="1" applyAlignment="1">
      <alignment horizontal="left" vertical="center"/>
    </xf>
    <xf numFmtId="0" fontId="4" fillId="0" borderId="0" xfId="0" applyFont="1" applyFill="1" applyBorder="1" applyAlignment="1">
      <alignment vertical="center"/>
    </xf>
    <xf numFmtId="0" fontId="22" fillId="0" borderId="0" xfId="0" applyFont="1" applyFill="1" applyBorder="1" applyAlignment="1">
      <alignment vertical="center"/>
    </xf>
    <xf numFmtId="164" fontId="24" fillId="0" borderId="0" xfId="1" applyNumberFormat="1" applyFont="1" applyFill="1" applyBorder="1" applyAlignment="1">
      <alignment vertical="center" wrapText="1"/>
    </xf>
    <xf numFmtId="164" fontId="5" fillId="0" borderId="0" xfId="0" applyNumberFormat="1" applyFont="1" applyFill="1" applyBorder="1" applyAlignment="1">
      <alignment vertical="center" wrapText="1"/>
    </xf>
    <xf numFmtId="2" fontId="4" fillId="0" borderId="0" xfId="0" applyNumberFormat="1" applyFont="1" applyFill="1" applyBorder="1"/>
    <xf numFmtId="2" fontId="4" fillId="0" borderId="0" xfId="0" applyNumberFormat="1" applyFont="1" applyFill="1"/>
    <xf numFmtId="0" fontId="4" fillId="9" borderId="1" xfId="0" applyFont="1" applyFill="1" applyBorder="1" applyAlignment="1">
      <alignment horizontal="center" vertical="center" wrapText="1"/>
    </xf>
    <xf numFmtId="0" fontId="0" fillId="0" borderId="0" xfId="0" applyBorder="1"/>
    <xf numFmtId="0" fontId="4" fillId="0" borderId="0" xfId="0" applyFont="1" applyBorder="1" applyAlignment="1">
      <alignment vertical="top" wrapText="1"/>
    </xf>
    <xf numFmtId="0" fontId="5" fillId="0" borderId="0" xfId="0" applyFont="1" applyBorder="1" applyAlignment="1">
      <alignment vertical="top" wrapText="1"/>
    </xf>
    <xf numFmtId="0" fontId="26" fillId="3" borderId="1" xfId="1" applyFont="1" applyFill="1" applyBorder="1" applyAlignment="1">
      <alignment horizontal="center" vertical="top"/>
    </xf>
    <xf numFmtId="0" fontId="26" fillId="3" borderId="1" xfId="1" applyFont="1" applyFill="1" applyBorder="1" applyAlignment="1">
      <alignment horizontal="center" vertical="center"/>
    </xf>
    <xf numFmtId="0" fontId="29" fillId="0" borderId="1" xfId="0" applyFont="1" applyBorder="1" applyAlignment="1">
      <alignment horizontal="center" vertical="center"/>
    </xf>
    <xf numFmtId="0" fontId="29" fillId="0" borderId="1" xfId="1" applyFont="1" applyBorder="1" applyAlignment="1">
      <alignment horizontal="center" vertical="center"/>
    </xf>
    <xf numFmtId="0" fontId="4" fillId="6" borderId="1" xfId="0" applyFont="1" applyFill="1" applyBorder="1" applyAlignment="1">
      <alignment horizontal="center" vertical="center"/>
    </xf>
    <xf numFmtId="164" fontId="24" fillId="8" borderId="30" xfId="1" applyNumberFormat="1" applyFont="1" applyFill="1" applyBorder="1" applyAlignment="1">
      <alignment vertical="center" wrapText="1"/>
    </xf>
    <xf numFmtId="164" fontId="24" fillId="8" borderId="29" xfId="1" applyNumberFormat="1" applyFont="1" applyFill="1" applyBorder="1" applyAlignment="1">
      <alignment vertical="center" wrapText="1"/>
    </xf>
    <xf numFmtId="0" fontId="4" fillId="6" borderId="22" xfId="0" applyFont="1" applyFill="1" applyBorder="1" applyAlignment="1">
      <alignment vertical="center"/>
    </xf>
    <xf numFmtId="0" fontId="4" fillId="6" borderId="20" xfId="0" applyFont="1" applyFill="1" applyBorder="1" applyAlignment="1">
      <alignment vertical="center"/>
    </xf>
    <xf numFmtId="2" fontId="5" fillId="0" borderId="0" xfId="0" applyNumberFormat="1" applyFont="1" applyBorder="1" applyAlignment="1">
      <alignment vertical="center"/>
    </xf>
    <xf numFmtId="0" fontId="26" fillId="6" borderId="1" xfId="1" applyFont="1" applyFill="1" applyBorder="1" applyAlignment="1">
      <alignment horizontal="center" vertical="center"/>
    </xf>
    <xf numFmtId="0" fontId="4" fillId="6" borderId="23" xfId="0" applyFont="1" applyFill="1" applyBorder="1" applyAlignment="1">
      <alignment vertical="center"/>
    </xf>
    <xf numFmtId="0" fontId="4" fillId="0" borderId="0" xfId="0" applyFont="1" applyBorder="1"/>
    <xf numFmtId="0" fontId="4" fillId="0" borderId="0" xfId="0" applyFont="1"/>
    <xf numFmtId="0" fontId="2" fillId="0" borderId="1" xfId="0" applyFont="1" applyBorder="1" applyAlignment="1">
      <alignment horizontal="center" vertical="center"/>
    </xf>
    <xf numFmtId="2" fontId="2" fillId="0" borderId="1" xfId="0" applyNumberFormat="1" applyFont="1" applyBorder="1" applyAlignment="1">
      <alignment horizontal="center" vertical="center"/>
    </xf>
    <xf numFmtId="2" fontId="4" fillId="0" borderId="0" xfId="0" applyNumberFormat="1" applyFont="1"/>
    <xf numFmtId="0" fontId="1" fillId="0" borderId="1" xfId="0" applyFont="1" applyBorder="1" applyAlignment="1">
      <alignment horizontal="center" vertical="center" wrapText="1"/>
    </xf>
    <xf numFmtId="0" fontId="4" fillId="0" borderId="0" xfId="0" applyFont="1" applyFill="1" applyBorder="1"/>
    <xf numFmtId="0" fontId="4" fillId="0" borderId="0" xfId="0" applyFont="1" applyFill="1" applyBorder="1" applyAlignment="1">
      <alignment horizontal="center" vertical="center"/>
    </xf>
    <xf numFmtId="0" fontId="4" fillId="0" borderId="0" xfId="0" applyFont="1" applyFill="1"/>
    <xf numFmtId="0" fontId="4" fillId="5" borderId="0" xfId="0" applyFont="1" applyFill="1" applyBorder="1"/>
    <xf numFmtId="0" fontId="4" fillId="3" borderId="0" xfId="0" applyFont="1" applyFill="1" applyBorder="1"/>
    <xf numFmtId="0" fontId="1" fillId="0" borderId="0" xfId="0" applyFont="1" applyBorder="1" applyAlignment="1">
      <alignment horizontal="center" vertical="center" wrapText="1"/>
    </xf>
    <xf numFmtId="164" fontId="2" fillId="0" borderId="0" xfId="0" applyNumberFormat="1" applyFont="1" applyFill="1" applyBorder="1" applyAlignment="1">
      <alignment horizontal="left" vertical="center"/>
    </xf>
    <xf numFmtId="0" fontId="4" fillId="0" borderId="0" xfId="0" applyFont="1" applyFill="1" applyBorder="1" applyAlignment="1">
      <alignment vertical="center"/>
    </xf>
    <xf numFmtId="2" fontId="4" fillId="0" borderId="0" xfId="0" applyNumberFormat="1" applyFont="1" applyFill="1"/>
    <xf numFmtId="0" fontId="26" fillId="3" borderId="1" xfId="1" applyFont="1" applyFill="1" applyBorder="1" applyAlignment="1">
      <alignment horizontal="center" vertical="top"/>
    </xf>
    <xf numFmtId="0" fontId="26" fillId="3" borderId="1" xfId="1" applyFont="1" applyFill="1" applyBorder="1" applyAlignment="1">
      <alignment horizontal="center" vertical="center"/>
    </xf>
    <xf numFmtId="0" fontId="4" fillId="6" borderId="1" xfId="0" applyFont="1" applyFill="1" applyBorder="1" applyAlignment="1">
      <alignment horizontal="center" vertical="center"/>
    </xf>
    <xf numFmtId="164" fontId="24" fillId="8" borderId="29" xfId="1" applyNumberFormat="1" applyFont="1" applyFill="1" applyBorder="1" applyAlignment="1">
      <alignment vertical="center" wrapText="1"/>
    </xf>
    <xf numFmtId="0" fontId="1" fillId="0" borderId="1" xfId="0" applyFont="1" applyBorder="1" applyAlignment="1">
      <alignment horizontal="left" vertical="center" wrapText="1" indent="4"/>
    </xf>
    <xf numFmtId="0" fontId="4" fillId="0" borderId="0" xfId="0" applyFont="1" applyAlignment="1"/>
    <xf numFmtId="164" fontId="24" fillId="12" borderId="23" xfId="1" applyNumberFormat="1" applyFont="1" applyFill="1" applyBorder="1" applyAlignment="1">
      <alignment vertical="center" wrapText="1"/>
    </xf>
    <xf numFmtId="164" fontId="24" fillId="12" borderId="22" xfId="1" applyNumberFormat="1" applyFont="1" applyFill="1" applyBorder="1" applyAlignment="1">
      <alignment vertical="center" wrapText="1"/>
    </xf>
    <xf numFmtId="164" fontId="24" fillId="12" borderId="20" xfId="1" applyNumberFormat="1" applyFont="1" applyFill="1" applyBorder="1" applyAlignment="1">
      <alignment vertical="center" wrapText="1"/>
    </xf>
    <xf numFmtId="164" fontId="24" fillId="12" borderId="18" xfId="1" applyNumberFormat="1" applyFont="1" applyFill="1" applyBorder="1" applyAlignment="1">
      <alignment vertical="center" wrapText="1"/>
    </xf>
    <xf numFmtId="164" fontId="24" fillId="12" borderId="0" xfId="1" applyNumberFormat="1" applyFont="1" applyFill="1" applyBorder="1" applyAlignment="1">
      <alignment vertical="center" wrapText="1"/>
    </xf>
    <xf numFmtId="164" fontId="24" fillId="12" borderId="36" xfId="1" applyNumberFormat="1" applyFont="1" applyFill="1" applyBorder="1" applyAlignment="1">
      <alignment vertical="center" wrapText="1"/>
    </xf>
    <xf numFmtId="164" fontId="24" fillId="12" borderId="37" xfId="1" applyNumberFormat="1" applyFont="1" applyFill="1" applyBorder="1" applyAlignment="1">
      <alignment vertical="center" wrapText="1"/>
    </xf>
    <xf numFmtId="164" fontId="24" fillId="12" borderId="38" xfId="1" applyNumberFormat="1" applyFont="1" applyFill="1" applyBorder="1" applyAlignment="1">
      <alignment vertical="center" wrapText="1"/>
    </xf>
    <xf numFmtId="164" fontId="24" fillId="12" borderId="39" xfId="1" applyNumberFormat="1" applyFont="1" applyFill="1" applyBorder="1" applyAlignment="1">
      <alignment vertical="center" wrapText="1"/>
    </xf>
    <xf numFmtId="0" fontId="26" fillId="3" borderId="19" xfId="1" applyFont="1" applyFill="1" applyBorder="1" applyAlignment="1">
      <alignment horizontal="center" vertical="top"/>
    </xf>
    <xf numFmtId="0" fontId="2" fillId="0" borderId="1" xfId="0" applyFont="1" applyBorder="1" applyAlignment="1">
      <alignment horizontal="center" vertical="center" wrapText="1"/>
    </xf>
    <xf numFmtId="0" fontId="2" fillId="0" borderId="2" xfId="0" applyFont="1" applyBorder="1" applyAlignment="1">
      <alignment horizontal="center" vertical="center" wrapText="1"/>
    </xf>
    <xf numFmtId="0" fontId="4" fillId="6" borderId="12" xfId="0" applyFont="1" applyFill="1" applyBorder="1" applyAlignment="1">
      <alignment vertical="center"/>
    </xf>
    <xf numFmtId="0" fontId="4" fillId="6" borderId="31" xfId="0" applyFont="1" applyFill="1" applyBorder="1" applyAlignment="1">
      <alignment vertical="center"/>
    </xf>
    <xf numFmtId="0" fontId="4" fillId="6" borderId="40" xfId="0" applyFont="1" applyFill="1" applyBorder="1" applyAlignment="1">
      <alignment vertical="center"/>
    </xf>
    <xf numFmtId="0" fontId="4" fillId="0" borderId="0" xfId="0" applyFont="1" applyFill="1" applyAlignment="1"/>
    <xf numFmtId="0" fontId="2" fillId="6" borderId="1" xfId="0" applyFont="1" applyFill="1" applyBorder="1" applyAlignment="1">
      <alignment horizontal="center" vertical="center"/>
    </xf>
    <xf numFmtId="0" fontId="2" fillId="6" borderId="21" xfId="0" applyFont="1" applyFill="1" applyBorder="1" applyAlignment="1">
      <alignment horizontal="center" vertical="center"/>
    </xf>
    <xf numFmtId="0" fontId="2" fillId="6" borderId="19" xfId="0" applyFont="1" applyFill="1" applyBorder="1" applyAlignment="1">
      <alignment horizontal="center" vertical="center"/>
    </xf>
    <xf numFmtId="164" fontId="39" fillId="12" borderId="38" xfId="1" applyNumberFormat="1" applyFont="1" applyFill="1" applyBorder="1" applyAlignment="1">
      <alignment horizontal="center" vertical="center" wrapText="1"/>
    </xf>
    <xf numFmtId="164" fontId="39" fillId="12" borderId="30" xfId="1" applyNumberFormat="1" applyFont="1" applyFill="1" applyBorder="1" applyAlignment="1">
      <alignment horizontal="center" vertical="center" wrapText="1"/>
    </xf>
    <xf numFmtId="164" fontId="39" fillId="12" borderId="23" xfId="1" applyNumberFormat="1" applyFont="1" applyFill="1" applyBorder="1" applyAlignment="1">
      <alignment vertical="center" wrapText="1"/>
    </xf>
    <xf numFmtId="164" fontId="39" fillId="12" borderId="22" xfId="1" applyNumberFormat="1" applyFont="1" applyFill="1" applyBorder="1" applyAlignment="1">
      <alignment vertical="center" wrapText="1"/>
    </xf>
    <xf numFmtId="164" fontId="39" fillId="12" borderId="20" xfId="1" applyNumberFormat="1" applyFont="1" applyFill="1" applyBorder="1" applyAlignment="1">
      <alignment vertical="center" wrapText="1"/>
    </xf>
    <xf numFmtId="164" fontId="39" fillId="12" borderId="37" xfId="1" applyNumberFormat="1" applyFont="1" applyFill="1" applyBorder="1" applyAlignment="1">
      <alignment vertical="center" wrapText="1"/>
    </xf>
    <xf numFmtId="164" fontId="39" fillId="12" borderId="38" xfId="1" applyNumberFormat="1" applyFont="1" applyFill="1" applyBorder="1" applyAlignment="1">
      <alignment vertical="center" wrapText="1"/>
    </xf>
    <xf numFmtId="164" fontId="39" fillId="12" borderId="39" xfId="1" applyNumberFormat="1" applyFont="1" applyFill="1" applyBorder="1" applyAlignment="1">
      <alignment vertical="center" wrapText="1"/>
    </xf>
    <xf numFmtId="0" fontId="2" fillId="0" borderId="1" xfId="0" applyFont="1" applyBorder="1" applyAlignment="1">
      <alignment horizontal="center" vertical="center" wrapText="1"/>
    </xf>
    <xf numFmtId="0" fontId="2" fillId="6" borderId="1" xfId="0" applyFont="1" applyFill="1" applyBorder="1" applyAlignment="1">
      <alignment horizontal="center" vertical="center"/>
    </xf>
    <xf numFmtId="0" fontId="4" fillId="0" borderId="0" xfId="0" applyFont="1" applyAlignment="1">
      <alignment vertical="center"/>
    </xf>
    <xf numFmtId="0" fontId="2" fillId="4" borderId="1" xfId="0" applyFont="1" applyFill="1" applyBorder="1" applyAlignment="1">
      <alignment horizontal="center" vertical="center" wrapText="1"/>
    </xf>
    <xf numFmtId="0" fontId="2" fillId="0" borderId="1" xfId="0" applyFont="1" applyBorder="1" applyAlignment="1">
      <alignment horizontal="center" vertical="center"/>
    </xf>
    <xf numFmtId="0" fontId="2" fillId="0" borderId="0" xfId="0" applyFont="1" applyBorder="1" applyAlignment="1">
      <alignment vertical="center" wrapText="1"/>
    </xf>
    <xf numFmtId="0" fontId="2" fillId="0" borderId="0" xfId="0" applyFont="1" applyAlignment="1">
      <alignment vertical="center"/>
    </xf>
    <xf numFmtId="0" fontId="2" fillId="0" borderId="0" xfId="0" applyFont="1" applyBorder="1" applyAlignment="1">
      <alignment vertical="center"/>
    </xf>
    <xf numFmtId="0" fontId="41" fillId="0" borderId="1" xfId="0" applyFont="1" applyBorder="1" applyAlignment="1">
      <alignment horizontal="center" vertical="center" wrapText="1"/>
    </xf>
    <xf numFmtId="0" fontId="1" fillId="0" borderId="0" xfId="0" applyFont="1" applyFill="1" applyBorder="1" applyAlignment="1">
      <alignment vertical="center" wrapText="1"/>
    </xf>
    <xf numFmtId="0" fontId="1" fillId="0" borderId="0" xfId="0" applyFont="1" applyBorder="1" applyAlignment="1">
      <alignment vertical="top" wrapText="1"/>
    </xf>
    <xf numFmtId="0" fontId="2" fillId="6" borderId="1" xfId="0" applyFont="1" applyFill="1" applyBorder="1" applyAlignment="1">
      <alignment horizontal="center" vertical="center"/>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2" fillId="0" borderId="41" xfId="0" applyFont="1" applyBorder="1" applyAlignment="1">
      <alignment horizontal="center" vertical="center" wrapText="1"/>
    </xf>
    <xf numFmtId="0" fontId="2" fillId="6" borderId="1" xfId="0" applyFont="1" applyFill="1" applyBorder="1" applyAlignment="1">
      <alignment horizontal="center" vertical="center"/>
    </xf>
    <xf numFmtId="164" fontId="39" fillId="12" borderId="1" xfId="1" applyNumberFormat="1" applyFont="1" applyFill="1" applyBorder="1" applyAlignment="1">
      <alignment horizontal="center" vertical="center" wrapText="1"/>
    </xf>
    <xf numFmtId="0" fontId="2" fillId="0" borderId="1" xfId="0" applyFont="1" applyBorder="1" applyAlignment="1">
      <alignment horizontal="center" vertical="center"/>
    </xf>
    <xf numFmtId="0" fontId="2" fillId="0" borderId="19" xfId="0" applyFont="1" applyBorder="1" applyAlignment="1">
      <alignment horizontal="center" vertical="center" wrapText="1"/>
    </xf>
    <xf numFmtId="0" fontId="2" fillId="0" borderId="41" xfId="0" applyFont="1" applyBorder="1" applyAlignment="1">
      <alignment horizontal="center" vertical="center"/>
    </xf>
    <xf numFmtId="0" fontId="4" fillId="6" borderId="1" xfId="0" applyFont="1" applyFill="1" applyBorder="1" applyAlignment="1">
      <alignment horizontal="center" vertical="center"/>
    </xf>
    <xf numFmtId="0" fontId="2" fillId="0" borderId="2" xfId="0" applyFont="1" applyBorder="1" applyAlignment="1">
      <alignment vertical="center" wrapText="1"/>
    </xf>
    <xf numFmtId="0" fontId="2" fillId="6" borderId="41" xfId="0" applyFont="1" applyFill="1" applyBorder="1" applyAlignment="1">
      <alignment vertical="center"/>
    </xf>
    <xf numFmtId="0" fontId="2" fillId="6" borderId="29" xfId="0" applyFont="1" applyFill="1" applyBorder="1" applyAlignment="1">
      <alignment vertical="center"/>
    </xf>
    <xf numFmtId="0" fontId="2" fillId="6" borderId="30" xfId="0" applyFont="1" applyFill="1" applyBorder="1" applyAlignment="1">
      <alignment vertical="center"/>
    </xf>
    <xf numFmtId="0" fontId="43" fillId="0" borderId="1" xfId="0" applyFont="1" applyBorder="1" applyAlignment="1">
      <alignment horizontal="center" vertical="center" wrapText="1"/>
    </xf>
    <xf numFmtId="0" fontId="2" fillId="0" borderId="1" xfId="0" applyFont="1" applyBorder="1" applyAlignment="1">
      <alignment horizontal="left" vertical="center" wrapText="1"/>
    </xf>
    <xf numFmtId="0" fontId="2" fillId="0" borderId="1" xfId="0" applyFont="1" applyBorder="1" applyAlignment="1">
      <alignment vertical="center" wrapText="1"/>
    </xf>
    <xf numFmtId="0" fontId="2" fillId="0" borderId="19" xfId="0" applyFont="1" applyBorder="1" applyAlignment="1">
      <alignment horizontal="center" vertical="center"/>
    </xf>
    <xf numFmtId="0" fontId="2" fillId="0" borderId="28" xfId="0" applyFont="1" applyBorder="1" applyAlignment="1">
      <alignment horizontal="center" vertical="center"/>
    </xf>
    <xf numFmtId="0" fontId="2" fillId="0" borderId="24" xfId="0" applyFont="1" applyBorder="1" applyAlignment="1">
      <alignment horizontal="center" vertical="center"/>
    </xf>
    <xf numFmtId="164" fontId="24" fillId="10" borderId="21" xfId="1" applyNumberFormat="1" applyFont="1" applyFill="1" applyBorder="1" applyAlignment="1">
      <alignment vertical="center" wrapText="1"/>
    </xf>
    <xf numFmtId="164" fontId="24" fillId="10" borderId="19" xfId="1" applyNumberFormat="1" applyFont="1" applyFill="1" applyBorder="1" applyAlignment="1">
      <alignment vertical="center" wrapText="1"/>
    </xf>
    <xf numFmtId="164" fontId="24" fillId="13" borderId="1" xfId="1" applyNumberFormat="1" applyFont="1" applyFill="1" applyBorder="1" applyAlignment="1">
      <alignment vertical="center" wrapText="1"/>
    </xf>
    <xf numFmtId="0" fontId="2" fillId="6" borderId="21" xfId="0" applyFont="1" applyFill="1" applyBorder="1" applyAlignment="1">
      <alignment vertical="center"/>
    </xf>
    <xf numFmtId="0" fontId="2" fillId="0" borderId="2" xfId="0" applyFont="1" applyBorder="1" applyAlignment="1">
      <alignment horizontal="center" vertical="center"/>
    </xf>
    <xf numFmtId="0" fontId="2" fillId="0" borderId="1" xfId="0" applyFont="1" applyFill="1" applyBorder="1" applyAlignment="1">
      <alignment horizontal="center" vertical="center"/>
    </xf>
    <xf numFmtId="0" fontId="2" fillId="6" borderId="2" xfId="0" applyFont="1" applyFill="1" applyBorder="1" applyAlignment="1">
      <alignment vertical="center"/>
    </xf>
    <xf numFmtId="0" fontId="2" fillId="6" borderId="19" xfId="0" applyFont="1" applyFill="1" applyBorder="1" applyAlignment="1">
      <alignment vertical="center"/>
    </xf>
    <xf numFmtId="164" fontId="39" fillId="12" borderId="19" xfId="1" applyNumberFormat="1" applyFont="1" applyFill="1" applyBorder="1" applyAlignment="1">
      <alignment horizontal="center" vertical="center" wrapText="1"/>
    </xf>
    <xf numFmtId="0" fontId="2" fillId="0" borderId="42" xfId="0" applyFont="1" applyBorder="1" applyAlignment="1">
      <alignment horizontal="center" vertical="center" wrapText="1"/>
    </xf>
    <xf numFmtId="0" fontId="2" fillId="0" borderId="24" xfId="0" applyFont="1" applyFill="1" applyBorder="1" applyAlignment="1">
      <alignment horizontal="center" vertical="center"/>
    </xf>
    <xf numFmtId="164" fontId="39" fillId="12" borderId="24" xfId="1" applyNumberFormat="1" applyFont="1" applyFill="1" applyBorder="1" applyAlignment="1">
      <alignment horizontal="center" vertical="center" wrapText="1"/>
    </xf>
    <xf numFmtId="0" fontId="2" fillId="0" borderId="45" xfId="0" applyFont="1" applyBorder="1" applyAlignment="1">
      <alignment horizontal="center" vertical="center" wrapText="1"/>
    </xf>
    <xf numFmtId="164" fontId="39" fillId="12" borderId="28" xfId="1" applyNumberFormat="1" applyFont="1" applyFill="1" applyBorder="1" applyAlignment="1">
      <alignment horizontal="center" vertical="center" wrapText="1"/>
    </xf>
    <xf numFmtId="0" fontId="2" fillId="0" borderId="28" xfId="0" applyFont="1" applyBorder="1" applyAlignment="1">
      <alignment horizontal="center" vertical="center" wrapText="1"/>
    </xf>
    <xf numFmtId="0" fontId="2" fillId="0" borderId="24" xfId="0" applyFont="1" applyBorder="1" applyAlignment="1">
      <alignment horizontal="center" vertical="center" wrapText="1"/>
    </xf>
    <xf numFmtId="164" fontId="39" fillId="12" borderId="2" xfId="1" applyNumberFormat="1" applyFont="1" applyFill="1" applyBorder="1" applyAlignment="1">
      <alignment horizontal="center" vertical="center" wrapText="1"/>
    </xf>
    <xf numFmtId="164" fontId="24" fillId="8" borderId="41" xfId="1" applyNumberFormat="1" applyFont="1" applyFill="1" applyBorder="1" applyAlignment="1">
      <alignment vertical="center" wrapText="1"/>
    </xf>
    <xf numFmtId="0" fontId="4" fillId="0" borderId="41" xfId="0" applyFont="1" applyBorder="1"/>
    <xf numFmtId="164" fontId="46" fillId="12" borderId="18" xfId="1" applyNumberFormat="1" applyFont="1" applyFill="1" applyBorder="1" applyAlignment="1">
      <alignment vertical="center" wrapText="1"/>
    </xf>
    <xf numFmtId="164" fontId="46" fillId="12" borderId="37" xfId="1" applyNumberFormat="1" applyFont="1" applyFill="1" applyBorder="1" applyAlignment="1">
      <alignment vertical="center" wrapText="1"/>
    </xf>
    <xf numFmtId="164" fontId="46" fillId="12" borderId="39" xfId="1" applyNumberFormat="1" applyFont="1" applyFill="1" applyBorder="1" applyAlignment="1">
      <alignment vertical="center" wrapText="1"/>
    </xf>
    <xf numFmtId="164" fontId="46" fillId="12" borderId="19" xfId="1" applyNumberFormat="1" applyFont="1" applyFill="1" applyBorder="1" applyAlignment="1">
      <alignment vertical="center" wrapText="1"/>
    </xf>
    <xf numFmtId="164" fontId="46" fillId="12" borderId="1" xfId="1" applyNumberFormat="1" applyFont="1" applyFill="1" applyBorder="1" applyAlignment="1">
      <alignment vertical="center" wrapText="1"/>
    </xf>
    <xf numFmtId="0" fontId="4" fillId="0" borderId="21" xfId="0" applyFont="1" applyBorder="1"/>
    <xf numFmtId="164" fontId="24" fillId="8" borderId="1" xfId="1" applyNumberFormat="1" applyFont="1" applyFill="1" applyBorder="1" applyAlignment="1">
      <alignment vertical="center" wrapText="1"/>
    </xf>
    <xf numFmtId="164" fontId="24" fillId="14" borderId="29" xfId="1" applyNumberFormat="1" applyFont="1" applyFill="1" applyBorder="1" applyAlignment="1">
      <alignment vertical="center" wrapText="1"/>
    </xf>
    <xf numFmtId="164" fontId="24" fillId="14" borderId="30" xfId="1" applyNumberFormat="1" applyFont="1" applyFill="1" applyBorder="1" applyAlignment="1">
      <alignment vertical="center" wrapText="1"/>
    </xf>
    <xf numFmtId="164" fontId="48" fillId="12" borderId="19" xfId="1" applyNumberFormat="1" applyFont="1" applyFill="1" applyBorder="1" applyAlignment="1">
      <alignment horizontal="center" vertical="center" wrapText="1"/>
    </xf>
    <xf numFmtId="0" fontId="3" fillId="0" borderId="1" xfId="0" applyFont="1" applyBorder="1" applyAlignment="1">
      <alignment horizontal="center" vertical="center"/>
    </xf>
    <xf numFmtId="0" fontId="1" fillId="0" borderId="1" xfId="0" applyFont="1" applyBorder="1" applyAlignment="1">
      <alignment horizontal="center" vertical="center"/>
    </xf>
    <xf numFmtId="0" fontId="2" fillId="0" borderId="0" xfId="0" applyFont="1" applyBorder="1" applyAlignment="1">
      <alignment horizontal="center" vertical="center" wrapText="1"/>
    </xf>
    <xf numFmtId="0" fontId="4" fillId="6" borderId="1" xfId="0" applyFont="1" applyFill="1" applyBorder="1" applyAlignment="1">
      <alignment horizontal="center" vertical="center"/>
    </xf>
    <xf numFmtId="0" fontId="2" fillId="0" borderId="0" xfId="0" applyFont="1" applyBorder="1" applyAlignment="1">
      <alignment horizontal="center" vertical="center" wrapText="1"/>
    </xf>
    <xf numFmtId="0" fontId="4" fillId="6" borderId="1" xfId="0" applyFont="1" applyFill="1" applyBorder="1" applyAlignment="1">
      <alignment horizontal="center" vertical="center"/>
    </xf>
    <xf numFmtId="0" fontId="2" fillId="0" borderId="0" xfId="0" applyFont="1" applyBorder="1" applyAlignment="1">
      <alignment horizontal="left" vertical="center" wrapText="1" indent="3"/>
    </xf>
    <xf numFmtId="0" fontId="4" fillId="6" borderId="26" xfId="0" applyFont="1" applyFill="1" applyBorder="1" applyAlignment="1">
      <alignment vertical="center"/>
    </xf>
    <xf numFmtId="0" fontId="4" fillId="6" borderId="21" xfId="0" applyFont="1" applyFill="1" applyBorder="1" applyAlignment="1">
      <alignment vertical="center"/>
    </xf>
    <xf numFmtId="0" fontId="4" fillId="6" borderId="34" xfId="0" applyFont="1" applyFill="1" applyBorder="1" applyAlignment="1">
      <alignment vertical="center"/>
    </xf>
    <xf numFmtId="0" fontId="2" fillId="0" borderId="1" xfId="0" applyFont="1" applyBorder="1" applyAlignment="1">
      <alignment horizontal="center" vertical="center"/>
    </xf>
    <xf numFmtId="0" fontId="4" fillId="6" borderId="1" xfId="0" applyFont="1" applyFill="1" applyBorder="1" applyAlignment="1">
      <alignment horizontal="center" vertical="center"/>
    </xf>
    <xf numFmtId="164" fontId="2" fillId="0" borderId="0" xfId="0" applyNumberFormat="1" applyFont="1" applyBorder="1" applyAlignment="1">
      <alignment vertical="center"/>
    </xf>
    <xf numFmtId="164" fontId="24" fillId="12" borderId="17" xfId="1" applyNumberFormat="1" applyFont="1" applyFill="1" applyBorder="1" applyAlignment="1">
      <alignment vertical="center" wrapText="1"/>
    </xf>
    <xf numFmtId="164" fontId="24" fillId="12" borderId="16" xfId="1" applyNumberFormat="1" applyFont="1" applyFill="1" applyBorder="1" applyAlignment="1">
      <alignment vertical="center" wrapText="1"/>
    </xf>
    <xf numFmtId="164" fontId="24" fillId="12" borderId="7" xfId="1" applyNumberFormat="1" applyFont="1" applyFill="1" applyBorder="1" applyAlignment="1">
      <alignment vertical="center" wrapText="1"/>
    </xf>
    <xf numFmtId="0" fontId="4" fillId="6" borderId="1" xfId="0" applyFont="1" applyFill="1" applyBorder="1" applyAlignment="1">
      <alignment horizontal="center" vertical="center"/>
    </xf>
    <xf numFmtId="0" fontId="2" fillId="0" borderId="1" xfId="0" applyFont="1" applyBorder="1" applyAlignment="1">
      <alignment horizontal="center" vertical="center" wrapText="1"/>
    </xf>
    <xf numFmtId="0" fontId="2" fillId="0" borderId="1" xfId="0" applyFont="1" applyBorder="1" applyAlignment="1">
      <alignment horizontal="center" vertical="center"/>
    </xf>
    <xf numFmtId="164" fontId="39" fillId="12" borderId="1" xfId="1" applyNumberFormat="1" applyFont="1" applyFill="1" applyBorder="1" applyAlignment="1">
      <alignment horizontal="center" vertical="center" wrapText="1"/>
    </xf>
    <xf numFmtId="0" fontId="51" fillId="0" borderId="1" xfId="0" applyFont="1" applyBorder="1" applyAlignment="1">
      <alignment horizontal="center" vertical="center" wrapText="1"/>
    </xf>
    <xf numFmtId="49" fontId="2" fillId="0" borderId="0" xfId="0" applyNumberFormat="1" applyFont="1" applyBorder="1" applyAlignment="1">
      <alignment vertical="center"/>
    </xf>
    <xf numFmtId="0" fontId="2" fillId="6" borderId="1" xfId="0" applyFont="1" applyFill="1" applyBorder="1" applyAlignment="1">
      <alignment vertical="center"/>
    </xf>
    <xf numFmtId="164" fontId="39" fillId="12" borderId="1" xfId="1" applyNumberFormat="1" applyFont="1" applyFill="1" applyBorder="1" applyAlignment="1">
      <alignment vertical="center" wrapText="1"/>
    </xf>
    <xf numFmtId="164" fontId="2" fillId="0" borderId="38" xfId="0" applyNumberFormat="1" applyFont="1" applyBorder="1"/>
    <xf numFmtId="0" fontId="4" fillId="6" borderId="2" xfId="0" applyFont="1" applyFill="1" applyBorder="1" applyAlignment="1">
      <alignment vertical="center"/>
    </xf>
    <xf numFmtId="164" fontId="1" fillId="0" borderId="0" xfId="0" applyNumberFormat="1" applyFont="1" applyAlignment="1"/>
    <xf numFmtId="0" fontId="53" fillId="0" borderId="1" xfId="0" applyFont="1" applyBorder="1" applyAlignment="1">
      <alignment horizontal="center" vertical="center"/>
    </xf>
    <xf numFmtId="164" fontId="53" fillId="0" borderId="1" xfId="0" applyNumberFormat="1" applyFont="1" applyBorder="1"/>
    <xf numFmtId="0" fontId="2" fillId="0" borderId="1" xfId="0" applyFont="1" applyBorder="1" applyAlignment="1">
      <alignment horizontal="center" vertical="center" wrapText="1"/>
    </xf>
    <xf numFmtId="0" fontId="4" fillId="6" borderId="1" xfId="0" applyFont="1" applyFill="1" applyBorder="1" applyAlignment="1">
      <alignment horizontal="center" vertical="center"/>
    </xf>
    <xf numFmtId="0" fontId="2" fillId="6" borderId="1" xfId="0" applyFont="1" applyFill="1" applyBorder="1" applyAlignment="1">
      <alignment horizontal="center" vertical="center"/>
    </xf>
    <xf numFmtId="49" fontId="2" fillId="0" borderId="41" xfId="0" applyNumberFormat="1" applyFont="1" applyBorder="1" applyAlignment="1">
      <alignment vertical="center"/>
    </xf>
    <xf numFmtId="49" fontId="2" fillId="0" borderId="30" xfId="0" applyNumberFormat="1" applyFont="1" applyBorder="1" applyAlignment="1">
      <alignment vertical="center"/>
    </xf>
    <xf numFmtId="0" fontId="4" fillId="6" borderId="1" xfId="0" applyFont="1" applyFill="1" applyBorder="1" applyAlignment="1">
      <alignment horizontal="center" vertical="center"/>
    </xf>
    <xf numFmtId="164" fontId="20" fillId="0" borderId="8" xfId="0" applyNumberFormat="1" applyFont="1" applyBorder="1" applyAlignment="1">
      <alignment vertical="center"/>
    </xf>
    <xf numFmtId="164" fontId="20" fillId="0" borderId="10" xfId="0" applyNumberFormat="1" applyFont="1" applyBorder="1" applyAlignment="1">
      <alignment vertical="center"/>
    </xf>
    <xf numFmtId="164" fontId="57" fillId="0" borderId="23" xfId="1" applyNumberFormat="1" applyFont="1" applyBorder="1" applyAlignment="1">
      <alignment horizontal="center" vertical="center"/>
    </xf>
    <xf numFmtId="164" fontId="33" fillId="0" borderId="1" xfId="1" applyNumberFormat="1" applyFont="1" applyBorder="1" applyAlignment="1">
      <alignment horizontal="center" vertical="center"/>
    </xf>
    <xf numFmtId="0" fontId="4" fillId="6" borderId="1" xfId="0" applyFont="1" applyFill="1" applyBorder="1" applyAlignment="1">
      <alignment vertical="center"/>
    </xf>
    <xf numFmtId="164" fontId="24" fillId="16" borderId="21" xfId="1" applyNumberFormat="1" applyFont="1" applyFill="1" applyBorder="1" applyAlignment="1">
      <alignment vertical="center" wrapText="1"/>
    </xf>
    <xf numFmtId="164" fontId="24" fillId="16" borderId="19" xfId="1" applyNumberFormat="1" applyFont="1" applyFill="1" applyBorder="1" applyAlignment="1">
      <alignment vertical="center" wrapText="1"/>
    </xf>
    <xf numFmtId="0" fontId="4" fillId="6" borderId="1" xfId="0" applyFont="1" applyFill="1" applyBorder="1" applyAlignment="1">
      <alignment horizontal="center" vertical="center"/>
    </xf>
    <xf numFmtId="164" fontId="2" fillId="0" borderId="1" xfId="0" applyNumberFormat="1" applyFont="1" applyBorder="1" applyAlignment="1">
      <alignment horizontal="center" vertical="center"/>
    </xf>
    <xf numFmtId="164" fontId="52" fillId="0" borderId="23" xfId="1" applyNumberFormat="1" applyFont="1" applyBorder="1" applyAlignment="1">
      <alignment horizontal="center" vertical="center"/>
    </xf>
    <xf numFmtId="164" fontId="63" fillId="8" borderId="1" xfId="1" applyNumberFormat="1" applyFont="1" applyFill="1" applyBorder="1" applyAlignment="1">
      <alignment horizontal="center" wrapText="1"/>
    </xf>
    <xf numFmtId="1" fontId="19" fillId="0" borderId="13" xfId="0" applyNumberFormat="1" applyFont="1" applyBorder="1" applyAlignment="1">
      <alignment vertical="center" wrapText="1"/>
    </xf>
    <xf numFmtId="1" fontId="19" fillId="0" borderId="8" xfId="0" applyNumberFormat="1" applyFont="1" applyBorder="1" applyAlignment="1">
      <alignment vertical="center" wrapText="1"/>
    </xf>
    <xf numFmtId="1" fontId="19" fillId="0" borderId="15" xfId="0" applyNumberFormat="1" applyFont="1" applyBorder="1" applyAlignment="1">
      <alignment vertical="center" wrapText="1"/>
    </xf>
    <xf numFmtId="1" fontId="19" fillId="0" borderId="10" xfId="0" applyNumberFormat="1" applyFont="1" applyBorder="1" applyAlignment="1">
      <alignment vertical="center" wrapText="1"/>
    </xf>
    <xf numFmtId="0" fontId="4" fillId="6" borderId="1" xfId="0" applyFont="1" applyFill="1" applyBorder="1" applyAlignment="1">
      <alignment horizontal="center" vertical="center"/>
    </xf>
    <xf numFmtId="49" fontId="2" fillId="0" borderId="41" xfId="0" applyNumberFormat="1" applyFont="1" applyBorder="1" applyAlignment="1">
      <alignment horizontal="center" vertical="center"/>
    </xf>
    <xf numFmtId="164" fontId="20" fillId="0" borderId="12" xfId="0" applyNumberFormat="1" applyFont="1" applyBorder="1" applyAlignment="1">
      <alignment vertical="center"/>
    </xf>
    <xf numFmtId="49" fontId="2" fillId="0" borderId="29" xfId="0" applyNumberFormat="1" applyFont="1" applyBorder="1" applyAlignment="1">
      <alignment vertical="center"/>
    </xf>
    <xf numFmtId="164" fontId="24" fillId="12" borderId="21" xfId="1" applyNumberFormat="1" applyFont="1" applyFill="1" applyBorder="1" applyAlignment="1">
      <alignment vertical="center" wrapText="1"/>
    </xf>
    <xf numFmtId="164" fontId="24" fillId="12" borderId="34" xfId="1" applyNumberFormat="1" applyFont="1" applyFill="1" applyBorder="1" applyAlignment="1">
      <alignment vertical="center" wrapText="1"/>
    </xf>
    <xf numFmtId="0" fontId="4" fillId="6" borderId="1" xfId="0" applyFont="1" applyFill="1" applyBorder="1" applyAlignment="1">
      <alignment horizontal="center" vertical="center"/>
    </xf>
    <xf numFmtId="164" fontId="2" fillId="0" borderId="0" xfId="0" applyNumberFormat="1" applyFont="1" applyAlignment="1">
      <alignment vertical="center"/>
    </xf>
    <xf numFmtId="0" fontId="0" fillId="0" borderId="0" xfId="0" applyAlignment="1"/>
    <xf numFmtId="164" fontId="25" fillId="8" borderId="23" xfId="1" applyNumberFormat="1" applyFont="1" applyFill="1" applyBorder="1" applyAlignment="1">
      <alignment vertical="center" wrapText="1"/>
    </xf>
    <xf numFmtId="164" fontId="25" fillId="8" borderId="22" xfId="1" applyNumberFormat="1" applyFont="1" applyFill="1" applyBorder="1" applyAlignment="1">
      <alignment vertical="center" wrapText="1"/>
    </xf>
    <xf numFmtId="164" fontId="25" fillId="8" borderId="20" xfId="1" applyNumberFormat="1" applyFont="1" applyFill="1" applyBorder="1" applyAlignment="1">
      <alignment vertical="center" wrapText="1"/>
    </xf>
    <xf numFmtId="164" fontId="25" fillId="8" borderId="37" xfId="1" applyNumberFormat="1" applyFont="1" applyFill="1" applyBorder="1" applyAlignment="1">
      <alignment vertical="center" wrapText="1"/>
    </xf>
    <xf numFmtId="164" fontId="25" fillId="8" borderId="38" xfId="1" applyNumberFormat="1" applyFont="1" applyFill="1" applyBorder="1" applyAlignment="1">
      <alignment vertical="center" wrapText="1"/>
    </xf>
    <xf numFmtId="164" fontId="25" fillId="8" borderId="39" xfId="1" applyNumberFormat="1" applyFont="1" applyFill="1" applyBorder="1" applyAlignment="1">
      <alignment vertical="center" wrapText="1"/>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0" borderId="22" xfId="0" applyFont="1" applyBorder="1" applyAlignment="1">
      <alignment vertical="center"/>
    </xf>
    <xf numFmtId="0" fontId="2" fillId="0" borderId="20" xfId="0" applyFont="1" applyBorder="1" applyAlignment="1">
      <alignment vertical="center"/>
    </xf>
    <xf numFmtId="0" fontId="2" fillId="0" borderId="38" xfId="0" applyFont="1" applyBorder="1" applyAlignment="1">
      <alignment vertical="center"/>
    </xf>
    <xf numFmtId="0" fontId="2" fillId="0" borderId="39" xfId="0" applyFont="1" applyBorder="1" applyAlignment="1">
      <alignment vertical="center"/>
    </xf>
    <xf numFmtId="0" fontId="2" fillId="0" borderId="23" xfId="0" applyFont="1" applyBorder="1" applyAlignment="1">
      <alignment vertical="center"/>
    </xf>
    <xf numFmtId="0" fontId="22" fillId="0" borderId="1" xfId="0" applyFont="1" applyFill="1" applyBorder="1" applyAlignment="1">
      <alignment horizontal="center" vertical="center"/>
    </xf>
    <xf numFmtId="0" fontId="4" fillId="6" borderId="18" xfId="0" applyFont="1" applyFill="1" applyBorder="1" applyAlignment="1">
      <alignment horizontal="center" vertical="center"/>
    </xf>
    <xf numFmtId="0" fontId="4" fillId="6" borderId="0" xfId="0" applyFont="1" applyFill="1" applyBorder="1" applyAlignment="1">
      <alignment horizontal="center" vertical="center"/>
    </xf>
    <xf numFmtId="0" fontId="4" fillId="6" borderId="36" xfId="0" applyFont="1" applyFill="1" applyBorder="1" applyAlignment="1">
      <alignment horizontal="center" vertical="center"/>
    </xf>
    <xf numFmtId="0" fontId="4" fillId="6" borderId="40"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31" xfId="0" applyFont="1" applyFill="1" applyBorder="1" applyAlignment="1">
      <alignment horizontal="center" vertical="center"/>
    </xf>
    <xf numFmtId="164" fontId="2" fillId="0" borderId="23" xfId="0" applyNumberFormat="1" applyFont="1" applyBorder="1" applyAlignment="1">
      <alignment horizontal="center" vertical="center"/>
    </xf>
    <xf numFmtId="164" fontId="2" fillId="0" borderId="22" xfId="0" applyNumberFormat="1" applyFont="1" applyBorder="1" applyAlignment="1">
      <alignment horizontal="center" vertical="center"/>
    </xf>
    <xf numFmtId="164" fontId="2" fillId="0" borderId="40" xfId="0" applyNumberFormat="1" applyFont="1" applyBorder="1" applyAlignment="1">
      <alignment horizontal="center" vertical="center"/>
    </xf>
    <xf numFmtId="164" fontId="2" fillId="0" borderId="12" xfId="0" applyNumberFormat="1" applyFont="1" applyBorder="1" applyAlignment="1">
      <alignment horizontal="center" vertical="center"/>
    </xf>
    <xf numFmtId="164" fontId="2" fillId="0" borderId="46" xfId="0" applyNumberFormat="1" applyFont="1" applyBorder="1" applyAlignment="1">
      <alignment horizontal="center" vertical="center"/>
    </xf>
    <xf numFmtId="164" fontId="2" fillId="0" borderId="47" xfId="0" applyNumberFormat="1" applyFont="1" applyBorder="1" applyAlignment="1">
      <alignment horizontal="center" vertical="center"/>
    </xf>
    <xf numFmtId="164" fontId="2" fillId="0" borderId="48" xfId="0" applyNumberFormat="1" applyFont="1" applyBorder="1" applyAlignment="1">
      <alignment horizontal="center" vertical="center"/>
    </xf>
    <xf numFmtId="164" fontId="2" fillId="0" borderId="49" xfId="0" applyNumberFormat="1" applyFont="1" applyBorder="1" applyAlignment="1">
      <alignment horizontal="center" vertical="center"/>
    </xf>
    <xf numFmtId="164" fontId="1" fillId="0" borderId="13" xfId="0" applyNumberFormat="1" applyFont="1" applyBorder="1" applyAlignment="1">
      <alignment horizontal="center"/>
    </xf>
    <xf numFmtId="164" fontId="1" fillId="0" borderId="8" xfId="0" applyNumberFormat="1" applyFont="1" applyBorder="1" applyAlignment="1">
      <alignment horizontal="center"/>
    </xf>
    <xf numFmtId="164" fontId="1" fillId="0" borderId="15" xfId="0" applyNumberFormat="1" applyFont="1" applyBorder="1" applyAlignment="1">
      <alignment horizontal="center"/>
    </xf>
    <xf numFmtId="164" fontId="1" fillId="0" borderId="10" xfId="0" applyNumberFormat="1" applyFont="1" applyBorder="1" applyAlignment="1">
      <alignment horizontal="center"/>
    </xf>
    <xf numFmtId="0" fontId="4" fillId="6" borderId="2" xfId="0" applyFont="1" applyFill="1" applyBorder="1" applyAlignment="1">
      <alignment horizontal="center" vertical="center"/>
    </xf>
    <xf numFmtId="0" fontId="4" fillId="6" borderId="21" xfId="0" applyFont="1" applyFill="1" applyBorder="1" applyAlignment="1">
      <alignment horizontal="center" vertical="center"/>
    </xf>
    <xf numFmtId="0" fontId="4" fillId="6" borderId="34" xfId="0" applyFont="1" applyFill="1" applyBorder="1" applyAlignment="1">
      <alignment horizontal="center" vertical="center"/>
    </xf>
    <xf numFmtId="164" fontId="24" fillId="8" borderId="41" xfId="1" applyNumberFormat="1" applyFont="1" applyFill="1" applyBorder="1" applyAlignment="1">
      <alignment horizontal="center" vertical="center" wrapText="1"/>
    </xf>
    <xf numFmtId="164" fontId="24" fillId="8" borderId="50" xfId="1" applyNumberFormat="1" applyFont="1" applyFill="1" applyBorder="1" applyAlignment="1">
      <alignment horizontal="center" vertical="center" wrapText="1"/>
    </xf>
    <xf numFmtId="164" fontId="39" fillId="10" borderId="35" xfId="1" applyNumberFormat="1" applyFont="1" applyFill="1" applyBorder="1" applyAlignment="1">
      <alignment horizontal="center" vertical="center" wrapText="1"/>
    </xf>
    <xf numFmtId="164" fontId="39" fillId="10" borderId="30" xfId="1" applyNumberFormat="1" applyFont="1" applyFill="1" applyBorder="1" applyAlignment="1">
      <alignment horizontal="center" vertical="center" wrapText="1"/>
    </xf>
    <xf numFmtId="164" fontId="39" fillId="14" borderId="42" xfId="1" applyNumberFormat="1" applyFont="1" applyFill="1" applyBorder="1" applyAlignment="1">
      <alignment horizontal="center" vertical="center" wrapText="1"/>
    </xf>
    <xf numFmtId="164" fontId="39" fillId="14" borderId="33" xfId="1" applyNumberFormat="1" applyFont="1" applyFill="1" applyBorder="1" applyAlignment="1">
      <alignment horizontal="center" vertical="center" wrapText="1"/>
    </xf>
    <xf numFmtId="0" fontId="22" fillId="0" borderId="41" xfId="0" applyFont="1" applyFill="1" applyBorder="1" applyAlignment="1">
      <alignment horizontal="center" vertical="center"/>
    </xf>
    <xf numFmtId="0" fontId="22" fillId="0" borderId="29" xfId="0" applyFont="1" applyFill="1" applyBorder="1" applyAlignment="1">
      <alignment horizontal="center" vertical="center"/>
    </xf>
    <xf numFmtId="0" fontId="22" fillId="0" borderId="30" xfId="0" applyFont="1" applyFill="1" applyBorder="1" applyAlignment="1">
      <alignment horizontal="center" vertical="center"/>
    </xf>
    <xf numFmtId="164" fontId="2" fillId="0" borderId="20" xfId="0" applyNumberFormat="1" applyFont="1" applyBorder="1" applyAlignment="1">
      <alignment horizontal="center" vertical="center"/>
    </xf>
    <xf numFmtId="164" fontId="2" fillId="0" borderId="31" xfId="0" applyNumberFormat="1" applyFont="1" applyBorder="1" applyAlignment="1">
      <alignment horizontal="center" vertical="center"/>
    </xf>
    <xf numFmtId="164" fontId="2" fillId="0" borderId="27" xfId="0" applyNumberFormat="1" applyFont="1" applyBorder="1" applyAlignment="1">
      <alignment horizontal="center" vertical="center"/>
    </xf>
    <xf numFmtId="164" fontId="2" fillId="0" borderId="8" xfId="0" applyNumberFormat="1" applyFont="1" applyBorder="1" applyAlignment="1">
      <alignment horizontal="center" vertical="center"/>
    </xf>
    <xf numFmtId="164" fontId="2" fillId="0" borderId="10" xfId="0" applyNumberFormat="1" applyFont="1" applyBorder="1" applyAlignment="1">
      <alignment horizontal="center" vertical="center"/>
    </xf>
    <xf numFmtId="164" fontId="24" fillId="11" borderId="51" xfId="1" applyNumberFormat="1" applyFont="1" applyFill="1" applyBorder="1" applyAlignment="1">
      <alignment horizontal="center" vertical="center" wrapText="1"/>
    </xf>
    <xf numFmtId="164" fontId="24" fillId="11" borderId="52" xfId="1" applyNumberFormat="1" applyFont="1" applyFill="1" applyBorder="1" applyAlignment="1">
      <alignment horizontal="center" vertical="center" wrapText="1"/>
    </xf>
    <xf numFmtId="164" fontId="34" fillId="0" borderId="23" xfId="1" applyNumberFormat="1" applyFont="1" applyBorder="1" applyAlignment="1">
      <alignment horizontal="center" vertical="center"/>
    </xf>
    <xf numFmtId="164" fontId="34" fillId="0" borderId="20" xfId="1" applyNumberFormat="1" applyFont="1" applyBorder="1" applyAlignment="1">
      <alignment horizontal="center" vertical="center"/>
    </xf>
    <xf numFmtId="164" fontId="34" fillId="0" borderId="40" xfId="1" applyNumberFormat="1" applyFont="1" applyBorder="1" applyAlignment="1">
      <alignment horizontal="center" vertical="center"/>
    </xf>
    <xf numFmtId="164" fontId="34" fillId="0" borderId="31" xfId="1" applyNumberFormat="1" applyFont="1" applyBorder="1" applyAlignment="1">
      <alignment horizontal="center" vertical="center"/>
    </xf>
    <xf numFmtId="164" fontId="24" fillId="11" borderId="2" xfId="1" applyNumberFormat="1" applyFont="1" applyFill="1" applyBorder="1" applyAlignment="1">
      <alignment horizontal="center" vertical="center" wrapText="1"/>
    </xf>
    <xf numFmtId="164" fontId="24" fillId="11" borderId="34" xfId="1" applyNumberFormat="1" applyFont="1" applyFill="1" applyBorder="1" applyAlignment="1">
      <alignment horizontal="center" vertical="center" wrapText="1"/>
    </xf>
    <xf numFmtId="164" fontId="24" fillId="8" borderId="30" xfId="1" applyNumberFormat="1" applyFont="1" applyFill="1" applyBorder="1" applyAlignment="1">
      <alignment horizontal="center" vertical="center" wrapText="1"/>
    </xf>
    <xf numFmtId="164" fontId="39" fillId="10" borderId="44" xfId="1" applyNumberFormat="1" applyFont="1" applyFill="1" applyBorder="1" applyAlignment="1">
      <alignment horizontal="center" vertical="center" wrapText="1"/>
    </xf>
    <xf numFmtId="164" fontId="39" fillId="10" borderId="20" xfId="1" applyNumberFormat="1" applyFont="1" applyFill="1" applyBorder="1" applyAlignment="1">
      <alignment horizontal="center" vertical="center" wrapText="1"/>
    </xf>
    <xf numFmtId="164" fontId="2" fillId="0" borderId="1" xfId="0" applyNumberFormat="1" applyFont="1" applyBorder="1" applyAlignment="1">
      <alignment horizontal="center" vertical="center"/>
    </xf>
    <xf numFmtId="164" fontId="2" fillId="0" borderId="24" xfId="0" applyNumberFormat="1" applyFont="1" applyBorder="1" applyAlignment="1">
      <alignment horizontal="center" vertical="center"/>
    </xf>
    <xf numFmtId="164" fontId="24" fillId="11" borderId="20" xfId="1" applyNumberFormat="1" applyFont="1" applyFill="1" applyBorder="1" applyAlignment="1">
      <alignment horizontal="center" vertical="center" wrapText="1"/>
    </xf>
    <xf numFmtId="164" fontId="24" fillId="11" borderId="31" xfId="1" applyNumberFormat="1" applyFont="1" applyFill="1" applyBorder="1" applyAlignment="1">
      <alignment horizontal="center" vertical="center" wrapText="1"/>
    </xf>
    <xf numFmtId="164" fontId="2" fillId="0" borderId="13" xfId="0" applyNumberFormat="1" applyFont="1" applyBorder="1" applyAlignment="1">
      <alignment horizontal="center" vertical="center"/>
    </xf>
    <xf numFmtId="164" fontId="2" fillId="0" borderId="15" xfId="0" applyNumberFormat="1" applyFont="1" applyBorder="1" applyAlignment="1">
      <alignment horizontal="center" vertical="center"/>
    </xf>
    <xf numFmtId="164" fontId="2" fillId="0" borderId="11" xfId="0" applyNumberFormat="1" applyFont="1" applyBorder="1" applyAlignment="1">
      <alignment horizontal="center" vertical="center"/>
    </xf>
    <xf numFmtId="164" fontId="2" fillId="0" borderId="41" xfId="0" applyNumberFormat="1" applyFont="1" applyBorder="1" applyAlignment="1">
      <alignment horizontal="center" vertical="center"/>
    </xf>
    <xf numFmtId="164" fontId="2" fillId="0" borderId="42" xfId="0" applyNumberFormat="1" applyFont="1" applyBorder="1" applyAlignment="1">
      <alignment horizontal="center" vertical="center"/>
    </xf>
    <xf numFmtId="164" fontId="24" fillId="8" borderId="42" xfId="1" applyNumberFormat="1" applyFont="1" applyFill="1" applyBorder="1" applyAlignment="1">
      <alignment horizontal="center" vertical="center" wrapText="1"/>
    </xf>
    <xf numFmtId="164" fontId="24" fillId="8" borderId="55" xfId="1" applyNumberFormat="1" applyFont="1" applyFill="1" applyBorder="1" applyAlignment="1">
      <alignment horizontal="center" vertical="center" wrapText="1"/>
    </xf>
    <xf numFmtId="164" fontId="2" fillId="0" borderId="25" xfId="0" applyNumberFormat="1" applyFont="1" applyBorder="1" applyAlignment="1">
      <alignment horizontal="center" vertical="center"/>
    </xf>
    <xf numFmtId="0" fontId="4" fillId="6" borderId="23" xfId="0" applyFont="1" applyFill="1" applyBorder="1" applyAlignment="1">
      <alignment horizontal="center" vertical="center"/>
    </xf>
    <xf numFmtId="0" fontId="4" fillId="6" borderId="22" xfId="0" applyFont="1" applyFill="1" applyBorder="1" applyAlignment="1">
      <alignment horizontal="center" vertical="center"/>
    </xf>
    <xf numFmtId="0" fontId="4" fillId="6" borderId="20"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24" xfId="0" applyFont="1" applyFill="1" applyBorder="1" applyAlignment="1">
      <alignment horizontal="center" vertical="center"/>
    </xf>
    <xf numFmtId="164" fontId="44" fillId="0" borderId="23" xfId="1" applyNumberFormat="1" applyFont="1" applyBorder="1" applyAlignment="1">
      <alignment horizontal="center" vertical="center"/>
    </xf>
    <xf numFmtId="164" fontId="44" fillId="0" borderId="20" xfId="1" applyNumberFormat="1" applyFont="1" applyBorder="1" applyAlignment="1">
      <alignment horizontal="center" vertical="center"/>
    </xf>
    <xf numFmtId="164" fontId="44" fillId="0" borderId="40" xfId="1" applyNumberFormat="1" applyFont="1" applyBorder="1" applyAlignment="1">
      <alignment horizontal="center" vertical="center"/>
    </xf>
    <xf numFmtId="164" fontId="44" fillId="0" borderId="31" xfId="1" applyNumberFormat="1" applyFont="1" applyBorder="1" applyAlignment="1">
      <alignment horizontal="center" vertical="center"/>
    </xf>
    <xf numFmtId="164" fontId="39" fillId="14" borderId="43" xfId="1" applyNumberFormat="1" applyFont="1" applyFill="1" applyBorder="1" applyAlignment="1">
      <alignment horizontal="center" vertical="center" wrapText="1"/>
    </xf>
    <xf numFmtId="164" fontId="27" fillId="0" borderId="13" xfId="0" applyNumberFormat="1" applyFont="1" applyBorder="1" applyAlignment="1">
      <alignment horizontal="center" vertical="center"/>
    </xf>
    <xf numFmtId="164" fontId="27" fillId="0" borderId="11" xfId="0" applyNumberFormat="1" applyFont="1" applyBorder="1" applyAlignment="1">
      <alignment horizontal="center" vertical="center"/>
    </xf>
    <xf numFmtId="164" fontId="27" fillId="0" borderId="8" xfId="0" applyNumberFormat="1" applyFont="1" applyBorder="1" applyAlignment="1">
      <alignment horizontal="center" vertical="center"/>
    </xf>
    <xf numFmtId="164" fontId="27" fillId="0" borderId="15" xfId="0" applyNumberFormat="1" applyFont="1" applyBorder="1" applyAlignment="1">
      <alignment horizontal="center" vertical="center"/>
    </xf>
    <xf numFmtId="164" fontId="27" fillId="0" borderId="12" xfId="0" applyNumberFormat="1" applyFont="1" applyBorder="1" applyAlignment="1">
      <alignment horizontal="center" vertical="center"/>
    </xf>
    <xf numFmtId="164" fontId="27" fillId="0" borderId="10" xfId="0" applyNumberFormat="1" applyFont="1" applyBorder="1" applyAlignment="1">
      <alignment horizontal="center" vertical="center"/>
    </xf>
    <xf numFmtId="1" fontId="20" fillId="0" borderId="46" xfId="0" applyNumberFormat="1" applyFont="1" applyBorder="1" applyAlignment="1">
      <alignment horizontal="center" vertical="center" wrapText="1"/>
    </xf>
    <xf numFmtId="1" fontId="20" fillId="0" borderId="47" xfId="0" applyNumberFormat="1" applyFont="1" applyBorder="1" applyAlignment="1">
      <alignment horizontal="center" vertical="center" wrapText="1"/>
    </xf>
    <xf numFmtId="1" fontId="20" fillId="0" borderId="48" xfId="0" applyNumberFormat="1" applyFont="1" applyBorder="1" applyAlignment="1">
      <alignment horizontal="center" vertical="center" wrapText="1"/>
    </xf>
    <xf numFmtId="1" fontId="20" fillId="0" borderId="49" xfId="0" applyNumberFormat="1" applyFont="1" applyBorder="1" applyAlignment="1">
      <alignment horizontal="center" vertical="center" wrapText="1"/>
    </xf>
    <xf numFmtId="164" fontId="33" fillId="0" borderId="23" xfId="1" applyNumberFormat="1" applyFont="1" applyBorder="1" applyAlignment="1">
      <alignment horizontal="center" vertical="center"/>
    </xf>
    <xf numFmtId="164" fontId="33" fillId="0" borderId="20" xfId="1" applyNumberFormat="1" applyFont="1" applyBorder="1" applyAlignment="1">
      <alignment horizontal="center" vertical="center"/>
    </xf>
    <xf numFmtId="164" fontId="33" fillId="0" borderId="40" xfId="1" applyNumberFormat="1" applyFont="1" applyBorder="1" applyAlignment="1">
      <alignment horizontal="center" vertical="center"/>
    </xf>
    <xf numFmtId="164" fontId="33" fillId="0" borderId="31" xfId="1" applyNumberFormat="1" applyFont="1" applyBorder="1" applyAlignment="1">
      <alignment horizontal="center" vertical="center"/>
    </xf>
    <xf numFmtId="1" fontId="20" fillId="0" borderId="13" xfId="0" applyNumberFormat="1" applyFont="1" applyBorder="1" applyAlignment="1">
      <alignment horizontal="center" vertical="center" wrapText="1"/>
    </xf>
    <xf numFmtId="1" fontId="20" fillId="0" borderId="8" xfId="0" applyNumberFormat="1" applyFont="1" applyBorder="1" applyAlignment="1">
      <alignment horizontal="center" vertical="center" wrapText="1"/>
    </xf>
    <xf numFmtId="1" fontId="20" fillId="0" borderId="15" xfId="0" applyNumberFormat="1" applyFont="1" applyBorder="1" applyAlignment="1">
      <alignment horizontal="center" vertical="center" wrapText="1"/>
    </xf>
    <xf numFmtId="1" fontId="20" fillId="0" borderId="10" xfId="0" applyNumberFormat="1" applyFont="1" applyBorder="1" applyAlignment="1">
      <alignment horizontal="center" vertical="center" wrapText="1"/>
    </xf>
    <xf numFmtId="164" fontId="2" fillId="2" borderId="13" xfId="0" applyNumberFormat="1" applyFont="1" applyFill="1" applyBorder="1" applyAlignment="1">
      <alignment horizontal="center" vertical="center"/>
    </xf>
    <xf numFmtId="164" fontId="2" fillId="2" borderId="8" xfId="0" applyNumberFormat="1" applyFont="1" applyFill="1" applyBorder="1" applyAlignment="1">
      <alignment horizontal="center" vertical="center"/>
    </xf>
    <xf numFmtId="164" fontId="2" fillId="2" borderId="15" xfId="0" applyNumberFormat="1" applyFont="1" applyFill="1" applyBorder="1" applyAlignment="1">
      <alignment horizontal="center" vertical="center"/>
    </xf>
    <xf numFmtId="164" fontId="2" fillId="2" borderId="10" xfId="0" applyNumberFormat="1" applyFont="1" applyFill="1" applyBorder="1" applyAlignment="1">
      <alignment horizontal="center" vertical="center"/>
    </xf>
    <xf numFmtId="164" fontId="33" fillId="0" borderId="23" xfId="0" applyNumberFormat="1" applyFont="1" applyBorder="1" applyAlignment="1">
      <alignment horizontal="center" vertical="center"/>
    </xf>
    <xf numFmtId="164" fontId="44" fillId="0" borderId="22" xfId="0" applyNumberFormat="1" applyFont="1" applyBorder="1" applyAlignment="1">
      <alignment horizontal="center" vertical="center"/>
    </xf>
    <xf numFmtId="164" fontId="44" fillId="0" borderId="40" xfId="0" applyNumberFormat="1" applyFont="1" applyBorder="1" applyAlignment="1">
      <alignment horizontal="center" vertical="center"/>
    </xf>
    <xf numFmtId="164" fontId="44" fillId="0" borderId="12" xfId="0" applyNumberFormat="1" applyFont="1" applyBorder="1" applyAlignment="1">
      <alignment horizontal="center" vertical="center"/>
    </xf>
    <xf numFmtId="164" fontId="69" fillId="0" borderId="23" xfId="0" applyNumberFormat="1" applyFont="1" applyBorder="1" applyAlignment="1">
      <alignment horizontal="center" vertical="center"/>
    </xf>
    <xf numFmtId="164" fontId="69" fillId="0" borderId="22" xfId="0" applyNumberFormat="1" applyFont="1" applyBorder="1" applyAlignment="1">
      <alignment horizontal="center" vertical="center"/>
    </xf>
    <xf numFmtId="164" fontId="69" fillId="0" borderId="40" xfId="0" applyNumberFormat="1" applyFont="1" applyBorder="1" applyAlignment="1">
      <alignment horizontal="center" vertical="center"/>
    </xf>
    <xf numFmtId="164" fontId="69" fillId="0" borderId="12" xfId="0" applyNumberFormat="1" applyFont="1" applyBorder="1" applyAlignment="1">
      <alignment horizontal="center" vertical="center"/>
    </xf>
    <xf numFmtId="164" fontId="37" fillId="0" borderId="23" xfId="0" applyNumberFormat="1" applyFont="1" applyBorder="1" applyAlignment="1">
      <alignment horizontal="center" vertical="center"/>
    </xf>
    <xf numFmtId="2" fontId="2" fillId="0" borderId="13" xfId="0" applyNumberFormat="1" applyFont="1" applyBorder="1" applyAlignment="1">
      <alignment horizontal="center" vertical="center"/>
    </xf>
    <xf numFmtId="2" fontId="2" fillId="0" borderId="8" xfId="0" applyNumberFormat="1" applyFont="1" applyBorder="1" applyAlignment="1">
      <alignment horizontal="center" vertical="center"/>
    </xf>
    <xf numFmtId="2" fontId="2" fillId="0" borderId="15" xfId="0" applyNumberFormat="1" applyFont="1" applyBorder="1" applyAlignment="1">
      <alignment horizontal="center" vertical="center"/>
    </xf>
    <xf numFmtId="2" fontId="2" fillId="0" borderId="10" xfId="0" applyNumberFormat="1" applyFont="1" applyBorder="1" applyAlignment="1">
      <alignment horizontal="center" vertical="center"/>
    </xf>
    <xf numFmtId="1" fontId="2" fillId="0" borderId="13" xfId="0" applyNumberFormat="1" applyFont="1" applyBorder="1" applyAlignment="1">
      <alignment horizontal="center" vertical="center"/>
    </xf>
    <xf numFmtId="1" fontId="2" fillId="0" borderId="8" xfId="0" applyNumberFormat="1" applyFont="1" applyBorder="1" applyAlignment="1">
      <alignment horizontal="center" vertical="center"/>
    </xf>
    <xf numFmtId="1" fontId="2" fillId="0" borderId="15" xfId="0" applyNumberFormat="1" applyFont="1" applyBorder="1" applyAlignment="1">
      <alignment horizontal="center" vertical="center"/>
    </xf>
    <xf numFmtId="1" fontId="2" fillId="0" borderId="10" xfId="0" applyNumberFormat="1" applyFont="1" applyBorder="1" applyAlignment="1">
      <alignment horizontal="center" vertical="center"/>
    </xf>
    <xf numFmtId="164"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164" fontId="2" fillId="0" borderId="54" xfId="0" applyNumberFormat="1" applyFont="1" applyBorder="1" applyAlignment="1">
      <alignment horizontal="center" vertical="center"/>
    </xf>
    <xf numFmtId="164" fontId="56" fillId="8" borderId="23" xfId="1" applyNumberFormat="1" applyFont="1" applyFill="1" applyBorder="1" applyAlignment="1">
      <alignment horizontal="center" vertical="center" wrapText="1"/>
    </xf>
    <xf numFmtId="164" fontId="56" fillId="8" borderId="22" xfId="1" applyNumberFormat="1" applyFont="1" applyFill="1" applyBorder="1" applyAlignment="1">
      <alignment horizontal="center" vertical="center" wrapText="1"/>
    </xf>
    <xf numFmtId="164" fontId="56" fillId="8" borderId="20" xfId="1" applyNumberFormat="1" applyFont="1" applyFill="1" applyBorder="1" applyAlignment="1">
      <alignment horizontal="center" vertical="center" wrapText="1"/>
    </xf>
    <xf numFmtId="164" fontId="56" fillId="8" borderId="18" xfId="1" applyNumberFormat="1" applyFont="1" applyFill="1" applyBorder="1" applyAlignment="1">
      <alignment horizontal="center" vertical="center" wrapText="1"/>
    </xf>
    <xf numFmtId="164" fontId="56" fillId="8" borderId="0" xfId="1" applyNumberFormat="1" applyFont="1" applyFill="1" applyBorder="1" applyAlignment="1">
      <alignment horizontal="center" vertical="center" wrapText="1"/>
    </xf>
    <xf numFmtId="164" fontId="56" fillId="8" borderId="36" xfId="1" applyNumberFormat="1" applyFont="1" applyFill="1" applyBorder="1" applyAlignment="1">
      <alignment horizontal="center" vertical="center" wrapText="1"/>
    </xf>
    <xf numFmtId="164" fontId="56" fillId="8" borderId="40" xfId="1" applyNumberFormat="1" applyFont="1" applyFill="1" applyBorder="1" applyAlignment="1">
      <alignment horizontal="center" vertical="center" wrapText="1"/>
    </xf>
    <xf numFmtId="164" fontId="56" fillId="8" borderId="12" xfId="1" applyNumberFormat="1" applyFont="1" applyFill="1" applyBorder="1" applyAlignment="1">
      <alignment horizontal="center" vertical="center" wrapText="1"/>
    </xf>
    <xf numFmtId="164" fontId="56" fillId="8" borderId="31" xfId="1" applyNumberFormat="1" applyFont="1" applyFill="1" applyBorder="1" applyAlignment="1">
      <alignment horizontal="center" vertical="center" wrapText="1"/>
    </xf>
    <xf numFmtId="164" fontId="20" fillId="0" borderId="13" xfId="0" applyNumberFormat="1" applyFont="1" applyBorder="1" applyAlignment="1">
      <alignment horizontal="center" vertical="center"/>
    </xf>
    <xf numFmtId="164" fontId="20" fillId="0" borderId="8" xfId="0" applyNumberFormat="1" applyFont="1" applyBorder="1" applyAlignment="1">
      <alignment horizontal="center" vertical="center"/>
    </xf>
    <xf numFmtId="164" fontId="20" fillId="0" borderId="15" xfId="0" applyNumberFormat="1" applyFont="1" applyBorder="1" applyAlignment="1">
      <alignment horizontal="center" vertical="center"/>
    </xf>
    <xf numFmtId="164" fontId="20" fillId="0" borderId="10" xfId="0" applyNumberFormat="1" applyFont="1" applyBorder="1" applyAlignment="1">
      <alignment horizontal="center" vertical="center"/>
    </xf>
    <xf numFmtId="164" fontId="2" fillId="0" borderId="23" xfId="0" applyNumberFormat="1" applyFont="1" applyBorder="1" applyAlignment="1">
      <alignment horizontal="center" vertical="center" wrapText="1"/>
    </xf>
    <xf numFmtId="164" fontId="2" fillId="0" borderId="22" xfId="0" applyNumberFormat="1" applyFont="1" applyBorder="1" applyAlignment="1">
      <alignment horizontal="center" vertical="center" wrapText="1"/>
    </xf>
    <xf numFmtId="164" fontId="2" fillId="0" borderId="18" xfId="0" applyNumberFormat="1" applyFont="1" applyBorder="1" applyAlignment="1">
      <alignment horizontal="center" vertical="center" wrapText="1"/>
    </xf>
    <xf numFmtId="164" fontId="2" fillId="0" borderId="0" xfId="0" applyNumberFormat="1" applyFont="1" applyBorder="1" applyAlignment="1">
      <alignment horizontal="center" vertical="center" wrapText="1"/>
    </xf>
    <xf numFmtId="164" fontId="2" fillId="0" borderId="40" xfId="0" applyNumberFormat="1" applyFont="1" applyBorder="1" applyAlignment="1">
      <alignment horizontal="center" vertical="center" wrapText="1"/>
    </xf>
    <xf numFmtId="164" fontId="2" fillId="0" borderId="12" xfId="0" applyNumberFormat="1" applyFont="1" applyBorder="1" applyAlignment="1">
      <alignment horizontal="center" vertical="center" wrapText="1"/>
    </xf>
    <xf numFmtId="164" fontId="2" fillId="0" borderId="14" xfId="0" applyNumberFormat="1" applyFont="1" applyBorder="1" applyAlignment="1">
      <alignment horizontal="center" vertical="center"/>
    </xf>
    <xf numFmtId="164" fontId="2" fillId="0" borderId="9" xfId="0" applyNumberFormat="1" applyFont="1" applyBorder="1" applyAlignment="1">
      <alignment horizontal="center" vertical="center"/>
    </xf>
    <xf numFmtId="164" fontId="24" fillId="11" borderId="36" xfId="1" applyNumberFormat="1" applyFont="1" applyFill="1" applyBorder="1" applyAlignment="1">
      <alignment horizontal="center" vertical="center" wrapText="1"/>
    </xf>
    <xf numFmtId="164" fontId="24" fillId="11" borderId="21" xfId="1" applyNumberFormat="1" applyFont="1" applyFill="1" applyBorder="1" applyAlignment="1">
      <alignment horizontal="center" vertical="center" wrapText="1"/>
    </xf>
    <xf numFmtId="164" fontId="24" fillId="11" borderId="19" xfId="1" applyNumberFormat="1" applyFont="1" applyFill="1" applyBorder="1" applyAlignment="1">
      <alignment horizontal="center" vertical="center" wrapText="1"/>
    </xf>
    <xf numFmtId="164" fontId="33" fillId="0" borderId="22" xfId="1" applyNumberFormat="1" applyFont="1" applyBorder="1" applyAlignment="1">
      <alignment horizontal="center" vertical="center"/>
    </xf>
    <xf numFmtId="164" fontId="33" fillId="0" borderId="18" xfId="1" applyNumberFormat="1" applyFont="1" applyBorder="1" applyAlignment="1">
      <alignment horizontal="center" vertical="center"/>
    </xf>
    <xf numFmtId="164" fontId="33" fillId="0" borderId="0" xfId="1" applyNumberFormat="1" applyFont="1" applyBorder="1" applyAlignment="1">
      <alignment horizontal="center" vertical="center"/>
    </xf>
    <xf numFmtId="164" fontId="33" fillId="0" borderId="12" xfId="1" applyNumberFormat="1" applyFont="1" applyBorder="1" applyAlignment="1">
      <alignment horizontal="center" vertical="center"/>
    </xf>
    <xf numFmtId="164" fontId="58" fillId="0" borderId="23" xfId="1" applyNumberFormat="1" applyFont="1" applyBorder="1" applyAlignment="1">
      <alignment horizontal="center" vertical="center"/>
    </xf>
    <xf numFmtId="164" fontId="37" fillId="0" borderId="1" xfId="0" applyNumberFormat="1" applyFont="1" applyBorder="1" applyAlignment="1">
      <alignment horizontal="center" vertical="center"/>
    </xf>
    <xf numFmtId="2" fontId="2" fillId="0" borderId="46" xfId="0" applyNumberFormat="1" applyFont="1" applyBorder="1" applyAlignment="1">
      <alignment horizontal="center" vertical="center"/>
    </xf>
    <xf numFmtId="2" fontId="2" fillId="0" borderId="47" xfId="0" applyNumberFormat="1" applyFont="1" applyBorder="1" applyAlignment="1">
      <alignment horizontal="center" vertical="center"/>
    </xf>
    <xf numFmtId="2" fontId="2" fillId="0" borderId="48" xfId="0" applyNumberFormat="1" applyFont="1" applyBorder="1" applyAlignment="1">
      <alignment horizontal="center" vertical="center"/>
    </xf>
    <xf numFmtId="2" fontId="2" fillId="0" borderId="49" xfId="0" applyNumberFormat="1" applyFont="1" applyBorder="1" applyAlignment="1">
      <alignment horizontal="center" vertical="center"/>
    </xf>
    <xf numFmtId="166" fontId="2" fillId="0" borderId="46" xfId="0" applyNumberFormat="1" applyFont="1" applyBorder="1" applyAlignment="1">
      <alignment horizontal="center" vertical="center"/>
    </xf>
    <xf numFmtId="166" fontId="2" fillId="0" borderId="47" xfId="0" applyNumberFormat="1" applyFont="1" applyBorder="1" applyAlignment="1">
      <alignment horizontal="center" vertical="center"/>
    </xf>
    <xf numFmtId="166" fontId="2" fillId="0" borderId="48" xfId="0" applyNumberFormat="1" applyFont="1" applyBorder="1" applyAlignment="1">
      <alignment horizontal="center" vertical="center"/>
    </xf>
    <xf numFmtId="166" fontId="2" fillId="0" borderId="49" xfId="0" applyNumberFormat="1" applyFont="1" applyBorder="1" applyAlignment="1">
      <alignment horizontal="center" vertical="center"/>
    </xf>
    <xf numFmtId="164" fontId="2" fillId="0" borderId="29" xfId="0" applyNumberFormat="1" applyFont="1" applyBorder="1" applyAlignment="1">
      <alignment horizontal="center" vertical="center"/>
    </xf>
    <xf numFmtId="164" fontId="2" fillId="0" borderId="30" xfId="0" applyNumberFormat="1" applyFont="1" applyBorder="1" applyAlignment="1">
      <alignment horizontal="center" vertical="center"/>
    </xf>
    <xf numFmtId="2" fontId="58" fillId="0" borderId="23" xfId="0" applyNumberFormat="1" applyFont="1" applyBorder="1" applyAlignment="1">
      <alignment horizontal="center" vertical="center" wrapText="1"/>
    </xf>
    <xf numFmtId="2" fontId="20" fillId="0" borderId="20" xfId="0" applyNumberFormat="1" applyFont="1" applyBorder="1" applyAlignment="1">
      <alignment horizontal="center" vertical="center" wrapText="1"/>
    </xf>
    <xf numFmtId="2" fontId="20" fillId="0" borderId="40" xfId="0" applyNumberFormat="1" applyFont="1" applyBorder="1" applyAlignment="1">
      <alignment horizontal="center" vertical="center" wrapText="1"/>
    </xf>
    <xf numFmtId="2" fontId="20" fillId="0" borderId="31" xfId="0" applyNumberFormat="1" applyFont="1" applyBorder="1" applyAlignment="1">
      <alignment horizontal="center" vertical="center" wrapText="1"/>
    </xf>
    <xf numFmtId="2" fontId="58" fillId="0" borderId="23" xfId="0" applyNumberFormat="1" applyFont="1" applyBorder="1" applyAlignment="1">
      <alignment horizontal="center" vertical="center"/>
    </xf>
    <xf numFmtId="2" fontId="20" fillId="0" borderId="22" xfId="0" applyNumberFormat="1" applyFont="1" applyBorder="1" applyAlignment="1">
      <alignment horizontal="center" vertical="center"/>
    </xf>
    <xf numFmtId="2" fontId="20" fillId="0" borderId="40" xfId="0" applyNumberFormat="1" applyFont="1" applyBorder="1" applyAlignment="1">
      <alignment horizontal="center" vertical="center"/>
    </xf>
    <xf numFmtId="2" fontId="20" fillId="0" borderId="12" xfId="0" applyNumberFormat="1" applyFont="1" applyBorder="1" applyAlignment="1">
      <alignment horizontal="center" vertical="center"/>
    </xf>
    <xf numFmtId="164" fontId="33" fillId="0" borderId="18" xfId="0" applyNumberFormat="1" applyFont="1" applyBorder="1" applyAlignment="1">
      <alignment horizontal="center" vertical="center"/>
    </xf>
    <xf numFmtId="164" fontId="33" fillId="0" borderId="0" xfId="0" applyNumberFormat="1" applyFont="1" applyBorder="1" applyAlignment="1">
      <alignment horizontal="center" vertical="center"/>
    </xf>
    <xf numFmtId="164" fontId="33" fillId="0" borderId="36" xfId="0" applyNumberFormat="1" applyFont="1" applyBorder="1" applyAlignment="1">
      <alignment horizontal="center" vertical="center"/>
    </xf>
    <xf numFmtId="164" fontId="33" fillId="0" borderId="40" xfId="0" applyNumberFormat="1" applyFont="1" applyBorder="1" applyAlignment="1">
      <alignment horizontal="center" vertical="center"/>
    </xf>
    <xf numFmtId="164" fontId="33" fillId="0" borderId="12" xfId="0" applyNumberFormat="1" applyFont="1" applyBorder="1" applyAlignment="1">
      <alignment horizontal="center" vertical="center"/>
    </xf>
    <xf numFmtId="164" fontId="33" fillId="0" borderId="31" xfId="0" applyNumberFormat="1" applyFont="1" applyBorder="1" applyAlignment="1">
      <alignment horizontal="center" vertical="center"/>
    </xf>
    <xf numFmtId="1" fontId="2" fillId="2" borderId="13" xfId="0" applyNumberFormat="1" applyFont="1" applyFill="1" applyBorder="1" applyAlignment="1">
      <alignment horizontal="center" vertical="center"/>
    </xf>
    <xf numFmtId="1" fontId="2" fillId="2" borderId="11" xfId="0" applyNumberFormat="1" applyFont="1" applyFill="1" applyBorder="1" applyAlignment="1">
      <alignment horizontal="center" vertical="center"/>
    </xf>
    <xf numFmtId="1" fontId="2" fillId="2" borderId="8" xfId="0" applyNumberFormat="1" applyFont="1" applyFill="1" applyBorder="1" applyAlignment="1">
      <alignment horizontal="center" vertical="center"/>
    </xf>
    <xf numFmtId="1" fontId="2" fillId="2" borderId="15" xfId="0" applyNumberFormat="1" applyFont="1" applyFill="1" applyBorder="1" applyAlignment="1">
      <alignment horizontal="center" vertical="center"/>
    </xf>
    <xf numFmtId="1" fontId="2" fillId="2" borderId="12" xfId="0" applyNumberFormat="1" applyFont="1" applyFill="1" applyBorder="1" applyAlignment="1">
      <alignment horizontal="center" vertical="center"/>
    </xf>
    <xf numFmtId="1" fontId="2" fillId="2" borderId="10" xfId="0" applyNumberFormat="1" applyFont="1" applyFill="1" applyBorder="1" applyAlignment="1">
      <alignment horizontal="center" vertical="center"/>
    </xf>
    <xf numFmtId="164" fontId="39" fillId="10" borderId="53" xfId="1" applyNumberFormat="1" applyFont="1" applyFill="1" applyBorder="1" applyAlignment="1">
      <alignment horizontal="center" vertical="center" wrapText="1"/>
    </xf>
    <xf numFmtId="164" fontId="39" fillId="10" borderId="43" xfId="1" applyNumberFormat="1" applyFont="1" applyFill="1" applyBorder="1" applyAlignment="1">
      <alignment horizontal="center" vertical="center" wrapText="1"/>
    </xf>
    <xf numFmtId="164" fontId="39" fillId="10" borderId="33" xfId="1" applyNumberFormat="1" applyFont="1" applyFill="1" applyBorder="1" applyAlignment="1">
      <alignment horizontal="center" vertical="center" wrapText="1"/>
    </xf>
    <xf numFmtId="164" fontId="33" fillId="0" borderId="36" xfId="1" applyNumberFormat="1" applyFont="1" applyBorder="1" applyAlignment="1">
      <alignment horizontal="center" vertical="center"/>
    </xf>
    <xf numFmtId="164" fontId="2" fillId="2" borderId="1" xfId="0" applyNumberFormat="1" applyFont="1" applyFill="1" applyBorder="1" applyAlignment="1">
      <alignment horizontal="center" vertical="center"/>
    </xf>
    <xf numFmtId="164" fontId="2" fillId="2" borderId="1" xfId="0" applyNumberFormat="1" applyFont="1" applyFill="1" applyBorder="1" applyAlignment="1">
      <alignment horizontal="center"/>
    </xf>
    <xf numFmtId="2" fontId="2" fillId="0" borderId="23" xfId="0" applyNumberFormat="1" applyFont="1" applyBorder="1" applyAlignment="1">
      <alignment horizontal="center" vertical="center"/>
    </xf>
    <xf numFmtId="2" fontId="2" fillId="0" borderId="22" xfId="0" applyNumberFormat="1" applyFont="1" applyBorder="1" applyAlignment="1">
      <alignment horizontal="center" vertical="center"/>
    </xf>
    <xf numFmtId="2" fontId="2" fillId="0" borderId="32" xfId="0" applyNumberFormat="1" applyFont="1" applyBorder="1" applyAlignment="1">
      <alignment horizontal="center" vertical="center"/>
    </xf>
    <xf numFmtId="2" fontId="2" fillId="0" borderId="40" xfId="0" applyNumberFormat="1" applyFont="1" applyBorder="1" applyAlignment="1">
      <alignment horizontal="center" vertical="center"/>
    </xf>
    <xf numFmtId="2" fontId="2" fillId="0" borderId="12" xfId="0" applyNumberFormat="1" applyFont="1" applyBorder="1" applyAlignment="1">
      <alignment horizontal="center" vertical="center"/>
    </xf>
    <xf numFmtId="1" fontId="33" fillId="0" borderId="13" xfId="0" applyNumberFormat="1" applyFont="1" applyBorder="1" applyAlignment="1">
      <alignment horizontal="center" vertical="center" wrapText="1"/>
    </xf>
    <xf numFmtId="1" fontId="33" fillId="0" borderId="8" xfId="0" applyNumberFormat="1" applyFont="1" applyBorder="1" applyAlignment="1">
      <alignment horizontal="center" vertical="center" wrapText="1"/>
    </xf>
    <xf numFmtId="1" fontId="33" fillId="0" borderId="15" xfId="0" applyNumberFormat="1" applyFont="1" applyBorder="1" applyAlignment="1">
      <alignment horizontal="center" vertical="center" wrapText="1"/>
    </xf>
    <xf numFmtId="1" fontId="33" fillId="0" borderId="10" xfId="0" applyNumberFormat="1" applyFont="1" applyBorder="1" applyAlignment="1">
      <alignment horizontal="center" vertical="center" wrapText="1"/>
    </xf>
    <xf numFmtId="2" fontId="2" fillId="0" borderId="23" xfId="0" applyNumberFormat="1" applyFont="1" applyBorder="1" applyAlignment="1">
      <alignment horizontal="center" vertical="center" wrapText="1"/>
    </xf>
    <xf numFmtId="164" fontId="24" fillId="11" borderId="30" xfId="1" applyNumberFormat="1" applyFont="1" applyFill="1" applyBorder="1" applyAlignment="1">
      <alignment horizontal="center" vertical="center" wrapText="1"/>
    </xf>
    <xf numFmtId="164" fontId="24" fillId="11" borderId="33" xfId="1" applyNumberFormat="1" applyFont="1" applyFill="1" applyBorder="1" applyAlignment="1">
      <alignment horizontal="center" vertical="center" wrapText="1"/>
    </xf>
    <xf numFmtId="164" fontId="24" fillId="11" borderId="1" xfId="1" applyNumberFormat="1" applyFont="1" applyFill="1" applyBorder="1" applyAlignment="1">
      <alignment horizontal="center" vertical="center" wrapText="1"/>
    </xf>
    <xf numFmtId="164" fontId="24" fillId="11" borderId="24" xfId="1" applyNumberFormat="1" applyFont="1" applyFill="1" applyBorder="1" applyAlignment="1">
      <alignment horizontal="center" vertical="center" wrapText="1"/>
    </xf>
    <xf numFmtId="164" fontId="58" fillId="0" borderId="1" xfId="1" applyNumberFormat="1" applyFont="1" applyBorder="1" applyAlignment="1">
      <alignment horizontal="center" vertical="center"/>
    </xf>
    <xf numFmtId="164" fontId="58" fillId="0" borderId="24" xfId="1" applyNumberFormat="1" applyFont="1" applyBorder="1" applyAlignment="1">
      <alignment horizontal="center" vertical="center"/>
    </xf>
    <xf numFmtId="164" fontId="20" fillId="0" borderId="23" xfId="1" applyNumberFormat="1" applyFont="1" applyBorder="1" applyAlignment="1">
      <alignment horizontal="center" vertical="center"/>
    </xf>
    <xf numFmtId="164" fontId="58" fillId="0" borderId="20" xfId="1" applyNumberFormat="1" applyFont="1" applyBorder="1" applyAlignment="1">
      <alignment horizontal="center" vertical="center"/>
    </xf>
    <xf numFmtId="164" fontId="58" fillId="0" borderId="40" xfId="1" applyNumberFormat="1" applyFont="1" applyBorder="1" applyAlignment="1">
      <alignment horizontal="center" vertical="center"/>
    </xf>
    <xf numFmtId="164" fontId="58" fillId="0" borderId="31" xfId="1" applyNumberFormat="1" applyFont="1" applyBorder="1" applyAlignment="1">
      <alignment horizontal="center" vertical="center"/>
    </xf>
    <xf numFmtId="164" fontId="2" fillId="2" borderId="14" xfId="0" applyNumberFormat="1" applyFont="1" applyFill="1" applyBorder="1" applyAlignment="1">
      <alignment horizontal="center" vertical="center"/>
    </xf>
    <xf numFmtId="164" fontId="2" fillId="2" borderId="9" xfId="0" applyNumberFormat="1" applyFont="1" applyFill="1" applyBorder="1" applyAlignment="1">
      <alignment horizontal="center" vertical="center"/>
    </xf>
    <xf numFmtId="1" fontId="19" fillId="0" borderId="46" xfId="0" applyNumberFormat="1" applyFont="1" applyBorder="1" applyAlignment="1">
      <alignment horizontal="center" vertical="center" wrapText="1"/>
    </xf>
    <xf numFmtId="1" fontId="19" fillId="0" borderId="47" xfId="0" applyNumberFormat="1" applyFont="1" applyBorder="1" applyAlignment="1">
      <alignment horizontal="center" vertical="center" wrapText="1"/>
    </xf>
    <xf numFmtId="1" fontId="19" fillId="0" borderId="48" xfId="0" applyNumberFormat="1" applyFont="1" applyBorder="1" applyAlignment="1">
      <alignment horizontal="center" vertical="center" wrapText="1"/>
    </xf>
    <xf numFmtId="1" fontId="19" fillId="0" borderId="49" xfId="0" applyNumberFormat="1" applyFont="1" applyBorder="1" applyAlignment="1">
      <alignment horizontal="center" vertical="center" wrapText="1"/>
    </xf>
    <xf numFmtId="2" fontId="2" fillId="0" borderId="13" xfId="0" applyNumberFormat="1" applyFont="1" applyBorder="1" applyAlignment="1">
      <alignment horizontal="center" vertical="center" wrapText="1"/>
    </xf>
    <xf numFmtId="2" fontId="2" fillId="0" borderId="11" xfId="0" applyNumberFormat="1" applyFont="1" applyBorder="1" applyAlignment="1">
      <alignment horizontal="center" vertical="center" wrapText="1"/>
    </xf>
    <xf numFmtId="2" fontId="2" fillId="0" borderId="8" xfId="0" applyNumberFormat="1" applyFont="1" applyBorder="1" applyAlignment="1">
      <alignment horizontal="center" vertical="center" wrapText="1"/>
    </xf>
    <xf numFmtId="2" fontId="2" fillId="0" borderId="15" xfId="0" applyNumberFormat="1" applyFont="1" applyBorder="1" applyAlignment="1">
      <alignment horizontal="center" vertical="center" wrapText="1"/>
    </xf>
    <xf numFmtId="2" fontId="2" fillId="0" borderId="12" xfId="0" applyNumberFormat="1" applyFont="1" applyBorder="1" applyAlignment="1">
      <alignment horizontal="center" vertical="center" wrapText="1"/>
    </xf>
    <xf numFmtId="2" fontId="2" fillId="0" borderId="10" xfId="0" applyNumberFormat="1" applyFont="1" applyBorder="1" applyAlignment="1">
      <alignment horizontal="center" vertical="center" wrapText="1"/>
    </xf>
    <xf numFmtId="49" fontId="2" fillId="0" borderId="41" xfId="0" applyNumberFormat="1" applyFont="1" applyBorder="1" applyAlignment="1">
      <alignment horizontal="center" vertical="center"/>
    </xf>
    <xf numFmtId="49" fontId="2" fillId="0" borderId="30" xfId="0" applyNumberFormat="1" applyFont="1" applyBorder="1" applyAlignment="1">
      <alignment horizontal="center" vertical="center"/>
    </xf>
    <xf numFmtId="164" fontId="54" fillId="8" borderId="2" xfId="1" applyNumberFormat="1" applyFont="1" applyFill="1" applyBorder="1" applyAlignment="1">
      <alignment horizontal="center" vertical="center" textRotation="90" wrapText="1"/>
    </xf>
    <xf numFmtId="164" fontId="54" fillId="8" borderId="21" xfId="1" applyNumberFormat="1" applyFont="1" applyFill="1" applyBorder="1" applyAlignment="1">
      <alignment horizontal="center" vertical="center" textRotation="90" wrapText="1"/>
    </xf>
    <xf numFmtId="164" fontId="54" fillId="8" borderId="19" xfId="1" applyNumberFormat="1" applyFont="1" applyFill="1" applyBorder="1" applyAlignment="1">
      <alignment horizontal="center" vertical="center" textRotation="90" wrapText="1"/>
    </xf>
    <xf numFmtId="2" fontId="2" fillId="0" borderId="0" xfId="0" applyNumberFormat="1" applyFont="1" applyBorder="1" applyAlignment="1">
      <alignment horizontal="center" vertical="center"/>
    </xf>
    <xf numFmtId="164" fontId="20" fillId="0" borderId="20" xfId="1" applyNumberFormat="1" applyFont="1" applyBorder="1" applyAlignment="1">
      <alignment horizontal="center" vertical="center"/>
    </xf>
    <xf numFmtId="164" fontId="20" fillId="0" borderId="40" xfId="1" applyNumberFormat="1" applyFont="1" applyBorder="1" applyAlignment="1">
      <alignment horizontal="center" vertical="center"/>
    </xf>
    <xf numFmtId="164" fontId="20" fillId="0" borderId="31" xfId="1" applyNumberFormat="1" applyFont="1" applyBorder="1" applyAlignment="1">
      <alignment horizontal="center" vertical="center"/>
    </xf>
    <xf numFmtId="164" fontId="56" fillId="8" borderId="37" xfId="1" applyNumberFormat="1" applyFont="1" applyFill="1" applyBorder="1" applyAlignment="1">
      <alignment horizontal="center" vertical="center" wrapText="1"/>
    </xf>
    <xf numFmtId="164" fontId="56" fillId="8" borderId="38" xfId="1" applyNumberFormat="1" applyFont="1" applyFill="1" applyBorder="1" applyAlignment="1">
      <alignment horizontal="center" vertical="center" wrapText="1"/>
    </xf>
    <xf numFmtId="164" fontId="56" fillId="8" borderId="39" xfId="1" applyNumberFormat="1" applyFont="1" applyFill="1" applyBorder="1" applyAlignment="1">
      <alignment horizontal="center" vertical="center" wrapText="1"/>
    </xf>
    <xf numFmtId="164" fontId="34" fillId="0" borderId="22" xfId="1" applyNumberFormat="1" applyFont="1" applyBorder="1" applyAlignment="1">
      <alignment horizontal="center" vertical="center"/>
    </xf>
    <xf numFmtId="164" fontId="34" fillId="0" borderId="12" xfId="1" applyNumberFormat="1" applyFont="1" applyBorder="1" applyAlignment="1">
      <alignment horizontal="center" vertical="center"/>
    </xf>
    <xf numFmtId="164" fontId="2" fillId="0" borderId="23" xfId="0" applyNumberFormat="1" applyFont="1" applyFill="1" applyBorder="1" applyAlignment="1">
      <alignment horizontal="center" vertical="center"/>
    </xf>
    <xf numFmtId="164" fontId="2" fillId="0" borderId="22" xfId="0" applyNumberFormat="1" applyFont="1" applyFill="1" applyBorder="1" applyAlignment="1">
      <alignment horizontal="center" vertical="center"/>
    </xf>
    <xf numFmtId="164" fontId="2" fillId="0" borderId="32" xfId="0" applyNumberFormat="1" applyFont="1" applyFill="1" applyBorder="1" applyAlignment="1">
      <alignment horizontal="center" vertical="center"/>
    </xf>
    <xf numFmtId="164" fontId="2" fillId="0" borderId="40" xfId="0" applyNumberFormat="1" applyFont="1" applyFill="1" applyBorder="1" applyAlignment="1">
      <alignment horizontal="center" vertical="center"/>
    </xf>
    <xf numFmtId="164" fontId="2" fillId="0" borderId="12" xfId="0" applyNumberFormat="1" applyFont="1" applyFill="1" applyBorder="1" applyAlignment="1">
      <alignment horizontal="center" vertical="center"/>
    </xf>
    <xf numFmtId="164" fontId="2" fillId="0" borderId="10" xfId="0" applyNumberFormat="1" applyFont="1" applyFill="1" applyBorder="1" applyAlignment="1">
      <alignment horizontal="center" vertical="center"/>
    </xf>
    <xf numFmtId="164" fontId="33" fillId="0" borderId="23" xfId="1" applyNumberFormat="1" applyFont="1" applyBorder="1" applyAlignment="1">
      <alignment horizontal="left" vertical="center"/>
    </xf>
    <xf numFmtId="164" fontId="33" fillId="0" borderId="20" xfId="1" applyNumberFormat="1" applyFont="1" applyBorder="1" applyAlignment="1">
      <alignment horizontal="left" vertical="center"/>
    </xf>
    <xf numFmtId="164" fontId="33" fillId="0" borderId="40" xfId="1" applyNumberFormat="1" applyFont="1" applyBorder="1" applyAlignment="1">
      <alignment horizontal="left" vertical="center"/>
    </xf>
    <xf numFmtId="164" fontId="33" fillId="0" borderId="31" xfId="1" applyNumberFormat="1" applyFont="1" applyBorder="1" applyAlignment="1">
      <alignment horizontal="left" vertical="center"/>
    </xf>
    <xf numFmtId="164" fontId="49" fillId="8" borderId="41" xfId="1" applyNumberFormat="1" applyFont="1" applyFill="1" applyBorder="1" applyAlignment="1">
      <alignment horizontal="center" vertical="center" wrapText="1"/>
    </xf>
    <xf numFmtId="164" fontId="49" fillId="8" borderId="30" xfId="1" applyNumberFormat="1" applyFont="1" applyFill="1" applyBorder="1" applyAlignment="1">
      <alignment horizontal="center" vertical="center" wrapText="1"/>
    </xf>
    <xf numFmtId="49" fontId="2" fillId="0" borderId="1" xfId="0" applyNumberFormat="1" applyFont="1" applyBorder="1" applyAlignment="1">
      <alignment horizontal="center" vertical="center"/>
    </xf>
    <xf numFmtId="2" fontId="2" fillId="0" borderId="22" xfId="0" applyNumberFormat="1" applyFont="1" applyBorder="1" applyAlignment="1">
      <alignment horizontal="center" vertical="center" wrapText="1"/>
    </xf>
    <xf numFmtId="2" fontId="2" fillId="0" borderId="20" xfId="0" applyNumberFormat="1" applyFont="1" applyBorder="1" applyAlignment="1">
      <alignment horizontal="center" vertical="center" wrapText="1"/>
    </xf>
    <xf numFmtId="2" fontId="2" fillId="0" borderId="40" xfId="0" applyNumberFormat="1" applyFont="1" applyBorder="1" applyAlignment="1">
      <alignment horizontal="center" vertical="center" wrapText="1"/>
    </xf>
    <xf numFmtId="2" fontId="2" fillId="0" borderId="31" xfId="0" applyNumberFormat="1" applyFont="1" applyBorder="1" applyAlignment="1">
      <alignment horizontal="center" vertical="center" wrapText="1"/>
    </xf>
    <xf numFmtId="164" fontId="2" fillId="2" borderId="0" xfId="0" applyNumberFormat="1" applyFont="1" applyFill="1" applyBorder="1" applyAlignment="1">
      <alignment horizontal="center" vertical="center"/>
    </xf>
    <xf numFmtId="164" fontId="2" fillId="2" borderId="12" xfId="0" applyNumberFormat="1" applyFont="1" applyFill="1" applyBorder="1" applyAlignment="1">
      <alignment horizontal="center" vertical="center"/>
    </xf>
    <xf numFmtId="1" fontId="27" fillId="0" borderId="13" xfId="0" applyNumberFormat="1" applyFont="1" applyBorder="1" applyAlignment="1">
      <alignment horizontal="center" vertical="center" wrapText="1"/>
    </xf>
    <xf numFmtId="1" fontId="27" fillId="0" borderId="8" xfId="0" applyNumberFormat="1" applyFont="1" applyBorder="1" applyAlignment="1">
      <alignment horizontal="center" vertical="center" wrapText="1"/>
    </xf>
    <xf numFmtId="1" fontId="27" fillId="0" borderId="15" xfId="0" applyNumberFormat="1" applyFont="1" applyBorder="1" applyAlignment="1">
      <alignment horizontal="center" vertical="center" wrapText="1"/>
    </xf>
    <xf numFmtId="1" fontId="27" fillId="0" borderId="10" xfId="0" applyNumberFormat="1" applyFont="1" applyBorder="1" applyAlignment="1">
      <alignment horizontal="center" vertical="center" wrapText="1"/>
    </xf>
    <xf numFmtId="166" fontId="2" fillId="0" borderId="1" xfId="0" applyNumberFormat="1" applyFont="1" applyBorder="1" applyAlignment="1">
      <alignment horizontal="center" vertical="center"/>
    </xf>
    <xf numFmtId="1" fontId="20" fillId="0" borderId="14" xfId="0" applyNumberFormat="1" applyFont="1" applyBorder="1" applyAlignment="1">
      <alignment horizontal="center" vertical="center" wrapText="1"/>
    </xf>
    <xf numFmtId="1" fontId="20" fillId="0" borderId="9" xfId="0" applyNumberFormat="1" applyFont="1" applyBorder="1" applyAlignment="1">
      <alignment horizontal="center" vertical="center" wrapText="1"/>
    </xf>
    <xf numFmtId="167" fontId="2" fillId="0" borderId="13" xfId="0" applyNumberFormat="1" applyFont="1" applyBorder="1" applyAlignment="1">
      <alignment horizontal="center" vertical="center" wrapText="1"/>
    </xf>
    <xf numFmtId="167" fontId="2" fillId="0" borderId="8" xfId="0" applyNumberFormat="1" applyFont="1" applyBorder="1" applyAlignment="1">
      <alignment horizontal="center" vertical="center" wrapText="1"/>
    </xf>
    <xf numFmtId="167" fontId="2" fillId="0" borderId="15" xfId="0" applyNumberFormat="1" applyFont="1" applyBorder="1" applyAlignment="1">
      <alignment horizontal="center" vertical="center" wrapText="1"/>
    </xf>
    <xf numFmtId="167" fontId="2" fillId="0" borderId="10" xfId="0" applyNumberFormat="1" applyFont="1" applyBorder="1" applyAlignment="1">
      <alignment horizontal="center" vertical="center" wrapText="1"/>
    </xf>
    <xf numFmtId="1" fontId="2" fillId="0" borderId="13" xfId="0" applyNumberFormat="1" applyFont="1" applyBorder="1" applyAlignment="1">
      <alignment horizontal="center" vertical="center" wrapText="1"/>
    </xf>
    <xf numFmtId="1" fontId="2" fillId="0" borderId="8" xfId="0" applyNumberFormat="1" applyFont="1" applyBorder="1" applyAlignment="1">
      <alignment horizontal="center" vertical="center" wrapText="1"/>
    </xf>
    <xf numFmtId="1" fontId="2" fillId="0" borderId="15" xfId="0" applyNumberFormat="1" applyFont="1" applyBorder="1" applyAlignment="1">
      <alignment horizontal="center" vertical="center" wrapText="1"/>
    </xf>
    <xf numFmtId="1" fontId="2" fillId="0" borderId="10" xfId="0" applyNumberFormat="1" applyFont="1" applyBorder="1" applyAlignment="1">
      <alignment horizontal="center" vertical="center" wrapText="1"/>
    </xf>
    <xf numFmtId="164" fontId="2" fillId="2" borderId="1" xfId="0" applyNumberFormat="1" applyFont="1" applyFill="1" applyBorder="1" applyAlignment="1">
      <alignment horizontal="center" vertical="center" wrapText="1"/>
    </xf>
    <xf numFmtId="1" fontId="2" fillId="2" borderId="1" xfId="0" applyNumberFormat="1" applyFont="1" applyFill="1" applyBorder="1" applyAlignment="1">
      <alignment horizontal="center" vertical="center"/>
    </xf>
    <xf numFmtId="1" fontId="2" fillId="0" borderId="1" xfId="0" applyNumberFormat="1" applyFont="1" applyFill="1" applyBorder="1" applyAlignment="1">
      <alignment horizontal="center" vertical="center"/>
    </xf>
    <xf numFmtId="164" fontId="25" fillId="8" borderId="1" xfId="1" applyNumberFormat="1" applyFont="1" applyFill="1" applyBorder="1" applyAlignment="1">
      <alignment horizontal="center" vertical="center" wrapText="1"/>
    </xf>
    <xf numFmtId="2" fontId="2" fillId="0" borderId="32" xfId="0" applyNumberFormat="1" applyFont="1" applyBorder="1" applyAlignment="1">
      <alignment horizontal="center" vertical="center" wrapText="1"/>
    </xf>
    <xf numFmtId="2" fontId="2" fillId="0" borderId="18" xfId="0" applyNumberFormat="1" applyFont="1" applyBorder="1" applyAlignment="1">
      <alignment horizontal="center" vertical="center" wrapText="1"/>
    </xf>
    <xf numFmtId="2" fontId="2" fillId="0" borderId="0" xfId="0" applyNumberFormat="1" applyFont="1" applyBorder="1" applyAlignment="1">
      <alignment horizontal="center" vertical="center" wrapText="1"/>
    </xf>
    <xf numFmtId="2" fontId="2" fillId="0" borderId="9" xfId="0" applyNumberFormat="1" applyFont="1" applyBorder="1" applyAlignment="1">
      <alignment horizontal="center" vertical="center" wrapText="1"/>
    </xf>
    <xf numFmtId="164" fontId="39" fillId="10" borderId="14" xfId="1" applyNumberFormat="1" applyFont="1" applyFill="1" applyBorder="1" applyAlignment="1">
      <alignment horizontal="center" vertical="center" wrapText="1"/>
    </xf>
    <xf numFmtId="164" fontId="39" fillId="10" borderId="0" xfId="1" applyNumberFormat="1" applyFont="1" applyFill="1" applyBorder="1" applyAlignment="1">
      <alignment horizontal="center" vertical="center" wrapText="1"/>
    </xf>
    <xf numFmtId="168" fontId="2" fillId="0" borderId="13" xfId="0" applyNumberFormat="1" applyFont="1" applyBorder="1" applyAlignment="1">
      <alignment horizontal="center" vertical="center" wrapText="1"/>
    </xf>
    <xf numFmtId="168" fontId="2" fillId="0" borderId="8" xfId="0" applyNumberFormat="1" applyFont="1" applyBorder="1" applyAlignment="1">
      <alignment horizontal="center" vertical="center" wrapText="1"/>
    </xf>
    <xf numFmtId="168" fontId="2" fillId="0" borderId="15" xfId="0" applyNumberFormat="1" applyFont="1" applyBorder="1" applyAlignment="1">
      <alignment horizontal="center" vertical="center" wrapText="1"/>
    </xf>
    <xf numFmtId="168" fontId="2" fillId="0" borderId="10" xfId="0" applyNumberFormat="1" applyFont="1" applyBorder="1" applyAlignment="1">
      <alignment horizontal="center" vertical="center" wrapText="1"/>
    </xf>
    <xf numFmtId="166" fontId="2" fillId="2" borderId="13" xfId="0" applyNumberFormat="1" applyFont="1" applyFill="1" applyBorder="1" applyAlignment="1">
      <alignment horizontal="center" vertical="center"/>
    </xf>
    <xf numFmtId="166" fontId="2" fillId="2" borderId="8" xfId="0" applyNumberFormat="1" applyFont="1" applyFill="1" applyBorder="1" applyAlignment="1">
      <alignment horizontal="center" vertical="center"/>
    </xf>
    <xf numFmtId="166" fontId="2" fillId="2" borderId="15" xfId="0" applyNumberFormat="1" applyFont="1" applyFill="1" applyBorder="1" applyAlignment="1">
      <alignment horizontal="center" vertical="center"/>
    </xf>
    <xf numFmtId="166" fontId="2" fillId="2" borderId="10" xfId="0" applyNumberFormat="1" applyFont="1" applyFill="1" applyBorder="1" applyAlignment="1">
      <alignment horizontal="center" vertical="center"/>
    </xf>
    <xf numFmtId="1" fontId="19" fillId="0" borderId="13" xfId="0" applyNumberFormat="1" applyFont="1" applyBorder="1" applyAlignment="1">
      <alignment horizontal="center" vertical="center" wrapText="1"/>
    </xf>
    <xf numFmtId="1" fontId="19" fillId="0" borderId="8" xfId="0" applyNumberFormat="1" applyFont="1" applyBorder="1" applyAlignment="1">
      <alignment horizontal="center" vertical="center" wrapText="1"/>
    </xf>
    <xf numFmtId="1" fontId="19" fillId="0" borderId="15" xfId="0" applyNumberFormat="1" applyFont="1" applyBorder="1" applyAlignment="1">
      <alignment horizontal="center" vertical="center" wrapText="1"/>
    </xf>
    <xf numFmtId="1" fontId="19" fillId="0" borderId="10" xfId="0" applyNumberFormat="1" applyFont="1" applyBorder="1" applyAlignment="1">
      <alignment horizontal="center" vertical="center" wrapText="1"/>
    </xf>
    <xf numFmtId="168" fontId="2" fillId="0" borderId="13" xfId="0" applyNumberFormat="1" applyFont="1" applyBorder="1" applyAlignment="1">
      <alignment horizontal="center" vertical="center"/>
    </xf>
    <xf numFmtId="168" fontId="2" fillId="0" borderId="8" xfId="0" applyNumberFormat="1" applyFont="1" applyBorder="1" applyAlignment="1">
      <alignment horizontal="center" vertical="center"/>
    </xf>
    <xf numFmtId="168" fontId="2" fillId="0" borderId="15" xfId="0" applyNumberFormat="1" applyFont="1" applyBorder="1" applyAlignment="1">
      <alignment horizontal="center" vertical="center"/>
    </xf>
    <xf numFmtId="168" fontId="2" fillId="0" borderId="10" xfId="0" applyNumberFormat="1" applyFont="1" applyBorder="1" applyAlignment="1">
      <alignment horizontal="center" vertical="center"/>
    </xf>
    <xf numFmtId="1" fontId="52" fillId="0" borderId="13" xfId="0" applyNumberFormat="1" applyFont="1" applyBorder="1" applyAlignment="1">
      <alignment horizontal="center" vertical="center" wrapText="1"/>
    </xf>
    <xf numFmtId="1" fontId="52" fillId="0" borderId="11" xfId="0" applyNumberFormat="1" applyFont="1" applyBorder="1" applyAlignment="1">
      <alignment horizontal="center" vertical="center" wrapText="1"/>
    </xf>
    <xf numFmtId="1" fontId="52" fillId="0" borderId="8" xfId="0" applyNumberFormat="1" applyFont="1" applyBorder="1" applyAlignment="1">
      <alignment horizontal="center" vertical="center" wrapText="1"/>
    </xf>
    <xf numFmtId="1" fontId="52" fillId="0" borderId="15" xfId="0" applyNumberFormat="1" applyFont="1" applyBorder="1" applyAlignment="1">
      <alignment horizontal="center" vertical="center" wrapText="1"/>
    </xf>
    <xf numFmtId="1" fontId="52" fillId="0" borderId="12" xfId="0" applyNumberFormat="1" applyFont="1" applyBorder="1" applyAlignment="1">
      <alignment horizontal="center" vertical="center" wrapText="1"/>
    </xf>
    <xf numFmtId="1" fontId="52" fillId="0" borderId="10" xfId="0" applyNumberFormat="1" applyFont="1" applyBorder="1" applyAlignment="1">
      <alignment horizontal="center" vertical="center" wrapText="1"/>
    </xf>
    <xf numFmtId="164" fontId="39" fillId="14" borderId="2" xfId="1" applyNumberFormat="1" applyFont="1" applyFill="1" applyBorder="1" applyAlignment="1">
      <alignment horizontal="center" vertical="center" wrapText="1"/>
    </xf>
    <xf numFmtId="164" fontId="55" fillId="0" borderId="23" xfId="1" applyNumberFormat="1" applyFont="1" applyBorder="1" applyAlignment="1">
      <alignment horizontal="center" vertical="center"/>
    </xf>
    <xf numFmtId="164" fontId="55" fillId="0" borderId="20" xfId="1" applyNumberFormat="1" applyFont="1" applyBorder="1" applyAlignment="1">
      <alignment horizontal="center" vertical="center"/>
    </xf>
    <xf numFmtId="164" fontId="55" fillId="0" borderId="40" xfId="1" applyNumberFormat="1" applyFont="1" applyBorder="1" applyAlignment="1">
      <alignment horizontal="center" vertical="center"/>
    </xf>
    <xf numFmtId="164" fontId="55" fillId="0" borderId="31" xfId="1" applyNumberFormat="1" applyFont="1" applyBorder="1" applyAlignment="1">
      <alignment horizontal="center" vertical="center"/>
    </xf>
    <xf numFmtId="164" fontId="57" fillId="0" borderId="23" xfId="1" applyNumberFormat="1" applyFont="1" applyBorder="1" applyAlignment="1">
      <alignment horizontal="center" vertical="center"/>
    </xf>
    <xf numFmtId="164" fontId="57" fillId="0" borderId="20" xfId="1" applyNumberFormat="1" applyFont="1" applyBorder="1" applyAlignment="1">
      <alignment horizontal="center" vertical="center"/>
    </xf>
    <xf numFmtId="164" fontId="57" fillId="0" borderId="40" xfId="1" applyNumberFormat="1" applyFont="1" applyBorder="1" applyAlignment="1">
      <alignment horizontal="center" vertical="center"/>
    </xf>
    <xf numFmtId="164" fontId="57" fillId="0" borderId="31" xfId="1" applyNumberFormat="1" applyFont="1" applyBorder="1" applyAlignment="1">
      <alignment horizontal="center" vertical="center"/>
    </xf>
    <xf numFmtId="164" fontId="1" fillId="0" borderId="41" xfId="0" applyNumberFormat="1" applyFont="1" applyBorder="1" applyAlignment="1">
      <alignment horizontal="center"/>
    </xf>
    <xf numFmtId="164" fontId="1" fillId="0" borderId="30" xfId="0" applyNumberFormat="1" applyFont="1" applyBorder="1" applyAlignment="1">
      <alignment horizontal="center"/>
    </xf>
    <xf numFmtId="164" fontId="54" fillId="8" borderId="34" xfId="1" applyNumberFormat="1" applyFont="1" applyFill="1" applyBorder="1" applyAlignment="1">
      <alignment horizontal="center" vertical="center" textRotation="90" wrapText="1"/>
    </xf>
    <xf numFmtId="164" fontId="39" fillId="12" borderId="0" xfId="1" applyNumberFormat="1" applyFont="1" applyFill="1" applyBorder="1" applyAlignment="1">
      <alignment horizontal="center" vertical="center" wrapText="1"/>
    </xf>
    <xf numFmtId="164" fontId="39" fillId="12" borderId="38" xfId="1" applyNumberFormat="1" applyFont="1" applyFill="1" applyBorder="1" applyAlignment="1">
      <alignment horizontal="center" vertical="center" wrapText="1"/>
    </xf>
    <xf numFmtId="0" fontId="6" fillId="0" borderId="17" xfId="0" applyFont="1" applyBorder="1" applyAlignment="1">
      <alignment horizontal="center" wrapText="1"/>
    </xf>
    <xf numFmtId="0" fontId="6" fillId="0" borderId="16" xfId="0" applyFont="1" applyBorder="1" applyAlignment="1">
      <alignment horizontal="center" wrapText="1"/>
    </xf>
    <xf numFmtId="0" fontId="6" fillId="0" borderId="7" xfId="0" applyFont="1" applyBorder="1" applyAlignment="1">
      <alignment horizontal="center" wrapText="1"/>
    </xf>
    <xf numFmtId="0" fontId="6" fillId="0" borderId="4" xfId="0" applyFont="1" applyBorder="1" applyAlignment="1">
      <alignment horizontal="center" wrapText="1"/>
    </xf>
    <xf numFmtId="0" fontId="6" fillId="0" borderId="6" xfId="0" applyFont="1" applyBorder="1" applyAlignment="1">
      <alignment horizontal="center" wrapText="1"/>
    </xf>
    <xf numFmtId="0" fontId="6" fillId="0" borderId="5" xfId="0" applyFont="1" applyBorder="1" applyAlignment="1">
      <alignment horizontal="center" wrapText="1"/>
    </xf>
    <xf numFmtId="49" fontId="1" fillId="0" borderId="4" xfId="0" applyNumberFormat="1" applyFont="1" applyBorder="1" applyAlignment="1">
      <alignment horizontal="center" vertical="center" wrapText="1"/>
    </xf>
    <xf numFmtId="49" fontId="1" fillId="0" borderId="5" xfId="0" applyNumberFormat="1" applyFont="1" applyBorder="1" applyAlignment="1">
      <alignment horizontal="center" vertical="center" wrapText="1"/>
    </xf>
    <xf numFmtId="49" fontId="1" fillId="0" borderId="6" xfId="0" applyNumberFormat="1" applyFont="1" applyBorder="1" applyAlignment="1">
      <alignment horizontal="center" vertical="center" wrapText="1"/>
    </xf>
    <xf numFmtId="0" fontId="12" fillId="4" borderId="4" xfId="0" applyFont="1" applyFill="1" applyBorder="1" applyAlignment="1">
      <alignment vertical="top" wrapText="1"/>
    </xf>
    <xf numFmtId="0" fontId="12" fillId="4" borderId="6" xfId="0" applyFont="1" applyFill="1" applyBorder="1" applyAlignment="1">
      <alignment vertical="top" wrapText="1"/>
    </xf>
    <xf numFmtId="0" fontId="12" fillId="4" borderId="4" xfId="0" applyFont="1" applyFill="1" applyBorder="1" applyAlignment="1">
      <alignment horizontal="center" vertical="top" wrapText="1"/>
    </xf>
    <xf numFmtId="0" fontId="12" fillId="4" borderId="6" xfId="0" applyFont="1" applyFill="1" applyBorder="1" applyAlignment="1">
      <alignment horizontal="center" vertical="top" wrapText="1"/>
    </xf>
    <xf numFmtId="0" fontId="12" fillId="4" borderId="5" xfId="0" applyFont="1" applyFill="1" applyBorder="1" applyAlignment="1">
      <alignment vertical="top" wrapText="1"/>
    </xf>
    <xf numFmtId="0" fontId="12" fillId="4" borderId="5" xfId="0" applyFont="1" applyFill="1" applyBorder="1" applyAlignment="1">
      <alignment horizontal="center" vertical="top" wrapText="1"/>
    </xf>
    <xf numFmtId="49" fontId="1" fillId="0" borderId="4" xfId="0" applyNumberFormat="1" applyFont="1" applyBorder="1" applyAlignment="1">
      <alignment vertical="center" wrapText="1"/>
    </xf>
    <xf numFmtId="49" fontId="1" fillId="0" borderId="6" xfId="0" applyNumberFormat="1" applyFont="1" applyBorder="1" applyAlignment="1">
      <alignment vertical="center" wrapText="1"/>
    </xf>
    <xf numFmtId="49" fontId="1" fillId="0" borderId="5" xfId="0" applyNumberFormat="1" applyFont="1" applyBorder="1" applyAlignment="1">
      <alignment vertical="center" wrapText="1"/>
    </xf>
    <xf numFmtId="49" fontId="7" fillId="0" borderId="6" xfId="0" applyNumberFormat="1" applyFont="1" applyBorder="1" applyAlignment="1">
      <alignment vertical="center"/>
    </xf>
    <xf numFmtId="49" fontId="1" fillId="0" borderId="17" xfId="0" applyNumberFormat="1" applyFont="1" applyBorder="1" applyAlignment="1">
      <alignment horizontal="center" vertical="center" wrapText="1"/>
    </xf>
    <xf numFmtId="49" fontId="1" fillId="0" borderId="16" xfId="0" applyNumberFormat="1" applyFont="1" applyBorder="1" applyAlignment="1">
      <alignment horizontal="center" vertical="center" wrapText="1"/>
    </xf>
    <xf numFmtId="49" fontId="1" fillId="0" borderId="7" xfId="0" applyNumberFormat="1" applyFont="1" applyBorder="1" applyAlignment="1">
      <alignment horizontal="center" vertical="center" wrapText="1"/>
    </xf>
    <xf numFmtId="49" fontId="1" fillId="4" borderId="4" xfId="0" applyNumberFormat="1" applyFont="1" applyFill="1" applyBorder="1" applyAlignment="1">
      <alignment horizontal="center" vertical="center" wrapText="1"/>
    </xf>
    <xf numFmtId="49" fontId="1" fillId="4" borderId="6" xfId="0" applyNumberFormat="1" applyFont="1" applyFill="1" applyBorder="1" applyAlignment="1">
      <alignment horizontal="center" vertical="center" wrapText="1"/>
    </xf>
    <xf numFmtId="49" fontId="1" fillId="4" borderId="5" xfId="0" applyNumberFormat="1" applyFont="1" applyFill="1" applyBorder="1" applyAlignment="1">
      <alignment horizontal="center" vertical="center" wrapText="1"/>
    </xf>
    <xf numFmtId="49" fontId="1" fillId="4" borderId="4" xfId="0" applyNumberFormat="1" applyFont="1" applyFill="1" applyBorder="1" applyAlignment="1">
      <alignment horizontal="center" textRotation="90" wrapText="1"/>
    </xf>
    <xf numFmtId="49" fontId="1" fillId="4" borderId="5" xfId="0" applyNumberFormat="1" applyFont="1" applyFill="1" applyBorder="1" applyAlignment="1">
      <alignment horizontal="center" textRotation="90" wrapText="1"/>
    </xf>
    <xf numFmtId="49" fontId="1" fillId="4" borderId="6" xfId="0" applyNumberFormat="1" applyFont="1" applyFill="1" applyBorder="1" applyAlignment="1">
      <alignment horizontal="center" textRotation="90" wrapText="1"/>
    </xf>
    <xf numFmtId="49" fontId="1" fillId="4" borderId="13" xfId="0" applyNumberFormat="1" applyFont="1" applyFill="1" applyBorder="1" applyAlignment="1">
      <alignment horizontal="center" wrapText="1"/>
    </xf>
    <xf numFmtId="49" fontId="1" fillId="4" borderId="11" xfId="0" applyNumberFormat="1" applyFont="1" applyFill="1" applyBorder="1" applyAlignment="1">
      <alignment horizontal="center" wrapText="1"/>
    </xf>
    <xf numFmtId="49" fontId="1" fillId="4" borderId="8" xfId="0" applyNumberFormat="1" applyFont="1" applyFill="1" applyBorder="1" applyAlignment="1">
      <alignment horizontal="center" wrapText="1"/>
    </xf>
    <xf numFmtId="49" fontId="1" fillId="4" borderId="14" xfId="0" applyNumberFormat="1" applyFont="1" applyFill="1" applyBorder="1" applyAlignment="1">
      <alignment horizontal="center" wrapText="1"/>
    </xf>
    <xf numFmtId="49" fontId="1" fillId="4" borderId="0" xfId="0" applyNumberFormat="1" applyFont="1" applyFill="1" applyAlignment="1">
      <alignment horizontal="center" wrapText="1"/>
    </xf>
    <xf numFmtId="49" fontId="1" fillId="4" borderId="9" xfId="0" applyNumberFormat="1" applyFont="1" applyFill="1" applyBorder="1" applyAlignment="1">
      <alignment horizontal="center" wrapText="1"/>
    </xf>
    <xf numFmtId="49" fontId="1" fillId="4" borderId="15" xfId="0" applyNumberFormat="1" applyFont="1" applyFill="1" applyBorder="1" applyAlignment="1">
      <alignment wrapText="1"/>
    </xf>
    <xf numFmtId="49" fontId="1" fillId="4" borderId="12" xfId="0" applyNumberFormat="1" applyFont="1" applyFill="1" applyBorder="1" applyAlignment="1">
      <alignment wrapText="1"/>
    </xf>
    <xf numFmtId="49" fontId="1" fillId="4" borderId="10" xfId="0" applyNumberFormat="1" applyFont="1" applyFill="1" applyBorder="1" applyAlignment="1">
      <alignment wrapText="1"/>
    </xf>
    <xf numFmtId="49" fontId="1" fillId="4" borderId="13" xfId="0" applyNumberFormat="1" applyFont="1" applyFill="1" applyBorder="1" applyAlignment="1">
      <alignment horizontal="center" vertical="center" wrapText="1"/>
    </xf>
    <xf numFmtId="49" fontId="1" fillId="4" borderId="11" xfId="0" applyNumberFormat="1" applyFont="1" applyFill="1" applyBorder="1" applyAlignment="1">
      <alignment horizontal="center" vertical="center" wrapText="1"/>
    </xf>
    <xf numFmtId="49" fontId="1" fillId="4" borderId="8" xfId="0" applyNumberFormat="1" applyFont="1" applyFill="1" applyBorder="1" applyAlignment="1">
      <alignment horizontal="center" vertical="center" wrapText="1"/>
    </xf>
    <xf numFmtId="49" fontId="1" fillId="4" borderId="14" xfId="0" applyNumberFormat="1" applyFont="1" applyFill="1" applyBorder="1" applyAlignment="1">
      <alignment horizontal="center" vertical="center" wrapText="1"/>
    </xf>
    <xf numFmtId="49" fontId="1" fillId="4" borderId="0" xfId="0" applyNumberFormat="1" applyFont="1" applyFill="1" applyBorder="1" applyAlignment="1">
      <alignment horizontal="center" vertical="center" wrapText="1"/>
    </xf>
    <xf numFmtId="49" fontId="1" fillId="4" borderId="9" xfId="0" applyNumberFormat="1" applyFont="1" applyFill="1" applyBorder="1" applyAlignment="1">
      <alignment horizontal="center" vertical="center" wrapText="1"/>
    </xf>
    <xf numFmtId="49" fontId="1" fillId="4" borderId="15" xfId="0" applyNumberFormat="1" applyFont="1" applyFill="1" applyBorder="1" applyAlignment="1">
      <alignment horizontal="center" vertical="center" wrapText="1"/>
    </xf>
    <xf numFmtId="49" fontId="1" fillId="4" borderId="12" xfId="0" applyNumberFormat="1" applyFont="1" applyFill="1" applyBorder="1" applyAlignment="1">
      <alignment horizontal="center" vertical="center" wrapText="1"/>
    </xf>
    <xf numFmtId="49" fontId="1" fillId="4" borderId="10" xfId="0" applyNumberFormat="1" applyFont="1" applyFill="1" applyBorder="1" applyAlignment="1">
      <alignment horizontal="center" vertical="center" wrapText="1"/>
    </xf>
    <xf numFmtId="0" fontId="6" fillId="0" borderId="4" xfId="0" applyFont="1" applyBorder="1" applyAlignment="1">
      <alignment horizontal="center" vertical="top" wrapText="1"/>
    </xf>
    <xf numFmtId="0" fontId="6" fillId="0" borderId="5" xfId="0" applyFont="1" applyBorder="1" applyAlignment="1">
      <alignment horizontal="center" vertical="top" wrapText="1"/>
    </xf>
    <xf numFmtId="0" fontId="6" fillId="0" borderId="6" xfId="0" applyFont="1" applyBorder="1" applyAlignment="1">
      <alignment horizontal="center" vertical="top" wrapText="1"/>
    </xf>
    <xf numFmtId="0" fontId="6" fillId="0" borderId="17" xfId="0" applyFont="1" applyBorder="1" applyAlignment="1">
      <alignment horizontal="center" vertical="top" wrapText="1"/>
    </xf>
    <xf numFmtId="0" fontId="6" fillId="0" borderId="16" xfId="0" applyFont="1" applyBorder="1" applyAlignment="1">
      <alignment horizontal="center" vertical="top" wrapText="1"/>
    </xf>
    <xf numFmtId="0" fontId="6" fillId="0" borderId="7" xfId="0" applyFont="1" applyBorder="1" applyAlignment="1">
      <alignment horizontal="center" vertical="top" wrapText="1"/>
    </xf>
    <xf numFmtId="0" fontId="6" fillId="0" borderId="17" xfId="0" applyFont="1" applyBorder="1" applyAlignment="1">
      <alignment horizontal="center" vertical="center" wrapText="1"/>
    </xf>
    <xf numFmtId="0" fontId="6" fillId="0" borderId="16" xfId="0" applyFont="1" applyBorder="1" applyAlignment="1">
      <alignment horizontal="center" vertical="center" wrapText="1"/>
    </xf>
    <xf numFmtId="0" fontId="6" fillId="0" borderId="7" xfId="0" applyFont="1" applyBorder="1" applyAlignment="1">
      <alignment horizontal="center" vertical="center" wrapText="1"/>
    </xf>
    <xf numFmtId="0" fontId="6" fillId="0" borderId="4" xfId="0" applyFont="1" applyBorder="1" applyAlignment="1">
      <alignment horizontal="center" vertical="center" wrapText="1"/>
    </xf>
    <xf numFmtId="0" fontId="6" fillId="0" borderId="5" xfId="0" applyFont="1" applyBorder="1" applyAlignment="1">
      <alignment horizontal="center" vertical="center" wrapText="1"/>
    </xf>
    <xf numFmtId="0" fontId="6" fillId="0" borderId="6" xfId="0" applyFont="1" applyBorder="1" applyAlignment="1">
      <alignment horizontal="center" vertical="center" wrapText="1"/>
    </xf>
    <xf numFmtId="0" fontId="6" fillId="0" borderId="8" xfId="0" applyFont="1" applyBorder="1" applyAlignment="1">
      <alignment horizontal="center" vertical="center" wrapText="1"/>
    </xf>
    <xf numFmtId="0" fontId="6" fillId="0" borderId="9" xfId="0" applyFont="1" applyBorder="1" applyAlignment="1">
      <alignment horizontal="center" vertical="center" wrapText="1"/>
    </xf>
    <xf numFmtId="0" fontId="6" fillId="0" borderId="10" xfId="0" applyFont="1" applyBorder="1" applyAlignment="1">
      <alignment horizontal="center" vertical="center" wrapText="1"/>
    </xf>
    <xf numFmtId="0" fontId="14" fillId="0" borderId="17" xfId="0" applyFont="1" applyBorder="1" applyAlignment="1">
      <alignment horizontal="center" vertical="center" wrapText="1"/>
    </xf>
    <xf numFmtId="0" fontId="14" fillId="0" borderId="16" xfId="0" applyFont="1" applyBorder="1" applyAlignment="1">
      <alignment horizontal="center" vertical="center" wrapText="1"/>
    </xf>
    <xf numFmtId="0" fontId="14" fillId="0" borderId="7" xfId="0" applyFont="1" applyBorder="1" applyAlignment="1">
      <alignment horizontal="center" vertical="center" wrapText="1"/>
    </xf>
    <xf numFmtId="0" fontId="14" fillId="0" borderId="4" xfId="0" applyFont="1" applyBorder="1" applyAlignment="1">
      <alignment horizontal="center" vertical="center" wrapText="1"/>
    </xf>
    <xf numFmtId="0" fontId="14" fillId="0" borderId="5" xfId="0" applyFont="1" applyBorder="1" applyAlignment="1">
      <alignment horizontal="center" vertical="center" wrapText="1"/>
    </xf>
    <xf numFmtId="0" fontId="14" fillId="0" borderId="6"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22" xfId="0" applyFont="1" applyBorder="1" applyAlignment="1">
      <alignment horizontal="center" vertical="center" wrapText="1"/>
    </xf>
    <xf numFmtId="0" fontId="2" fillId="0" borderId="37" xfId="0" applyFont="1" applyBorder="1" applyAlignment="1">
      <alignment horizontal="center" vertical="center" wrapText="1"/>
    </xf>
    <xf numFmtId="0" fontId="2" fillId="0" borderId="38" xfId="0" applyFont="1" applyBorder="1" applyAlignment="1">
      <alignment horizontal="center" vertical="center" wrapText="1"/>
    </xf>
    <xf numFmtId="0" fontId="2" fillId="0" borderId="2" xfId="0" applyFont="1" applyBorder="1" applyAlignment="1">
      <alignment horizontal="center" vertical="center" wrapText="1"/>
    </xf>
    <xf numFmtId="0" fontId="2" fillId="0" borderId="21" xfId="0" applyFont="1" applyBorder="1" applyAlignment="1">
      <alignment horizontal="center" vertical="center" wrapText="1"/>
    </xf>
    <xf numFmtId="0" fontId="38" fillId="0" borderId="1" xfId="0" applyFont="1" applyBorder="1" applyAlignment="1">
      <alignment horizontal="center" vertical="center" wrapText="1"/>
    </xf>
    <xf numFmtId="0" fontId="5" fillId="0" borderId="19" xfId="0" applyFont="1" applyBorder="1" applyAlignment="1">
      <alignment horizontal="center" vertical="center" wrapText="1"/>
    </xf>
    <xf numFmtId="0" fontId="5" fillId="0" borderId="1" xfId="0" applyFont="1" applyBorder="1" applyAlignment="1">
      <alignment horizontal="center" vertical="center" wrapText="1"/>
    </xf>
    <xf numFmtId="0" fontId="3" fillId="0" borderId="1" xfId="0" applyFont="1" applyBorder="1" applyAlignment="1">
      <alignment horizontal="center" vertical="center" wrapText="1"/>
    </xf>
    <xf numFmtId="0" fontId="2" fillId="0" borderId="1" xfId="0" applyFont="1" applyBorder="1" applyAlignment="1">
      <alignment horizontal="center" vertical="center" textRotation="90" wrapText="1"/>
    </xf>
    <xf numFmtId="0" fontId="2" fillId="0" borderId="1" xfId="0" applyFont="1" applyBorder="1" applyAlignment="1">
      <alignment horizontal="center" vertical="center"/>
    </xf>
    <xf numFmtId="0" fontId="2" fillId="0" borderId="20" xfId="0" applyFont="1" applyBorder="1" applyAlignment="1">
      <alignment horizontal="center" vertical="center" wrapText="1"/>
    </xf>
    <xf numFmtId="0" fontId="2" fillId="0" borderId="18" xfId="0" applyFont="1" applyBorder="1" applyAlignment="1">
      <alignment horizontal="center" vertical="center" wrapText="1"/>
    </xf>
    <xf numFmtId="0" fontId="2" fillId="0" borderId="0" xfId="0" applyFont="1" applyBorder="1" applyAlignment="1">
      <alignment horizontal="center" vertical="center" wrapText="1"/>
    </xf>
    <xf numFmtId="0" fontId="2" fillId="0" borderId="36" xfId="0" applyFont="1" applyBorder="1" applyAlignment="1">
      <alignment horizontal="center" vertical="center" wrapText="1"/>
    </xf>
    <xf numFmtId="0" fontId="4" fillId="6" borderId="19" xfId="0" applyFont="1" applyFill="1" applyBorder="1" applyAlignment="1">
      <alignment horizontal="center" vertical="center"/>
    </xf>
    <xf numFmtId="0" fontId="2" fillId="0" borderId="39" xfId="0" applyFont="1" applyBorder="1" applyAlignment="1">
      <alignment horizontal="center" vertical="center" wrapText="1"/>
    </xf>
    <xf numFmtId="164" fontId="24" fillId="10" borderId="19" xfId="1" applyNumberFormat="1" applyFont="1" applyFill="1" applyBorder="1" applyAlignment="1">
      <alignment horizontal="center" vertical="center" wrapText="1"/>
    </xf>
    <xf numFmtId="164" fontId="24" fillId="10" borderId="1" xfId="1" applyNumberFormat="1" applyFont="1" applyFill="1" applyBorder="1" applyAlignment="1">
      <alignment horizontal="center" vertical="center" wrapText="1"/>
    </xf>
    <xf numFmtId="0" fontId="2" fillId="0" borderId="41" xfId="0" applyFont="1" applyBorder="1" applyAlignment="1">
      <alignment horizontal="center" vertical="center" wrapText="1"/>
    </xf>
    <xf numFmtId="0" fontId="2" fillId="0" borderId="29" xfId="0" applyFont="1" applyBorder="1" applyAlignment="1">
      <alignment horizontal="center" vertical="center" wrapText="1"/>
    </xf>
    <xf numFmtId="164" fontId="39" fillId="10" borderId="1" xfId="1" applyNumberFormat="1" applyFont="1" applyFill="1" applyBorder="1" applyAlignment="1">
      <alignment horizontal="center" vertical="center" wrapText="1"/>
    </xf>
    <xf numFmtId="2" fontId="2" fillId="0" borderId="1" xfId="0" applyNumberFormat="1" applyFont="1" applyBorder="1" applyAlignment="1">
      <alignment horizontal="center" vertical="center" wrapText="1"/>
    </xf>
    <xf numFmtId="164" fontId="39" fillId="12" borderId="23" xfId="1" applyNumberFormat="1" applyFont="1" applyFill="1" applyBorder="1" applyAlignment="1">
      <alignment horizontal="center" vertical="center" wrapText="1"/>
    </xf>
    <xf numFmtId="164" fontId="39" fillId="12" borderId="22" xfId="1" applyNumberFormat="1" applyFont="1" applyFill="1" applyBorder="1" applyAlignment="1">
      <alignment horizontal="center" vertical="center" wrapText="1"/>
    </xf>
    <xf numFmtId="164" fontId="39" fillId="12" borderId="20" xfId="1" applyNumberFormat="1" applyFont="1" applyFill="1" applyBorder="1" applyAlignment="1">
      <alignment horizontal="center" vertical="center" wrapText="1"/>
    </xf>
    <xf numFmtId="164" fontId="39" fillId="12" borderId="18" xfId="1" applyNumberFormat="1" applyFont="1" applyFill="1" applyBorder="1" applyAlignment="1">
      <alignment horizontal="center" vertical="center" wrapText="1"/>
    </xf>
    <xf numFmtId="164" fontId="39" fillId="12" borderId="36" xfId="1" applyNumberFormat="1" applyFont="1" applyFill="1" applyBorder="1" applyAlignment="1">
      <alignment horizontal="center" vertical="center" wrapText="1"/>
    </xf>
    <xf numFmtId="164" fontId="39" fillId="12" borderId="37" xfId="1" applyNumberFormat="1" applyFont="1" applyFill="1" applyBorder="1" applyAlignment="1">
      <alignment horizontal="center" vertical="center" wrapText="1"/>
    </xf>
    <xf numFmtId="164" fontId="39" fillId="12" borderId="39" xfId="1" applyNumberFormat="1" applyFont="1" applyFill="1" applyBorder="1" applyAlignment="1">
      <alignment horizontal="center" vertical="center" wrapText="1"/>
    </xf>
    <xf numFmtId="0" fontId="2" fillId="6" borderId="2" xfId="0" applyFont="1" applyFill="1" applyBorder="1" applyAlignment="1">
      <alignment horizontal="center" vertical="center"/>
    </xf>
    <xf numFmtId="0" fontId="2" fillId="6" borderId="19" xfId="0" applyFont="1" applyFill="1" applyBorder="1" applyAlignment="1">
      <alignment horizontal="center" vertical="center"/>
    </xf>
    <xf numFmtId="0" fontId="2" fillId="6" borderId="21" xfId="0" applyFont="1" applyFill="1" applyBorder="1" applyAlignment="1">
      <alignment horizontal="center" vertical="center"/>
    </xf>
    <xf numFmtId="0" fontId="2" fillId="0" borderId="1" xfId="0" applyFont="1" applyBorder="1" applyAlignment="1">
      <alignment horizontal="center" vertical="top" wrapText="1"/>
    </xf>
    <xf numFmtId="0" fontId="2" fillId="0" borderId="23" xfId="0" applyFont="1" applyBorder="1" applyAlignment="1">
      <alignment horizontal="center" vertical="top" wrapText="1"/>
    </xf>
    <xf numFmtId="0" fontId="2" fillId="0" borderId="22" xfId="0" applyFont="1" applyBorder="1" applyAlignment="1">
      <alignment horizontal="center" vertical="top" wrapText="1"/>
    </xf>
    <xf numFmtId="0" fontId="2" fillId="0" borderId="20" xfId="0" applyFont="1" applyBorder="1" applyAlignment="1">
      <alignment horizontal="center" vertical="top" wrapText="1"/>
    </xf>
    <xf numFmtId="0" fontId="2" fillId="0" borderId="18" xfId="0" applyFont="1" applyBorder="1" applyAlignment="1">
      <alignment horizontal="center" vertical="top" wrapText="1"/>
    </xf>
    <xf numFmtId="0" fontId="2" fillId="0" borderId="0" xfId="0" applyFont="1" applyBorder="1" applyAlignment="1">
      <alignment horizontal="center" vertical="top" wrapText="1"/>
    </xf>
    <xf numFmtId="0" fontId="2" fillId="0" borderId="36" xfId="0" applyFont="1" applyBorder="1" applyAlignment="1">
      <alignment horizontal="center" vertical="top" wrapText="1"/>
    </xf>
    <xf numFmtId="0" fontId="2" fillId="0" borderId="37" xfId="0" applyFont="1" applyBorder="1" applyAlignment="1">
      <alignment horizontal="center" vertical="top" wrapText="1"/>
    </xf>
    <xf numFmtId="0" fontId="2" fillId="0" borderId="38" xfId="0" applyFont="1" applyBorder="1" applyAlignment="1">
      <alignment horizontal="center" vertical="top" wrapText="1"/>
    </xf>
    <xf numFmtId="0" fontId="2" fillId="0" borderId="39" xfId="0" applyFont="1" applyBorder="1" applyAlignment="1">
      <alignment horizontal="center" vertical="top" wrapText="1"/>
    </xf>
    <xf numFmtId="0" fontId="2" fillId="0" borderId="23" xfId="0" applyFont="1" applyBorder="1" applyAlignment="1">
      <alignment horizontal="center"/>
    </xf>
    <xf numFmtId="0" fontId="2" fillId="0" borderId="22" xfId="0" applyFont="1" applyBorder="1" applyAlignment="1">
      <alignment horizontal="center"/>
    </xf>
    <xf numFmtId="0" fontId="2" fillId="0" borderId="20" xfId="0" applyFont="1" applyBorder="1" applyAlignment="1">
      <alignment horizontal="center"/>
    </xf>
    <xf numFmtId="0" fontId="2" fillId="0" borderId="18" xfId="0" applyFont="1" applyBorder="1" applyAlignment="1">
      <alignment horizontal="center"/>
    </xf>
    <xf numFmtId="0" fontId="2" fillId="0" borderId="0" xfId="0" applyFont="1" applyBorder="1" applyAlignment="1">
      <alignment horizontal="center"/>
    </xf>
    <xf numFmtId="0" fontId="2" fillId="0" borderId="36" xfId="0" applyFont="1" applyBorder="1" applyAlignment="1">
      <alignment horizontal="center"/>
    </xf>
    <xf numFmtId="0" fontId="2" fillId="0" borderId="37" xfId="0" applyFont="1" applyBorder="1" applyAlignment="1">
      <alignment horizontal="center"/>
    </xf>
    <xf numFmtId="0" fontId="2" fillId="0" borderId="38" xfId="0" applyFont="1" applyBorder="1" applyAlignment="1">
      <alignment horizontal="center"/>
    </xf>
    <xf numFmtId="0" fontId="2" fillId="0" borderId="39" xfId="0" applyFont="1" applyBorder="1" applyAlignment="1">
      <alignment horizontal="center"/>
    </xf>
    <xf numFmtId="0" fontId="2" fillId="4" borderId="41"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30" xfId="0" applyFont="1" applyFill="1" applyBorder="1" applyAlignment="1">
      <alignment horizontal="center" vertical="center" wrapText="1"/>
    </xf>
    <xf numFmtId="0" fontId="2" fillId="4" borderId="1" xfId="0" applyFont="1" applyFill="1" applyBorder="1" applyAlignment="1">
      <alignment horizontal="center" vertical="center" wrapText="1"/>
    </xf>
    <xf numFmtId="0" fontId="2" fillId="6" borderId="2" xfId="0" applyFont="1" applyFill="1" applyBorder="1" applyAlignment="1">
      <alignment horizontal="left" vertical="center"/>
    </xf>
    <xf numFmtId="0" fontId="2" fillId="6" borderId="19" xfId="0" applyFont="1" applyFill="1" applyBorder="1" applyAlignment="1">
      <alignment horizontal="left" vertical="center"/>
    </xf>
    <xf numFmtId="0" fontId="2" fillId="4" borderId="2" xfId="0" applyFont="1" applyFill="1" applyBorder="1" applyAlignment="1">
      <alignment horizontal="center" vertical="center" wrapText="1"/>
    </xf>
    <xf numFmtId="0" fontId="2" fillId="4" borderId="19" xfId="0" applyFont="1" applyFill="1" applyBorder="1" applyAlignment="1">
      <alignment horizontal="center" vertical="center" wrapText="1"/>
    </xf>
    <xf numFmtId="0" fontId="2" fillId="4" borderId="23" xfId="0" applyFont="1" applyFill="1" applyBorder="1" applyAlignment="1">
      <alignment horizontal="center" vertical="center" wrapText="1"/>
    </xf>
    <xf numFmtId="0" fontId="2" fillId="4" borderId="22" xfId="0" applyFont="1" applyFill="1" applyBorder="1" applyAlignment="1">
      <alignment horizontal="center" vertical="center" wrapText="1"/>
    </xf>
    <xf numFmtId="0" fontId="2" fillId="4" borderId="20" xfId="0" applyFont="1" applyFill="1" applyBorder="1" applyAlignment="1">
      <alignment horizontal="center" vertical="center" wrapText="1"/>
    </xf>
    <xf numFmtId="0" fontId="2" fillId="4" borderId="37" xfId="0" applyFont="1" applyFill="1" applyBorder="1" applyAlignment="1">
      <alignment horizontal="center" vertical="center" wrapText="1"/>
    </xf>
    <xf numFmtId="0" fontId="2" fillId="4" borderId="38" xfId="0" applyFont="1" applyFill="1" applyBorder="1" applyAlignment="1">
      <alignment horizontal="center" vertical="center" wrapText="1"/>
    </xf>
    <xf numFmtId="0" fontId="2" fillId="4" borderId="39" xfId="0" applyFont="1" applyFill="1" applyBorder="1" applyAlignment="1">
      <alignment horizontal="center" vertical="center" wrapText="1"/>
    </xf>
    <xf numFmtId="0" fontId="2" fillId="0" borderId="22" xfId="0" applyFont="1" applyBorder="1" applyAlignment="1">
      <alignment horizontal="center" vertical="center"/>
    </xf>
    <xf numFmtId="0" fontId="2" fillId="0" borderId="20" xfId="0" applyFont="1" applyBorder="1" applyAlignment="1">
      <alignment horizontal="center" vertical="center"/>
    </xf>
    <xf numFmtId="0" fontId="2" fillId="0" borderId="37"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6" borderId="1" xfId="0" applyFont="1" applyFill="1" applyBorder="1" applyAlignment="1">
      <alignment horizontal="center" vertical="center"/>
    </xf>
    <xf numFmtId="0" fontId="2" fillId="4" borderId="23" xfId="0" applyFont="1" applyFill="1" applyBorder="1" applyAlignment="1">
      <alignment horizontal="center" vertical="top" wrapText="1"/>
    </xf>
    <xf numFmtId="0" fontId="2" fillId="4" borderId="22" xfId="0" applyFont="1" applyFill="1" applyBorder="1" applyAlignment="1">
      <alignment horizontal="center" vertical="top" wrapText="1"/>
    </xf>
    <xf numFmtId="0" fontId="2" fillId="4" borderId="20" xfId="0" applyFont="1" applyFill="1" applyBorder="1" applyAlignment="1">
      <alignment horizontal="center" vertical="top" wrapText="1"/>
    </xf>
    <xf numFmtId="0" fontId="2" fillId="4" borderId="37" xfId="0" applyFont="1" applyFill="1" applyBorder="1" applyAlignment="1">
      <alignment horizontal="center" vertical="top" wrapText="1"/>
    </xf>
    <xf numFmtId="0" fontId="2" fillId="4" borderId="38" xfId="0" applyFont="1" applyFill="1" applyBorder="1" applyAlignment="1">
      <alignment horizontal="center" vertical="top" wrapText="1"/>
    </xf>
    <xf numFmtId="0" fontId="2" fillId="4" borderId="39" xfId="0" applyFont="1" applyFill="1" applyBorder="1" applyAlignment="1">
      <alignment horizontal="center" vertical="top" wrapText="1"/>
    </xf>
    <xf numFmtId="0" fontId="2" fillId="4" borderId="1" xfId="0" applyFont="1" applyFill="1" applyBorder="1" applyAlignment="1">
      <alignment horizontal="center" vertical="top" wrapText="1"/>
    </xf>
    <xf numFmtId="0" fontId="2" fillId="0" borderId="29" xfId="0" applyFont="1" applyBorder="1" applyAlignment="1">
      <alignment horizontal="center" vertical="center"/>
    </xf>
    <xf numFmtId="0" fontId="2" fillId="0" borderId="30" xfId="0" applyFont="1" applyBorder="1" applyAlignment="1">
      <alignment horizontal="center" vertical="center"/>
    </xf>
    <xf numFmtId="0" fontId="19" fillId="0" borderId="1" xfId="0" applyFont="1" applyBorder="1" applyAlignment="1">
      <alignment horizontal="center" vertical="center" wrapText="1"/>
    </xf>
    <xf numFmtId="0" fontId="2" fillId="0" borderId="23" xfId="0" applyFont="1" applyBorder="1" applyAlignment="1">
      <alignment horizontal="center" wrapText="1"/>
    </xf>
    <xf numFmtId="0" fontId="2" fillId="0" borderId="22" xfId="0" applyFont="1" applyBorder="1" applyAlignment="1">
      <alignment horizontal="center" wrapText="1"/>
    </xf>
    <xf numFmtId="0" fontId="2" fillId="0" borderId="20" xfId="0" applyFont="1" applyBorder="1" applyAlignment="1">
      <alignment horizontal="center" wrapText="1"/>
    </xf>
    <xf numFmtId="0" fontId="2" fillId="0" borderId="37" xfId="0" applyFont="1" applyBorder="1" applyAlignment="1">
      <alignment horizontal="center" wrapText="1"/>
    </xf>
    <xf numFmtId="0" fontId="2" fillId="0" borderId="38" xfId="0" applyFont="1" applyBorder="1" applyAlignment="1">
      <alignment horizontal="center" wrapText="1"/>
    </xf>
    <xf numFmtId="0" fontId="2" fillId="0" borderId="39" xfId="0" applyFont="1" applyBorder="1" applyAlignment="1">
      <alignment horizontal="center" wrapText="1"/>
    </xf>
    <xf numFmtId="0" fontId="37" fillId="0" borderId="1" xfId="0" applyFont="1" applyBorder="1" applyAlignment="1">
      <alignment horizontal="center" vertical="center" wrapText="1"/>
    </xf>
    <xf numFmtId="0" fontId="2" fillId="0" borderId="30" xfId="0" applyFont="1" applyBorder="1" applyAlignment="1">
      <alignment horizontal="center" vertical="center" wrapText="1"/>
    </xf>
    <xf numFmtId="0" fontId="2" fillId="0" borderId="23" xfId="0" applyFont="1" applyBorder="1" applyAlignment="1">
      <alignment horizontal="center" vertical="center"/>
    </xf>
    <xf numFmtId="0" fontId="1" fillId="0" borderId="1" xfId="0" applyFont="1" applyBorder="1" applyAlignment="1">
      <alignment horizontal="center" vertical="center" wrapText="1"/>
    </xf>
    <xf numFmtId="0" fontId="2" fillId="0" borderId="41" xfId="0" applyFont="1" applyBorder="1" applyAlignment="1">
      <alignment horizontal="center" vertical="center"/>
    </xf>
    <xf numFmtId="0" fontId="2" fillId="0" borderId="1" xfId="0" applyFont="1" applyBorder="1" applyAlignment="1">
      <alignment horizontal="left" vertical="center" wrapText="1" indent="2"/>
    </xf>
    <xf numFmtId="0" fontId="2" fillId="0" borderId="19" xfId="0" applyFont="1" applyBorder="1" applyAlignment="1">
      <alignment horizontal="center" vertical="center" wrapText="1"/>
    </xf>
    <xf numFmtId="0" fontId="2" fillId="0" borderId="1" xfId="0" applyFont="1" applyBorder="1" applyAlignment="1">
      <alignment horizontal="center"/>
    </xf>
    <xf numFmtId="0" fontId="1" fillId="6" borderId="2" xfId="0" applyFont="1" applyFill="1" applyBorder="1" applyAlignment="1">
      <alignment horizontal="center" vertical="center"/>
    </xf>
    <xf numFmtId="0" fontId="1" fillId="6" borderId="19" xfId="0" applyFont="1" applyFill="1" applyBorder="1" applyAlignment="1">
      <alignment horizontal="center" vertical="center"/>
    </xf>
    <xf numFmtId="164" fontId="24" fillId="12" borderId="23" xfId="1" applyNumberFormat="1" applyFont="1" applyFill="1" applyBorder="1" applyAlignment="1">
      <alignment horizontal="center" vertical="center" wrapText="1"/>
    </xf>
    <xf numFmtId="164" fontId="24" fillId="12" borderId="22" xfId="1" applyNumberFormat="1" applyFont="1" applyFill="1" applyBorder="1" applyAlignment="1">
      <alignment horizontal="center" vertical="center" wrapText="1"/>
    </xf>
    <xf numFmtId="164" fontId="24" fillId="12" borderId="20" xfId="1" applyNumberFormat="1" applyFont="1" applyFill="1" applyBorder="1" applyAlignment="1">
      <alignment horizontal="center" vertical="center" wrapText="1"/>
    </xf>
    <xf numFmtId="164" fontId="24" fillId="12" borderId="18" xfId="1" applyNumberFormat="1" applyFont="1" applyFill="1" applyBorder="1" applyAlignment="1">
      <alignment horizontal="center" vertical="center" wrapText="1"/>
    </xf>
    <xf numFmtId="164" fontId="24" fillId="12" borderId="0" xfId="1" applyNumberFormat="1" applyFont="1" applyFill="1" applyBorder="1" applyAlignment="1">
      <alignment horizontal="center" vertical="center" wrapText="1"/>
    </xf>
    <xf numFmtId="164" fontId="24" fillId="12" borderId="36" xfId="1" applyNumberFormat="1" applyFont="1" applyFill="1" applyBorder="1" applyAlignment="1">
      <alignment horizontal="center" vertical="center" wrapText="1"/>
    </xf>
    <xf numFmtId="164" fontId="24" fillId="12" borderId="37" xfId="1" applyNumberFormat="1" applyFont="1" applyFill="1" applyBorder="1" applyAlignment="1">
      <alignment horizontal="center" vertical="center" wrapText="1"/>
    </xf>
    <xf numFmtId="164" fontId="24" fillId="12" borderId="38" xfId="1" applyNumberFormat="1" applyFont="1" applyFill="1" applyBorder="1" applyAlignment="1">
      <alignment horizontal="center" vertical="center" wrapText="1"/>
    </xf>
    <xf numFmtId="164" fontId="24" fillId="12" borderId="39" xfId="1" applyNumberFormat="1" applyFont="1" applyFill="1" applyBorder="1" applyAlignment="1">
      <alignment horizontal="center" vertical="center" wrapText="1"/>
    </xf>
    <xf numFmtId="164" fontId="36" fillId="8" borderId="1" xfId="1" applyNumberFormat="1" applyFont="1" applyFill="1" applyBorder="1" applyAlignment="1">
      <alignment horizontal="center" vertical="center" wrapText="1"/>
    </xf>
    <xf numFmtId="0" fontId="4" fillId="6" borderId="37" xfId="0" applyFont="1" applyFill="1" applyBorder="1" applyAlignment="1">
      <alignment horizontal="center" vertical="center"/>
    </xf>
    <xf numFmtId="0" fontId="42" fillId="0" borderId="1" xfId="0" applyFont="1" applyBorder="1" applyAlignment="1">
      <alignment horizontal="center" vertical="center"/>
    </xf>
    <xf numFmtId="164" fontId="39" fillId="12" borderId="41" xfId="1" applyNumberFormat="1" applyFont="1" applyFill="1" applyBorder="1" applyAlignment="1">
      <alignment horizontal="center" vertical="center" wrapText="1"/>
    </xf>
    <xf numFmtId="164" fontId="39" fillId="12" borderId="29" xfId="1" applyNumberFormat="1" applyFont="1" applyFill="1" applyBorder="1" applyAlignment="1">
      <alignment horizontal="center" vertical="center" wrapText="1"/>
    </xf>
    <xf numFmtId="164" fontId="39" fillId="12" borderId="30" xfId="1" applyNumberFormat="1" applyFont="1" applyFill="1" applyBorder="1" applyAlignment="1">
      <alignment horizontal="center" vertical="center" wrapText="1"/>
    </xf>
    <xf numFmtId="164" fontId="39" fillId="12" borderId="1" xfId="1" applyNumberFormat="1" applyFont="1" applyFill="1" applyBorder="1" applyAlignment="1">
      <alignment horizontal="center" vertical="center" wrapText="1"/>
    </xf>
    <xf numFmtId="164" fontId="39" fillId="10" borderId="23" xfId="1" applyNumberFormat="1" applyFont="1" applyFill="1" applyBorder="1" applyAlignment="1">
      <alignment horizontal="center" vertical="center" wrapText="1"/>
    </xf>
    <xf numFmtId="0" fontId="2" fillId="6" borderId="23" xfId="0" applyFont="1" applyFill="1" applyBorder="1" applyAlignment="1">
      <alignment horizontal="center" vertical="center"/>
    </xf>
    <xf numFmtId="0" fontId="2" fillId="6" borderId="22" xfId="0" applyFont="1" applyFill="1" applyBorder="1" applyAlignment="1">
      <alignment horizontal="center" vertical="center"/>
    </xf>
    <xf numFmtId="0" fontId="2" fillId="6" borderId="20" xfId="0" applyFont="1" applyFill="1" applyBorder="1" applyAlignment="1">
      <alignment horizontal="center" vertical="center"/>
    </xf>
    <xf numFmtId="0" fontId="47" fillId="0" borderId="19" xfId="0" applyFont="1" applyBorder="1" applyAlignment="1">
      <alignment horizontal="center" vertical="center" wrapText="1"/>
    </xf>
    <xf numFmtId="164" fontId="24" fillId="10" borderId="21" xfId="1" applyNumberFormat="1" applyFont="1" applyFill="1" applyBorder="1" applyAlignment="1">
      <alignment horizontal="center" vertical="center" wrapText="1"/>
    </xf>
    <xf numFmtId="164" fontId="24" fillId="10" borderId="2" xfId="1" applyNumberFormat="1" applyFont="1" applyFill="1" applyBorder="1" applyAlignment="1">
      <alignment horizontal="center" vertical="center" wrapText="1"/>
    </xf>
    <xf numFmtId="164" fontId="39" fillId="10" borderId="41" xfId="1" applyNumberFormat="1" applyFont="1" applyFill="1" applyBorder="1" applyAlignment="1">
      <alignment horizontal="center" vertical="center" wrapText="1"/>
    </xf>
    <xf numFmtId="0" fontId="2" fillId="6" borderId="41" xfId="0" applyFont="1" applyFill="1" applyBorder="1" applyAlignment="1">
      <alignment horizontal="center" vertical="center"/>
    </xf>
    <xf numFmtId="0" fontId="2" fillId="6" borderId="29" xfId="0" applyFont="1" applyFill="1" applyBorder="1" applyAlignment="1">
      <alignment horizontal="center" vertical="center"/>
    </xf>
    <xf numFmtId="0" fontId="2" fillId="6" borderId="30" xfId="0" applyFont="1" applyFill="1" applyBorder="1" applyAlignment="1">
      <alignment horizontal="center" vertical="center"/>
    </xf>
    <xf numFmtId="0" fontId="2" fillId="0" borderId="24" xfId="0" applyFont="1" applyBorder="1" applyAlignment="1">
      <alignment horizontal="center" vertical="center" wrapText="1"/>
    </xf>
    <xf numFmtId="0" fontId="2" fillId="0" borderId="28"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31"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43" xfId="0" applyFont="1" applyBorder="1" applyAlignment="1">
      <alignment horizontal="center" vertical="center" wrapText="1"/>
    </xf>
    <xf numFmtId="0" fontId="2" fillId="0" borderId="33" xfId="0" applyFont="1" applyBorder="1" applyAlignment="1">
      <alignment horizontal="center" vertical="center" wrapText="1"/>
    </xf>
    <xf numFmtId="0" fontId="2" fillId="0" borderId="2" xfId="0" applyFont="1" applyBorder="1" applyAlignment="1">
      <alignment horizontal="center" vertical="center" textRotation="90" wrapText="1"/>
    </xf>
    <xf numFmtId="0" fontId="2" fillId="0" borderId="21" xfId="0" applyFont="1" applyBorder="1" applyAlignment="1">
      <alignment horizontal="center" vertical="center" textRotation="90" wrapText="1"/>
    </xf>
    <xf numFmtId="0" fontId="2" fillId="0" borderId="19" xfId="0" applyFont="1" applyBorder="1" applyAlignment="1">
      <alignment horizontal="center" vertical="center" textRotation="90" wrapText="1"/>
    </xf>
    <xf numFmtId="0" fontId="1" fillId="0" borderId="1" xfId="0" applyFont="1" applyBorder="1" applyAlignment="1">
      <alignment horizontal="center" vertical="center"/>
    </xf>
    <xf numFmtId="0" fontId="44" fillId="0" borderId="2" xfId="0" applyFont="1" applyBorder="1" applyAlignment="1">
      <alignment horizontal="center" vertical="center"/>
    </xf>
    <xf numFmtId="0" fontId="44" fillId="0" borderId="21" xfId="0" applyFont="1" applyBorder="1" applyAlignment="1">
      <alignment horizontal="center" vertical="center"/>
    </xf>
    <xf numFmtId="0" fontId="44" fillId="0" borderId="19" xfId="0" applyFont="1" applyBorder="1" applyAlignment="1">
      <alignment horizontal="center" vertical="center"/>
    </xf>
    <xf numFmtId="0" fontId="44" fillId="0" borderId="2" xfId="0" applyFont="1" applyBorder="1" applyAlignment="1">
      <alignment horizontal="center" vertical="center" wrapText="1"/>
    </xf>
    <xf numFmtId="0" fontId="44" fillId="0" borderId="21" xfId="0" applyFont="1" applyBorder="1" applyAlignment="1">
      <alignment horizontal="center" vertical="center" wrapText="1"/>
    </xf>
    <xf numFmtId="0" fontId="44" fillId="0" borderId="19" xfId="0" applyFont="1" applyBorder="1" applyAlignment="1">
      <alignment horizontal="center" vertical="center" wrapText="1"/>
    </xf>
    <xf numFmtId="0" fontId="44" fillId="0" borderId="1" xfId="0" applyFont="1" applyBorder="1" applyAlignment="1">
      <alignment horizontal="center" vertical="center" wrapText="1"/>
    </xf>
    <xf numFmtId="0" fontId="44" fillId="0" borderId="1" xfId="0" applyFont="1" applyBorder="1" applyAlignment="1">
      <alignment horizontal="center" vertical="center"/>
    </xf>
    <xf numFmtId="0" fontId="27" fillId="0" borderId="41" xfId="0" applyFont="1" applyBorder="1" applyAlignment="1">
      <alignment horizontal="center" vertical="center"/>
    </xf>
    <xf numFmtId="0" fontId="27" fillId="0" borderId="29" xfId="0" applyFont="1" applyBorder="1" applyAlignment="1">
      <alignment horizontal="center" vertical="center"/>
    </xf>
    <xf numFmtId="0" fontId="27" fillId="0" borderId="30" xfId="0" applyFont="1" applyBorder="1" applyAlignment="1">
      <alignment horizontal="center" vertical="center"/>
    </xf>
    <xf numFmtId="164" fontId="24" fillId="12" borderId="1" xfId="1" applyNumberFormat="1" applyFont="1" applyFill="1" applyBorder="1" applyAlignment="1">
      <alignment horizontal="center" vertical="center" wrapText="1"/>
    </xf>
    <xf numFmtId="0" fontId="4" fillId="0" borderId="1" xfId="0" applyFont="1" applyBorder="1" applyAlignment="1">
      <alignment horizontal="center"/>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33" xfId="0" applyFont="1" applyBorder="1" applyAlignment="1">
      <alignment horizontal="center" vertical="center" wrapText="1"/>
    </xf>
    <xf numFmtId="2" fontId="4" fillId="0" borderId="41" xfId="0" applyNumberFormat="1" applyFont="1" applyFill="1" applyBorder="1" applyAlignment="1">
      <alignment horizontal="center" vertical="center" wrapText="1"/>
    </xf>
    <xf numFmtId="2" fontId="4" fillId="0" borderId="29" xfId="0" applyNumberFormat="1" applyFont="1" applyFill="1" applyBorder="1" applyAlignment="1">
      <alignment horizontal="center" vertical="center" wrapText="1"/>
    </xf>
    <xf numFmtId="2" fontId="4" fillId="0" borderId="30" xfId="0" applyNumberFormat="1" applyFont="1" applyFill="1" applyBorder="1" applyAlignment="1">
      <alignment horizontal="center" vertical="center" wrapText="1"/>
    </xf>
    <xf numFmtId="0" fontId="4" fillId="0" borderId="42" xfId="0" applyFont="1" applyBorder="1" applyAlignment="1">
      <alignment horizontal="center" vertical="center"/>
    </xf>
    <xf numFmtId="0" fontId="4" fillId="0" borderId="43" xfId="0" applyFont="1" applyBorder="1" applyAlignment="1">
      <alignment horizontal="center" vertical="center"/>
    </xf>
    <xf numFmtId="0" fontId="4" fillId="0" borderId="33" xfId="0" applyFont="1" applyBorder="1" applyAlignment="1">
      <alignment horizontal="center" vertical="center"/>
    </xf>
    <xf numFmtId="0" fontId="4" fillId="15" borderId="1" xfId="0" applyFont="1" applyFill="1" applyBorder="1" applyAlignment="1">
      <alignment horizontal="center"/>
    </xf>
    <xf numFmtId="0" fontId="4" fillId="0" borderId="1" xfId="0" applyFont="1" applyBorder="1" applyAlignment="1">
      <alignment horizontal="center" vertical="center"/>
    </xf>
    <xf numFmtId="0" fontId="4" fillId="0" borderId="1" xfId="0" applyFont="1" applyBorder="1" applyAlignment="1">
      <alignment horizontal="center" vertical="center" wrapText="1"/>
    </xf>
    <xf numFmtId="0" fontId="4" fillId="9" borderId="41" xfId="0" applyFont="1" applyFill="1" applyBorder="1" applyAlignment="1">
      <alignment horizontal="center" vertical="center" wrapText="1"/>
    </xf>
    <xf numFmtId="0" fontId="4" fillId="9" borderId="29" xfId="0" applyFont="1" applyFill="1" applyBorder="1" applyAlignment="1">
      <alignment horizontal="center" vertical="center" wrapText="1"/>
    </xf>
    <xf numFmtId="0" fontId="4" fillId="9" borderId="30" xfId="0" applyFont="1" applyFill="1" applyBorder="1" applyAlignment="1">
      <alignment horizontal="center" vertical="center" wrapText="1"/>
    </xf>
    <xf numFmtId="0" fontId="5" fillId="0" borderId="23" xfId="0" applyFont="1" applyBorder="1" applyAlignment="1">
      <alignment horizontal="center" vertical="top" wrapText="1"/>
    </xf>
    <xf numFmtId="0" fontId="5" fillId="0" borderId="22" xfId="0" applyFont="1" applyBorder="1" applyAlignment="1">
      <alignment horizontal="center" vertical="top" wrapText="1"/>
    </xf>
    <xf numFmtId="0" fontId="5" fillId="0" borderId="20" xfId="0" applyFont="1" applyBorder="1" applyAlignment="1">
      <alignment horizontal="center" vertical="top" wrapText="1"/>
    </xf>
    <xf numFmtId="0" fontId="5" fillId="0" borderId="18" xfId="0" applyFont="1" applyBorder="1" applyAlignment="1">
      <alignment horizontal="center" vertical="top" wrapText="1"/>
    </xf>
    <xf numFmtId="0" fontId="5" fillId="0" borderId="0" xfId="0" applyFont="1" applyBorder="1" applyAlignment="1">
      <alignment horizontal="center" vertical="top" wrapText="1"/>
    </xf>
    <xf numFmtId="0" fontId="5" fillId="0" borderId="36" xfId="0" applyFont="1" applyBorder="1" applyAlignment="1">
      <alignment horizontal="center" vertical="top" wrapText="1"/>
    </xf>
    <xf numFmtId="0" fontId="5" fillId="0" borderId="37" xfId="0" applyFont="1" applyBorder="1" applyAlignment="1">
      <alignment horizontal="center" vertical="top" wrapText="1"/>
    </xf>
    <xf numFmtId="0" fontId="5" fillId="0" borderId="38" xfId="0" applyFont="1" applyBorder="1" applyAlignment="1">
      <alignment horizontal="center" vertical="top" wrapText="1"/>
    </xf>
    <xf numFmtId="0" fontId="5" fillId="0" borderId="39" xfId="0" applyFont="1" applyBorder="1" applyAlignment="1">
      <alignment horizontal="center" vertical="top" wrapText="1"/>
    </xf>
    <xf numFmtId="0" fontId="28" fillId="0" borderId="26" xfId="0" applyFont="1" applyBorder="1" applyAlignment="1">
      <alignment horizontal="center" vertical="center" wrapText="1"/>
    </xf>
    <xf numFmtId="0" fontId="28" fillId="0" borderId="21" xfId="0" applyFont="1" applyBorder="1" applyAlignment="1">
      <alignment horizontal="center" vertical="center" wrapText="1"/>
    </xf>
    <xf numFmtId="0" fontId="28" fillId="0" borderId="19" xfId="0" applyFont="1" applyBorder="1" applyAlignment="1">
      <alignment horizontal="center" vertical="center" wrapText="1"/>
    </xf>
    <xf numFmtId="0" fontId="4" fillId="0" borderId="1" xfId="0" applyFont="1" applyBorder="1" applyAlignment="1">
      <alignment horizontal="center" vertical="top" wrapText="1"/>
    </xf>
    <xf numFmtId="0" fontId="0" fillId="0" borderId="2" xfId="0" applyBorder="1" applyAlignment="1">
      <alignment horizontal="center"/>
    </xf>
    <xf numFmtId="0" fontId="0" fillId="0" borderId="34" xfId="0" applyBorder="1" applyAlignment="1">
      <alignment horizontal="center"/>
    </xf>
    <xf numFmtId="0" fontId="0" fillId="0" borderId="19" xfId="0" applyBorder="1" applyAlignment="1">
      <alignment horizontal="center"/>
    </xf>
    <xf numFmtId="0" fontId="0" fillId="0" borderId="23"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37" xfId="0" applyBorder="1" applyAlignment="1">
      <alignment horizontal="center"/>
    </xf>
    <xf numFmtId="0" fontId="0" fillId="0" borderId="38" xfId="0" applyBorder="1" applyAlignment="1">
      <alignment horizontal="center"/>
    </xf>
    <xf numFmtId="0" fontId="0" fillId="0" borderId="39" xfId="0" applyBorder="1" applyAlignment="1">
      <alignment horizontal="center"/>
    </xf>
    <xf numFmtId="0" fontId="0" fillId="0" borderId="1" xfId="0" applyBorder="1" applyAlignment="1">
      <alignment horizontal="center"/>
    </xf>
    <xf numFmtId="0" fontId="4" fillId="0" borderId="2" xfId="0" applyFont="1" applyBorder="1" applyAlignment="1">
      <alignment horizontal="center" vertical="top" wrapText="1"/>
    </xf>
    <xf numFmtId="164" fontId="2" fillId="3" borderId="23" xfId="0" applyNumberFormat="1" applyFont="1" applyFill="1" applyBorder="1" applyAlignment="1">
      <alignment horizontal="center" vertical="center"/>
    </xf>
    <xf numFmtId="164" fontId="2" fillId="3" borderId="22" xfId="0" applyNumberFormat="1" applyFont="1" applyFill="1" applyBorder="1" applyAlignment="1">
      <alignment horizontal="center" vertical="center"/>
    </xf>
    <xf numFmtId="164" fontId="2" fillId="3" borderId="40" xfId="0" applyNumberFormat="1" applyFont="1" applyFill="1" applyBorder="1" applyAlignment="1">
      <alignment horizontal="center" vertical="center"/>
    </xf>
    <xf numFmtId="164" fontId="2" fillId="3" borderId="12" xfId="0" applyNumberFormat="1" applyFont="1" applyFill="1" applyBorder="1" applyAlignment="1">
      <alignment horizontal="center" vertical="center"/>
    </xf>
  </cellXfs>
  <cellStyles count="2">
    <cellStyle name="Гиперссылка" xfId="1" builtinId="8" customBuiltin="1"/>
    <cellStyle name="Обычный" xfId="0" builtinId="0"/>
  </cellStyles>
  <dxfs count="4">
    <dxf>
      <fill>
        <patternFill>
          <bgColor rgb="FFFF0000"/>
        </patternFill>
      </fill>
    </dxf>
    <dxf>
      <fill>
        <patternFill>
          <bgColor rgb="FF92D050"/>
        </patternFill>
      </fill>
    </dxf>
    <dxf>
      <fill>
        <patternFill>
          <bgColor rgb="FF92D050"/>
        </patternFill>
      </fill>
    </dxf>
    <dxf>
      <fill>
        <patternFill>
          <bgColor rgb="FFFF0000"/>
        </patternFill>
      </fill>
    </dxf>
  </dxfs>
  <tableStyles count="0" defaultTableStyle="TableStyleMedium9" defaultPivotStyle="PivotStyleLight16"/>
  <colors>
    <mruColors>
      <color rgb="FF66FFCC"/>
      <color rgb="FF00FFCC"/>
      <color rgb="FF7BF1EE"/>
      <color rgb="FFFF7C80"/>
      <color rgb="FF1CCE64"/>
      <color rgb="FFFF6600"/>
      <color rgb="FFFF5D5D"/>
      <color rgb="FFFF0000"/>
      <color rgb="FF0E8C89"/>
      <color rgb="FFF4540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241.png"/><Relationship Id="rId3" Type="http://schemas.openxmlformats.org/officeDocument/2006/relationships/image" Target="../media/image236.emf"/><Relationship Id="rId7" Type="http://schemas.openxmlformats.org/officeDocument/2006/relationships/image" Target="../media/image240.emf"/><Relationship Id="rId12" Type="http://schemas.openxmlformats.org/officeDocument/2006/relationships/image" Target="../media/image245.png"/><Relationship Id="rId2" Type="http://schemas.openxmlformats.org/officeDocument/2006/relationships/image" Target="../media/image235.emf"/><Relationship Id="rId1" Type="http://schemas.openxmlformats.org/officeDocument/2006/relationships/image" Target="../media/image234.emf"/><Relationship Id="rId6" Type="http://schemas.openxmlformats.org/officeDocument/2006/relationships/image" Target="../media/image239.emf"/><Relationship Id="rId11" Type="http://schemas.openxmlformats.org/officeDocument/2006/relationships/image" Target="../media/image244.emf"/><Relationship Id="rId5" Type="http://schemas.openxmlformats.org/officeDocument/2006/relationships/image" Target="../media/image238.emf"/><Relationship Id="rId10" Type="http://schemas.openxmlformats.org/officeDocument/2006/relationships/image" Target="../media/image243.png"/><Relationship Id="rId4" Type="http://schemas.openxmlformats.org/officeDocument/2006/relationships/image" Target="../media/image237.jpeg"/><Relationship Id="rId9" Type="http://schemas.openxmlformats.org/officeDocument/2006/relationships/image" Target="../media/image242.emf"/></Relationships>
</file>

<file path=xl/drawings/_rels/drawing2.xml.rels><?xml version="1.0" encoding="UTF-8" standalone="yes"?>
<Relationships xmlns="http://schemas.openxmlformats.org/package/2006/relationships"><Relationship Id="rId8" Type="http://schemas.openxmlformats.org/officeDocument/2006/relationships/image" Target="../media/image253.png"/><Relationship Id="rId13" Type="http://schemas.openxmlformats.org/officeDocument/2006/relationships/image" Target="../media/image258.png"/><Relationship Id="rId18" Type="http://schemas.openxmlformats.org/officeDocument/2006/relationships/image" Target="../media/image263.png"/><Relationship Id="rId3" Type="http://schemas.openxmlformats.org/officeDocument/2006/relationships/image" Target="../media/image248.png"/><Relationship Id="rId21" Type="http://schemas.openxmlformats.org/officeDocument/2006/relationships/image" Target="../media/image266.png"/><Relationship Id="rId7" Type="http://schemas.openxmlformats.org/officeDocument/2006/relationships/image" Target="../media/image252.png"/><Relationship Id="rId12" Type="http://schemas.openxmlformats.org/officeDocument/2006/relationships/image" Target="../media/image257.png"/><Relationship Id="rId17" Type="http://schemas.openxmlformats.org/officeDocument/2006/relationships/image" Target="../media/image262.png"/><Relationship Id="rId2" Type="http://schemas.openxmlformats.org/officeDocument/2006/relationships/image" Target="../media/image247.emf"/><Relationship Id="rId16" Type="http://schemas.openxmlformats.org/officeDocument/2006/relationships/image" Target="../media/image261.png"/><Relationship Id="rId20" Type="http://schemas.openxmlformats.org/officeDocument/2006/relationships/image" Target="../media/image265.png"/><Relationship Id="rId1" Type="http://schemas.openxmlformats.org/officeDocument/2006/relationships/image" Target="../media/image246.emf"/><Relationship Id="rId6" Type="http://schemas.openxmlformats.org/officeDocument/2006/relationships/image" Target="../media/image251.png"/><Relationship Id="rId11" Type="http://schemas.openxmlformats.org/officeDocument/2006/relationships/image" Target="../media/image256.png"/><Relationship Id="rId5" Type="http://schemas.openxmlformats.org/officeDocument/2006/relationships/image" Target="../media/image250.png"/><Relationship Id="rId15" Type="http://schemas.openxmlformats.org/officeDocument/2006/relationships/image" Target="../media/image260.png"/><Relationship Id="rId23" Type="http://schemas.openxmlformats.org/officeDocument/2006/relationships/image" Target="../media/image268.emf"/><Relationship Id="rId10" Type="http://schemas.openxmlformats.org/officeDocument/2006/relationships/image" Target="../media/image255.png"/><Relationship Id="rId19" Type="http://schemas.openxmlformats.org/officeDocument/2006/relationships/image" Target="../media/image264.png"/><Relationship Id="rId4" Type="http://schemas.openxmlformats.org/officeDocument/2006/relationships/image" Target="../media/image249.png"/><Relationship Id="rId9" Type="http://schemas.openxmlformats.org/officeDocument/2006/relationships/image" Target="../media/image254.png"/><Relationship Id="rId14" Type="http://schemas.openxmlformats.org/officeDocument/2006/relationships/image" Target="../media/image259.png"/><Relationship Id="rId22" Type="http://schemas.openxmlformats.org/officeDocument/2006/relationships/image" Target="../media/image267.png"/></Relationships>
</file>

<file path=xl/drawings/_rels/drawing3.xml.rels><?xml version="1.0" encoding="UTF-8" standalone="yes"?>
<Relationships xmlns="http://schemas.openxmlformats.org/package/2006/relationships"><Relationship Id="rId1" Type="http://schemas.openxmlformats.org/officeDocument/2006/relationships/image" Target="../media/image323.emf"/></Relationships>
</file>

<file path=xl/drawings/_rels/drawing4.xml.rels><?xml version="1.0" encoding="UTF-8" standalone="yes"?>
<Relationships xmlns="http://schemas.openxmlformats.org/package/2006/relationships"><Relationship Id="rId8" Type="http://schemas.openxmlformats.org/officeDocument/2006/relationships/image" Target="../media/image333.jpeg"/><Relationship Id="rId3" Type="http://schemas.openxmlformats.org/officeDocument/2006/relationships/image" Target="../media/image328.jpeg"/><Relationship Id="rId7" Type="http://schemas.openxmlformats.org/officeDocument/2006/relationships/image" Target="../media/image332.jpeg"/><Relationship Id="rId2" Type="http://schemas.openxmlformats.org/officeDocument/2006/relationships/image" Target="../media/image327.jpeg"/><Relationship Id="rId1" Type="http://schemas.openxmlformats.org/officeDocument/2006/relationships/image" Target="../media/image326.jpeg"/><Relationship Id="rId6" Type="http://schemas.openxmlformats.org/officeDocument/2006/relationships/image" Target="../media/image331.jpeg"/><Relationship Id="rId5" Type="http://schemas.openxmlformats.org/officeDocument/2006/relationships/image" Target="../media/image330.png"/><Relationship Id="rId4" Type="http://schemas.openxmlformats.org/officeDocument/2006/relationships/image" Target="../media/image329.jpeg"/></Relationships>
</file>

<file path=xl/drawings/_rels/drawing5.xml.rels><?xml version="1.0" encoding="UTF-8" standalone="yes"?>
<Relationships xmlns="http://schemas.openxmlformats.org/package/2006/relationships"><Relationship Id="rId8" Type="http://schemas.openxmlformats.org/officeDocument/2006/relationships/image" Target="../media/image360.emf"/><Relationship Id="rId13" Type="http://schemas.openxmlformats.org/officeDocument/2006/relationships/image" Target="../media/image365.png"/><Relationship Id="rId18" Type="http://schemas.openxmlformats.org/officeDocument/2006/relationships/image" Target="../media/image370.png"/><Relationship Id="rId26" Type="http://schemas.openxmlformats.org/officeDocument/2006/relationships/image" Target="../media/image377.emf"/><Relationship Id="rId3" Type="http://schemas.openxmlformats.org/officeDocument/2006/relationships/image" Target="../media/image355.jpeg"/><Relationship Id="rId21" Type="http://schemas.openxmlformats.org/officeDocument/2006/relationships/image" Target="../media/image373.emf"/><Relationship Id="rId7" Type="http://schemas.openxmlformats.org/officeDocument/2006/relationships/image" Target="../media/image359.jpeg"/><Relationship Id="rId12" Type="http://schemas.openxmlformats.org/officeDocument/2006/relationships/image" Target="../media/image364.png"/><Relationship Id="rId17" Type="http://schemas.openxmlformats.org/officeDocument/2006/relationships/image" Target="../media/image369.png"/><Relationship Id="rId25" Type="http://schemas.openxmlformats.org/officeDocument/2006/relationships/image" Target="../media/image246.emf"/><Relationship Id="rId2" Type="http://schemas.openxmlformats.org/officeDocument/2006/relationships/image" Target="../media/image354.png"/><Relationship Id="rId16" Type="http://schemas.openxmlformats.org/officeDocument/2006/relationships/image" Target="../media/image368.png"/><Relationship Id="rId20" Type="http://schemas.openxmlformats.org/officeDocument/2006/relationships/image" Target="../media/image372.png"/><Relationship Id="rId1" Type="http://schemas.openxmlformats.org/officeDocument/2006/relationships/image" Target="../media/image353.png"/><Relationship Id="rId6" Type="http://schemas.openxmlformats.org/officeDocument/2006/relationships/image" Target="../media/image358.jpeg"/><Relationship Id="rId11" Type="http://schemas.openxmlformats.org/officeDocument/2006/relationships/image" Target="../media/image363.png"/><Relationship Id="rId24" Type="http://schemas.openxmlformats.org/officeDocument/2006/relationships/image" Target="../media/image376.emf"/><Relationship Id="rId5" Type="http://schemas.openxmlformats.org/officeDocument/2006/relationships/image" Target="../media/image357.png"/><Relationship Id="rId15" Type="http://schemas.openxmlformats.org/officeDocument/2006/relationships/image" Target="../media/image367.png"/><Relationship Id="rId23" Type="http://schemas.openxmlformats.org/officeDocument/2006/relationships/image" Target="../media/image375.png"/><Relationship Id="rId10" Type="http://schemas.openxmlformats.org/officeDocument/2006/relationships/image" Target="../media/image362.png"/><Relationship Id="rId19" Type="http://schemas.openxmlformats.org/officeDocument/2006/relationships/image" Target="../media/image371.emf"/><Relationship Id="rId4" Type="http://schemas.openxmlformats.org/officeDocument/2006/relationships/image" Target="../media/image356.png"/><Relationship Id="rId9" Type="http://schemas.openxmlformats.org/officeDocument/2006/relationships/image" Target="../media/image361.jpeg"/><Relationship Id="rId14" Type="http://schemas.openxmlformats.org/officeDocument/2006/relationships/image" Target="../media/image366.png"/><Relationship Id="rId22" Type="http://schemas.openxmlformats.org/officeDocument/2006/relationships/image" Target="../media/image374.emf"/></Relationships>
</file>

<file path=xl/drawings/_rels/drawing6.xml.rels><?xml version="1.0" encoding="UTF-8" standalone="yes"?>
<Relationships xmlns="http://schemas.openxmlformats.org/package/2006/relationships"><Relationship Id="rId8" Type="http://schemas.openxmlformats.org/officeDocument/2006/relationships/image" Target="../media/image387.emf"/><Relationship Id="rId13" Type="http://schemas.openxmlformats.org/officeDocument/2006/relationships/image" Target="../media/image392.emf"/><Relationship Id="rId18" Type="http://schemas.openxmlformats.org/officeDocument/2006/relationships/image" Target="../media/image397.emf"/><Relationship Id="rId3" Type="http://schemas.openxmlformats.org/officeDocument/2006/relationships/image" Target="../media/image382.emf"/><Relationship Id="rId21" Type="http://schemas.openxmlformats.org/officeDocument/2006/relationships/image" Target="../media/image400.emf"/><Relationship Id="rId7" Type="http://schemas.openxmlformats.org/officeDocument/2006/relationships/image" Target="../media/image386.emf"/><Relationship Id="rId12" Type="http://schemas.openxmlformats.org/officeDocument/2006/relationships/image" Target="../media/image391.emf"/><Relationship Id="rId17" Type="http://schemas.openxmlformats.org/officeDocument/2006/relationships/image" Target="../media/image396.emf"/><Relationship Id="rId2" Type="http://schemas.openxmlformats.org/officeDocument/2006/relationships/image" Target="../media/image381.emf"/><Relationship Id="rId16" Type="http://schemas.openxmlformats.org/officeDocument/2006/relationships/image" Target="../media/image395.emf"/><Relationship Id="rId20" Type="http://schemas.openxmlformats.org/officeDocument/2006/relationships/image" Target="../media/image399.emf"/><Relationship Id="rId1" Type="http://schemas.openxmlformats.org/officeDocument/2006/relationships/image" Target="../media/image380.jpeg"/><Relationship Id="rId6" Type="http://schemas.openxmlformats.org/officeDocument/2006/relationships/image" Target="../media/image385.emf"/><Relationship Id="rId11" Type="http://schemas.openxmlformats.org/officeDocument/2006/relationships/image" Target="../media/image390.emf"/><Relationship Id="rId5" Type="http://schemas.openxmlformats.org/officeDocument/2006/relationships/image" Target="../media/image384.emf"/><Relationship Id="rId15" Type="http://schemas.openxmlformats.org/officeDocument/2006/relationships/image" Target="../media/image394.emf"/><Relationship Id="rId10" Type="http://schemas.openxmlformats.org/officeDocument/2006/relationships/image" Target="../media/image389.emf"/><Relationship Id="rId19" Type="http://schemas.openxmlformats.org/officeDocument/2006/relationships/image" Target="../media/image398.emf"/><Relationship Id="rId4" Type="http://schemas.openxmlformats.org/officeDocument/2006/relationships/image" Target="../media/image383.emf"/><Relationship Id="rId9" Type="http://schemas.openxmlformats.org/officeDocument/2006/relationships/image" Target="../media/image388.emf"/><Relationship Id="rId14" Type="http://schemas.openxmlformats.org/officeDocument/2006/relationships/image" Target="../media/image393.emf"/><Relationship Id="rId22" Type="http://schemas.openxmlformats.org/officeDocument/2006/relationships/image" Target="../media/image401.emf"/></Relationships>
</file>

<file path=xl/drawings/_rels/vmlDrawing1.vml.rels><?xml version="1.0" encoding="UTF-8" standalone="yes"?>
<Relationships xmlns="http://schemas.openxmlformats.org/package/2006/relationships"><Relationship Id="rId117" Type="http://schemas.openxmlformats.org/officeDocument/2006/relationships/image" Target="../media/image117.emf"/><Relationship Id="rId21" Type="http://schemas.openxmlformats.org/officeDocument/2006/relationships/image" Target="../media/image21.emf"/><Relationship Id="rId42" Type="http://schemas.openxmlformats.org/officeDocument/2006/relationships/image" Target="../media/image42.emf"/><Relationship Id="rId63" Type="http://schemas.openxmlformats.org/officeDocument/2006/relationships/image" Target="../media/image63.emf"/><Relationship Id="rId84" Type="http://schemas.openxmlformats.org/officeDocument/2006/relationships/image" Target="../media/image84.emf"/><Relationship Id="rId138" Type="http://schemas.openxmlformats.org/officeDocument/2006/relationships/image" Target="../media/image138.emf"/><Relationship Id="rId159" Type="http://schemas.openxmlformats.org/officeDocument/2006/relationships/image" Target="../media/image159.emf"/><Relationship Id="rId170" Type="http://schemas.openxmlformats.org/officeDocument/2006/relationships/image" Target="../media/image170.emf"/><Relationship Id="rId191" Type="http://schemas.openxmlformats.org/officeDocument/2006/relationships/image" Target="../media/image191.emf"/><Relationship Id="rId205" Type="http://schemas.openxmlformats.org/officeDocument/2006/relationships/image" Target="../media/image205.emf"/><Relationship Id="rId226" Type="http://schemas.openxmlformats.org/officeDocument/2006/relationships/image" Target="../media/image226.emf"/><Relationship Id="rId107" Type="http://schemas.openxmlformats.org/officeDocument/2006/relationships/image" Target="../media/image107.emf"/><Relationship Id="rId11" Type="http://schemas.openxmlformats.org/officeDocument/2006/relationships/image" Target="../media/image11.emf"/><Relationship Id="rId32" Type="http://schemas.openxmlformats.org/officeDocument/2006/relationships/image" Target="../media/image32.emf"/><Relationship Id="rId53" Type="http://schemas.openxmlformats.org/officeDocument/2006/relationships/image" Target="../media/image53.emf"/><Relationship Id="rId74" Type="http://schemas.openxmlformats.org/officeDocument/2006/relationships/image" Target="../media/image74.emf"/><Relationship Id="rId128" Type="http://schemas.openxmlformats.org/officeDocument/2006/relationships/image" Target="../media/image128.emf"/><Relationship Id="rId149" Type="http://schemas.openxmlformats.org/officeDocument/2006/relationships/image" Target="../media/image149.emf"/><Relationship Id="rId5" Type="http://schemas.openxmlformats.org/officeDocument/2006/relationships/image" Target="../media/image5.emf"/><Relationship Id="rId95" Type="http://schemas.openxmlformats.org/officeDocument/2006/relationships/image" Target="../media/image95.emf"/><Relationship Id="rId160" Type="http://schemas.openxmlformats.org/officeDocument/2006/relationships/image" Target="../media/image160.emf"/><Relationship Id="rId181" Type="http://schemas.openxmlformats.org/officeDocument/2006/relationships/image" Target="../media/image181.emf"/><Relationship Id="rId216" Type="http://schemas.openxmlformats.org/officeDocument/2006/relationships/image" Target="../media/image216.emf"/><Relationship Id="rId22" Type="http://schemas.openxmlformats.org/officeDocument/2006/relationships/image" Target="../media/image22.emf"/><Relationship Id="rId43" Type="http://schemas.openxmlformats.org/officeDocument/2006/relationships/image" Target="../media/image43.emf"/><Relationship Id="rId64" Type="http://schemas.openxmlformats.org/officeDocument/2006/relationships/image" Target="../media/image64.emf"/><Relationship Id="rId118" Type="http://schemas.openxmlformats.org/officeDocument/2006/relationships/image" Target="../media/image118.emf"/><Relationship Id="rId139" Type="http://schemas.openxmlformats.org/officeDocument/2006/relationships/image" Target="../media/image139.emf"/><Relationship Id="rId85" Type="http://schemas.openxmlformats.org/officeDocument/2006/relationships/image" Target="../media/image85.emf"/><Relationship Id="rId150" Type="http://schemas.openxmlformats.org/officeDocument/2006/relationships/image" Target="../media/image150.emf"/><Relationship Id="rId171" Type="http://schemas.openxmlformats.org/officeDocument/2006/relationships/image" Target="../media/image171.emf"/><Relationship Id="rId192" Type="http://schemas.openxmlformats.org/officeDocument/2006/relationships/image" Target="../media/image192.emf"/><Relationship Id="rId206" Type="http://schemas.openxmlformats.org/officeDocument/2006/relationships/image" Target="../media/image206.emf"/><Relationship Id="rId227" Type="http://schemas.openxmlformats.org/officeDocument/2006/relationships/image" Target="../media/image227.emf"/><Relationship Id="rId12" Type="http://schemas.openxmlformats.org/officeDocument/2006/relationships/image" Target="../media/image12.emf"/><Relationship Id="rId33" Type="http://schemas.openxmlformats.org/officeDocument/2006/relationships/image" Target="../media/image33.emf"/><Relationship Id="rId108" Type="http://schemas.openxmlformats.org/officeDocument/2006/relationships/image" Target="../media/image108.emf"/><Relationship Id="rId129" Type="http://schemas.openxmlformats.org/officeDocument/2006/relationships/image" Target="../media/image129.emf"/><Relationship Id="rId54" Type="http://schemas.openxmlformats.org/officeDocument/2006/relationships/image" Target="../media/image54.emf"/><Relationship Id="rId75" Type="http://schemas.openxmlformats.org/officeDocument/2006/relationships/image" Target="../media/image75.emf"/><Relationship Id="rId96" Type="http://schemas.openxmlformats.org/officeDocument/2006/relationships/image" Target="../media/image96.emf"/><Relationship Id="rId140" Type="http://schemas.openxmlformats.org/officeDocument/2006/relationships/image" Target="../media/image140.emf"/><Relationship Id="rId161" Type="http://schemas.openxmlformats.org/officeDocument/2006/relationships/image" Target="../media/image161.emf"/><Relationship Id="rId182" Type="http://schemas.openxmlformats.org/officeDocument/2006/relationships/image" Target="../media/image182.emf"/><Relationship Id="rId217" Type="http://schemas.openxmlformats.org/officeDocument/2006/relationships/image" Target="../media/image217.emf"/><Relationship Id="rId6" Type="http://schemas.openxmlformats.org/officeDocument/2006/relationships/image" Target="../media/image6.emf"/><Relationship Id="rId23" Type="http://schemas.openxmlformats.org/officeDocument/2006/relationships/image" Target="../media/image23.emf"/><Relationship Id="rId119" Type="http://schemas.openxmlformats.org/officeDocument/2006/relationships/image" Target="../media/image119.emf"/><Relationship Id="rId44" Type="http://schemas.openxmlformats.org/officeDocument/2006/relationships/image" Target="../media/image44.emf"/><Relationship Id="rId65" Type="http://schemas.openxmlformats.org/officeDocument/2006/relationships/image" Target="../media/image65.emf"/><Relationship Id="rId86" Type="http://schemas.openxmlformats.org/officeDocument/2006/relationships/image" Target="../media/image86.emf"/><Relationship Id="rId130" Type="http://schemas.openxmlformats.org/officeDocument/2006/relationships/image" Target="../media/image130.emf"/><Relationship Id="rId151" Type="http://schemas.openxmlformats.org/officeDocument/2006/relationships/image" Target="../media/image151.emf"/><Relationship Id="rId172" Type="http://schemas.openxmlformats.org/officeDocument/2006/relationships/image" Target="../media/image172.emf"/><Relationship Id="rId193" Type="http://schemas.openxmlformats.org/officeDocument/2006/relationships/image" Target="../media/image193.emf"/><Relationship Id="rId207" Type="http://schemas.openxmlformats.org/officeDocument/2006/relationships/image" Target="../media/image207.emf"/><Relationship Id="rId228" Type="http://schemas.openxmlformats.org/officeDocument/2006/relationships/image" Target="../media/image228.emf"/><Relationship Id="rId13" Type="http://schemas.openxmlformats.org/officeDocument/2006/relationships/image" Target="../media/image13.emf"/><Relationship Id="rId109" Type="http://schemas.openxmlformats.org/officeDocument/2006/relationships/image" Target="../media/image109.emf"/><Relationship Id="rId34" Type="http://schemas.openxmlformats.org/officeDocument/2006/relationships/image" Target="../media/image34.emf"/><Relationship Id="rId55" Type="http://schemas.openxmlformats.org/officeDocument/2006/relationships/image" Target="../media/image55.emf"/><Relationship Id="rId76" Type="http://schemas.openxmlformats.org/officeDocument/2006/relationships/image" Target="../media/image76.emf"/><Relationship Id="rId97" Type="http://schemas.openxmlformats.org/officeDocument/2006/relationships/image" Target="../media/image97.emf"/><Relationship Id="rId120" Type="http://schemas.openxmlformats.org/officeDocument/2006/relationships/image" Target="../media/image120.emf"/><Relationship Id="rId141" Type="http://schemas.openxmlformats.org/officeDocument/2006/relationships/image" Target="../media/image141.emf"/><Relationship Id="rId7" Type="http://schemas.openxmlformats.org/officeDocument/2006/relationships/image" Target="../media/image7.emf"/><Relationship Id="rId162" Type="http://schemas.openxmlformats.org/officeDocument/2006/relationships/image" Target="../media/image162.emf"/><Relationship Id="rId183" Type="http://schemas.openxmlformats.org/officeDocument/2006/relationships/image" Target="../media/image183.emf"/><Relationship Id="rId218" Type="http://schemas.openxmlformats.org/officeDocument/2006/relationships/image" Target="../media/image218.emf"/><Relationship Id="rId24" Type="http://schemas.openxmlformats.org/officeDocument/2006/relationships/image" Target="../media/image24.emf"/><Relationship Id="rId45" Type="http://schemas.openxmlformats.org/officeDocument/2006/relationships/image" Target="../media/image45.emf"/><Relationship Id="rId66" Type="http://schemas.openxmlformats.org/officeDocument/2006/relationships/image" Target="../media/image66.emf"/><Relationship Id="rId87" Type="http://schemas.openxmlformats.org/officeDocument/2006/relationships/image" Target="../media/image87.emf"/><Relationship Id="rId110" Type="http://schemas.openxmlformats.org/officeDocument/2006/relationships/image" Target="../media/image110.emf"/><Relationship Id="rId131" Type="http://schemas.openxmlformats.org/officeDocument/2006/relationships/image" Target="../media/image131.emf"/><Relationship Id="rId152" Type="http://schemas.openxmlformats.org/officeDocument/2006/relationships/image" Target="../media/image152.emf"/><Relationship Id="rId173" Type="http://schemas.openxmlformats.org/officeDocument/2006/relationships/image" Target="../media/image173.emf"/><Relationship Id="rId194" Type="http://schemas.openxmlformats.org/officeDocument/2006/relationships/image" Target="../media/image194.emf"/><Relationship Id="rId208" Type="http://schemas.openxmlformats.org/officeDocument/2006/relationships/image" Target="../media/image208.emf"/><Relationship Id="rId229" Type="http://schemas.openxmlformats.org/officeDocument/2006/relationships/image" Target="../media/image229.emf"/><Relationship Id="rId14" Type="http://schemas.openxmlformats.org/officeDocument/2006/relationships/image" Target="../media/image14.emf"/><Relationship Id="rId35" Type="http://schemas.openxmlformats.org/officeDocument/2006/relationships/image" Target="../media/image35.emf"/><Relationship Id="rId56" Type="http://schemas.openxmlformats.org/officeDocument/2006/relationships/image" Target="../media/image56.emf"/><Relationship Id="rId77" Type="http://schemas.openxmlformats.org/officeDocument/2006/relationships/image" Target="../media/image77.emf"/><Relationship Id="rId100" Type="http://schemas.openxmlformats.org/officeDocument/2006/relationships/image" Target="../media/image100.emf"/><Relationship Id="rId8" Type="http://schemas.openxmlformats.org/officeDocument/2006/relationships/image" Target="../media/image8.emf"/><Relationship Id="rId98" Type="http://schemas.openxmlformats.org/officeDocument/2006/relationships/image" Target="../media/image98.emf"/><Relationship Id="rId121" Type="http://schemas.openxmlformats.org/officeDocument/2006/relationships/image" Target="../media/image121.emf"/><Relationship Id="rId142" Type="http://schemas.openxmlformats.org/officeDocument/2006/relationships/image" Target="../media/image142.emf"/><Relationship Id="rId163" Type="http://schemas.openxmlformats.org/officeDocument/2006/relationships/image" Target="../media/image163.emf"/><Relationship Id="rId184" Type="http://schemas.openxmlformats.org/officeDocument/2006/relationships/image" Target="../media/image184.emf"/><Relationship Id="rId219" Type="http://schemas.openxmlformats.org/officeDocument/2006/relationships/image" Target="../media/image219.emf"/><Relationship Id="rId230" Type="http://schemas.openxmlformats.org/officeDocument/2006/relationships/image" Target="../media/image230.emf"/><Relationship Id="rId25" Type="http://schemas.openxmlformats.org/officeDocument/2006/relationships/image" Target="../media/image25.emf"/><Relationship Id="rId46" Type="http://schemas.openxmlformats.org/officeDocument/2006/relationships/image" Target="../media/image46.emf"/><Relationship Id="rId67" Type="http://schemas.openxmlformats.org/officeDocument/2006/relationships/image" Target="../media/image67.emf"/><Relationship Id="rId20" Type="http://schemas.openxmlformats.org/officeDocument/2006/relationships/image" Target="../media/image20.emf"/><Relationship Id="rId41" Type="http://schemas.openxmlformats.org/officeDocument/2006/relationships/image" Target="../media/image41.emf"/><Relationship Id="rId62" Type="http://schemas.openxmlformats.org/officeDocument/2006/relationships/image" Target="../media/image62.emf"/><Relationship Id="rId83" Type="http://schemas.openxmlformats.org/officeDocument/2006/relationships/image" Target="../media/image83.emf"/><Relationship Id="rId88" Type="http://schemas.openxmlformats.org/officeDocument/2006/relationships/image" Target="../media/image88.emf"/><Relationship Id="rId111" Type="http://schemas.openxmlformats.org/officeDocument/2006/relationships/image" Target="../media/image111.emf"/><Relationship Id="rId132" Type="http://schemas.openxmlformats.org/officeDocument/2006/relationships/image" Target="../media/image132.emf"/><Relationship Id="rId153" Type="http://schemas.openxmlformats.org/officeDocument/2006/relationships/image" Target="../media/image153.emf"/><Relationship Id="rId174" Type="http://schemas.openxmlformats.org/officeDocument/2006/relationships/image" Target="../media/image174.emf"/><Relationship Id="rId179" Type="http://schemas.openxmlformats.org/officeDocument/2006/relationships/image" Target="../media/image179.emf"/><Relationship Id="rId195" Type="http://schemas.openxmlformats.org/officeDocument/2006/relationships/image" Target="../media/image195.emf"/><Relationship Id="rId209" Type="http://schemas.openxmlformats.org/officeDocument/2006/relationships/image" Target="../media/image209.emf"/><Relationship Id="rId190" Type="http://schemas.openxmlformats.org/officeDocument/2006/relationships/image" Target="../media/image190.emf"/><Relationship Id="rId204" Type="http://schemas.openxmlformats.org/officeDocument/2006/relationships/image" Target="../media/image204.emf"/><Relationship Id="rId220" Type="http://schemas.openxmlformats.org/officeDocument/2006/relationships/image" Target="../media/image220.emf"/><Relationship Id="rId225" Type="http://schemas.openxmlformats.org/officeDocument/2006/relationships/image" Target="../media/image225.emf"/><Relationship Id="rId15" Type="http://schemas.openxmlformats.org/officeDocument/2006/relationships/image" Target="../media/image15.emf"/><Relationship Id="rId36" Type="http://schemas.openxmlformats.org/officeDocument/2006/relationships/image" Target="../media/image36.emf"/><Relationship Id="rId57" Type="http://schemas.openxmlformats.org/officeDocument/2006/relationships/image" Target="../media/image57.emf"/><Relationship Id="rId106" Type="http://schemas.openxmlformats.org/officeDocument/2006/relationships/image" Target="../media/image106.emf"/><Relationship Id="rId127" Type="http://schemas.openxmlformats.org/officeDocument/2006/relationships/image" Target="../media/image127.emf"/><Relationship Id="rId10" Type="http://schemas.openxmlformats.org/officeDocument/2006/relationships/image" Target="../media/image10.emf"/><Relationship Id="rId31" Type="http://schemas.openxmlformats.org/officeDocument/2006/relationships/image" Target="../media/image31.emf"/><Relationship Id="rId52" Type="http://schemas.openxmlformats.org/officeDocument/2006/relationships/image" Target="../media/image52.emf"/><Relationship Id="rId73" Type="http://schemas.openxmlformats.org/officeDocument/2006/relationships/image" Target="../media/image73.emf"/><Relationship Id="rId78" Type="http://schemas.openxmlformats.org/officeDocument/2006/relationships/image" Target="../media/image78.emf"/><Relationship Id="rId94" Type="http://schemas.openxmlformats.org/officeDocument/2006/relationships/image" Target="../media/image94.emf"/><Relationship Id="rId99" Type="http://schemas.openxmlformats.org/officeDocument/2006/relationships/image" Target="../media/image99.emf"/><Relationship Id="rId101" Type="http://schemas.openxmlformats.org/officeDocument/2006/relationships/image" Target="../media/image101.emf"/><Relationship Id="rId122" Type="http://schemas.openxmlformats.org/officeDocument/2006/relationships/image" Target="../media/image122.emf"/><Relationship Id="rId143" Type="http://schemas.openxmlformats.org/officeDocument/2006/relationships/image" Target="../media/image143.emf"/><Relationship Id="rId148" Type="http://schemas.openxmlformats.org/officeDocument/2006/relationships/image" Target="../media/image148.emf"/><Relationship Id="rId164" Type="http://schemas.openxmlformats.org/officeDocument/2006/relationships/image" Target="../media/image164.emf"/><Relationship Id="rId169" Type="http://schemas.openxmlformats.org/officeDocument/2006/relationships/image" Target="../media/image169.emf"/><Relationship Id="rId185" Type="http://schemas.openxmlformats.org/officeDocument/2006/relationships/image" Target="../media/image185.emf"/><Relationship Id="rId4" Type="http://schemas.openxmlformats.org/officeDocument/2006/relationships/image" Target="../media/image4.emf"/><Relationship Id="rId9" Type="http://schemas.openxmlformats.org/officeDocument/2006/relationships/image" Target="../media/image9.emf"/><Relationship Id="rId180" Type="http://schemas.openxmlformats.org/officeDocument/2006/relationships/image" Target="../media/image180.emf"/><Relationship Id="rId210" Type="http://schemas.openxmlformats.org/officeDocument/2006/relationships/image" Target="../media/image210.emf"/><Relationship Id="rId215" Type="http://schemas.openxmlformats.org/officeDocument/2006/relationships/image" Target="../media/image215.emf"/><Relationship Id="rId26" Type="http://schemas.openxmlformats.org/officeDocument/2006/relationships/image" Target="../media/image26.emf"/><Relationship Id="rId231" Type="http://schemas.openxmlformats.org/officeDocument/2006/relationships/image" Target="../media/image231.emf"/><Relationship Id="rId47" Type="http://schemas.openxmlformats.org/officeDocument/2006/relationships/image" Target="../media/image47.emf"/><Relationship Id="rId68" Type="http://schemas.openxmlformats.org/officeDocument/2006/relationships/image" Target="../media/image68.emf"/><Relationship Id="rId89" Type="http://schemas.openxmlformats.org/officeDocument/2006/relationships/image" Target="../media/image89.emf"/><Relationship Id="rId112" Type="http://schemas.openxmlformats.org/officeDocument/2006/relationships/image" Target="../media/image112.emf"/><Relationship Id="rId133" Type="http://schemas.openxmlformats.org/officeDocument/2006/relationships/image" Target="../media/image133.emf"/><Relationship Id="rId154" Type="http://schemas.openxmlformats.org/officeDocument/2006/relationships/image" Target="../media/image154.emf"/><Relationship Id="rId175" Type="http://schemas.openxmlformats.org/officeDocument/2006/relationships/image" Target="../media/image175.emf"/><Relationship Id="rId196" Type="http://schemas.openxmlformats.org/officeDocument/2006/relationships/image" Target="../media/image196.emf"/><Relationship Id="rId200" Type="http://schemas.openxmlformats.org/officeDocument/2006/relationships/image" Target="../media/image200.emf"/><Relationship Id="rId16" Type="http://schemas.openxmlformats.org/officeDocument/2006/relationships/image" Target="../media/image16.emf"/><Relationship Id="rId221" Type="http://schemas.openxmlformats.org/officeDocument/2006/relationships/image" Target="../media/image221.emf"/><Relationship Id="rId37" Type="http://schemas.openxmlformats.org/officeDocument/2006/relationships/image" Target="../media/image37.emf"/><Relationship Id="rId58" Type="http://schemas.openxmlformats.org/officeDocument/2006/relationships/image" Target="../media/image58.emf"/><Relationship Id="rId79" Type="http://schemas.openxmlformats.org/officeDocument/2006/relationships/image" Target="../media/image79.emf"/><Relationship Id="rId102" Type="http://schemas.openxmlformats.org/officeDocument/2006/relationships/image" Target="../media/image102.emf"/><Relationship Id="rId123" Type="http://schemas.openxmlformats.org/officeDocument/2006/relationships/image" Target="../media/image123.emf"/><Relationship Id="rId144" Type="http://schemas.openxmlformats.org/officeDocument/2006/relationships/image" Target="../media/image144.emf"/><Relationship Id="rId90" Type="http://schemas.openxmlformats.org/officeDocument/2006/relationships/image" Target="../media/image90.emf"/><Relationship Id="rId165" Type="http://schemas.openxmlformats.org/officeDocument/2006/relationships/image" Target="../media/image165.emf"/><Relationship Id="rId186" Type="http://schemas.openxmlformats.org/officeDocument/2006/relationships/image" Target="../media/image186.emf"/><Relationship Id="rId211" Type="http://schemas.openxmlformats.org/officeDocument/2006/relationships/image" Target="../media/image211.emf"/><Relationship Id="rId232" Type="http://schemas.openxmlformats.org/officeDocument/2006/relationships/image" Target="../media/image232.emf"/><Relationship Id="rId27" Type="http://schemas.openxmlformats.org/officeDocument/2006/relationships/image" Target="../media/image27.emf"/><Relationship Id="rId48" Type="http://schemas.openxmlformats.org/officeDocument/2006/relationships/image" Target="../media/image48.emf"/><Relationship Id="rId69" Type="http://schemas.openxmlformats.org/officeDocument/2006/relationships/image" Target="../media/image69.emf"/><Relationship Id="rId113" Type="http://schemas.openxmlformats.org/officeDocument/2006/relationships/image" Target="../media/image113.emf"/><Relationship Id="rId134" Type="http://schemas.openxmlformats.org/officeDocument/2006/relationships/image" Target="../media/image134.emf"/><Relationship Id="rId80" Type="http://schemas.openxmlformats.org/officeDocument/2006/relationships/image" Target="../media/image80.emf"/><Relationship Id="rId155" Type="http://schemas.openxmlformats.org/officeDocument/2006/relationships/image" Target="../media/image155.emf"/><Relationship Id="rId176" Type="http://schemas.openxmlformats.org/officeDocument/2006/relationships/image" Target="../media/image176.emf"/><Relationship Id="rId197" Type="http://schemas.openxmlformats.org/officeDocument/2006/relationships/image" Target="../media/image197.emf"/><Relationship Id="rId201" Type="http://schemas.openxmlformats.org/officeDocument/2006/relationships/image" Target="../media/image201.emf"/><Relationship Id="rId222" Type="http://schemas.openxmlformats.org/officeDocument/2006/relationships/image" Target="../media/image222.emf"/><Relationship Id="rId17" Type="http://schemas.openxmlformats.org/officeDocument/2006/relationships/image" Target="../media/image17.emf"/><Relationship Id="rId38" Type="http://schemas.openxmlformats.org/officeDocument/2006/relationships/image" Target="../media/image38.emf"/><Relationship Id="rId59" Type="http://schemas.openxmlformats.org/officeDocument/2006/relationships/image" Target="../media/image59.emf"/><Relationship Id="rId103" Type="http://schemas.openxmlformats.org/officeDocument/2006/relationships/image" Target="../media/image103.emf"/><Relationship Id="rId124" Type="http://schemas.openxmlformats.org/officeDocument/2006/relationships/image" Target="../media/image124.emf"/><Relationship Id="rId70" Type="http://schemas.openxmlformats.org/officeDocument/2006/relationships/image" Target="../media/image70.emf"/><Relationship Id="rId91" Type="http://schemas.openxmlformats.org/officeDocument/2006/relationships/image" Target="../media/image91.emf"/><Relationship Id="rId145" Type="http://schemas.openxmlformats.org/officeDocument/2006/relationships/image" Target="../media/image145.emf"/><Relationship Id="rId166" Type="http://schemas.openxmlformats.org/officeDocument/2006/relationships/image" Target="../media/image166.emf"/><Relationship Id="rId187" Type="http://schemas.openxmlformats.org/officeDocument/2006/relationships/image" Target="../media/image187.emf"/><Relationship Id="rId1" Type="http://schemas.openxmlformats.org/officeDocument/2006/relationships/image" Target="../media/image1.emf"/><Relationship Id="rId212" Type="http://schemas.openxmlformats.org/officeDocument/2006/relationships/image" Target="../media/image212.emf"/><Relationship Id="rId233" Type="http://schemas.openxmlformats.org/officeDocument/2006/relationships/image" Target="../media/image233.emf"/><Relationship Id="rId28" Type="http://schemas.openxmlformats.org/officeDocument/2006/relationships/image" Target="../media/image28.emf"/><Relationship Id="rId49" Type="http://schemas.openxmlformats.org/officeDocument/2006/relationships/image" Target="../media/image49.emf"/><Relationship Id="rId114" Type="http://schemas.openxmlformats.org/officeDocument/2006/relationships/image" Target="../media/image114.emf"/><Relationship Id="rId60" Type="http://schemas.openxmlformats.org/officeDocument/2006/relationships/image" Target="../media/image60.emf"/><Relationship Id="rId81" Type="http://schemas.openxmlformats.org/officeDocument/2006/relationships/image" Target="../media/image81.emf"/><Relationship Id="rId135" Type="http://schemas.openxmlformats.org/officeDocument/2006/relationships/image" Target="../media/image135.emf"/><Relationship Id="rId156" Type="http://schemas.openxmlformats.org/officeDocument/2006/relationships/image" Target="../media/image156.emf"/><Relationship Id="rId177" Type="http://schemas.openxmlformats.org/officeDocument/2006/relationships/image" Target="../media/image177.emf"/><Relationship Id="rId198" Type="http://schemas.openxmlformats.org/officeDocument/2006/relationships/image" Target="../media/image198.emf"/><Relationship Id="rId202" Type="http://schemas.openxmlformats.org/officeDocument/2006/relationships/image" Target="../media/image202.emf"/><Relationship Id="rId223" Type="http://schemas.openxmlformats.org/officeDocument/2006/relationships/image" Target="../media/image223.emf"/><Relationship Id="rId18" Type="http://schemas.openxmlformats.org/officeDocument/2006/relationships/image" Target="../media/image18.emf"/><Relationship Id="rId39" Type="http://schemas.openxmlformats.org/officeDocument/2006/relationships/image" Target="../media/image39.emf"/><Relationship Id="rId50" Type="http://schemas.openxmlformats.org/officeDocument/2006/relationships/image" Target="../media/image50.emf"/><Relationship Id="rId104" Type="http://schemas.openxmlformats.org/officeDocument/2006/relationships/image" Target="../media/image104.emf"/><Relationship Id="rId125" Type="http://schemas.openxmlformats.org/officeDocument/2006/relationships/image" Target="../media/image125.emf"/><Relationship Id="rId146" Type="http://schemas.openxmlformats.org/officeDocument/2006/relationships/image" Target="../media/image146.emf"/><Relationship Id="rId167" Type="http://schemas.openxmlformats.org/officeDocument/2006/relationships/image" Target="../media/image167.emf"/><Relationship Id="rId188" Type="http://schemas.openxmlformats.org/officeDocument/2006/relationships/image" Target="../media/image188.emf"/><Relationship Id="rId71" Type="http://schemas.openxmlformats.org/officeDocument/2006/relationships/image" Target="../media/image71.emf"/><Relationship Id="rId92" Type="http://schemas.openxmlformats.org/officeDocument/2006/relationships/image" Target="../media/image92.emf"/><Relationship Id="rId213" Type="http://schemas.openxmlformats.org/officeDocument/2006/relationships/image" Target="../media/image213.emf"/><Relationship Id="rId2" Type="http://schemas.openxmlformats.org/officeDocument/2006/relationships/image" Target="../media/image2.emf"/><Relationship Id="rId29" Type="http://schemas.openxmlformats.org/officeDocument/2006/relationships/image" Target="../media/image29.emf"/><Relationship Id="rId40" Type="http://schemas.openxmlformats.org/officeDocument/2006/relationships/image" Target="../media/image40.emf"/><Relationship Id="rId115" Type="http://schemas.openxmlformats.org/officeDocument/2006/relationships/image" Target="../media/image115.emf"/><Relationship Id="rId136" Type="http://schemas.openxmlformats.org/officeDocument/2006/relationships/image" Target="../media/image136.emf"/><Relationship Id="rId157" Type="http://schemas.openxmlformats.org/officeDocument/2006/relationships/image" Target="../media/image157.emf"/><Relationship Id="rId178" Type="http://schemas.openxmlformats.org/officeDocument/2006/relationships/image" Target="../media/image178.emf"/><Relationship Id="rId61" Type="http://schemas.openxmlformats.org/officeDocument/2006/relationships/image" Target="../media/image61.emf"/><Relationship Id="rId82" Type="http://schemas.openxmlformats.org/officeDocument/2006/relationships/image" Target="../media/image82.emf"/><Relationship Id="rId199" Type="http://schemas.openxmlformats.org/officeDocument/2006/relationships/image" Target="../media/image199.emf"/><Relationship Id="rId203" Type="http://schemas.openxmlformats.org/officeDocument/2006/relationships/image" Target="../media/image203.emf"/><Relationship Id="rId19" Type="http://schemas.openxmlformats.org/officeDocument/2006/relationships/image" Target="../media/image19.emf"/><Relationship Id="rId224" Type="http://schemas.openxmlformats.org/officeDocument/2006/relationships/image" Target="../media/image224.emf"/><Relationship Id="rId30" Type="http://schemas.openxmlformats.org/officeDocument/2006/relationships/image" Target="../media/image30.emf"/><Relationship Id="rId105" Type="http://schemas.openxmlformats.org/officeDocument/2006/relationships/image" Target="../media/image105.emf"/><Relationship Id="rId126" Type="http://schemas.openxmlformats.org/officeDocument/2006/relationships/image" Target="../media/image126.emf"/><Relationship Id="rId147" Type="http://schemas.openxmlformats.org/officeDocument/2006/relationships/image" Target="../media/image147.emf"/><Relationship Id="rId168" Type="http://schemas.openxmlformats.org/officeDocument/2006/relationships/image" Target="../media/image168.emf"/><Relationship Id="rId51" Type="http://schemas.openxmlformats.org/officeDocument/2006/relationships/image" Target="../media/image51.emf"/><Relationship Id="rId72" Type="http://schemas.openxmlformats.org/officeDocument/2006/relationships/image" Target="../media/image72.emf"/><Relationship Id="rId93" Type="http://schemas.openxmlformats.org/officeDocument/2006/relationships/image" Target="../media/image93.emf"/><Relationship Id="rId189" Type="http://schemas.openxmlformats.org/officeDocument/2006/relationships/image" Target="../media/image189.emf"/><Relationship Id="rId3" Type="http://schemas.openxmlformats.org/officeDocument/2006/relationships/image" Target="../media/image3.emf"/><Relationship Id="rId214" Type="http://schemas.openxmlformats.org/officeDocument/2006/relationships/image" Target="../media/image214.emf"/><Relationship Id="rId116" Type="http://schemas.openxmlformats.org/officeDocument/2006/relationships/image" Target="../media/image116.emf"/><Relationship Id="rId137" Type="http://schemas.openxmlformats.org/officeDocument/2006/relationships/image" Target="../media/image137.emf"/><Relationship Id="rId158" Type="http://schemas.openxmlformats.org/officeDocument/2006/relationships/image" Target="../media/image158.emf"/></Relationships>
</file>

<file path=xl/drawings/_rels/vmlDrawing2.vml.rels><?xml version="1.0" encoding="UTF-8" standalone="yes"?>
<Relationships xmlns="http://schemas.openxmlformats.org/package/2006/relationships"><Relationship Id="rId13" Type="http://schemas.openxmlformats.org/officeDocument/2006/relationships/image" Target="../media/image281.emf"/><Relationship Id="rId18" Type="http://schemas.openxmlformats.org/officeDocument/2006/relationships/image" Target="../media/image286.emf"/><Relationship Id="rId26" Type="http://schemas.openxmlformats.org/officeDocument/2006/relationships/image" Target="../media/image294.emf"/><Relationship Id="rId39" Type="http://schemas.openxmlformats.org/officeDocument/2006/relationships/image" Target="../media/image307.emf"/><Relationship Id="rId21" Type="http://schemas.openxmlformats.org/officeDocument/2006/relationships/image" Target="../media/image289.emf"/><Relationship Id="rId34" Type="http://schemas.openxmlformats.org/officeDocument/2006/relationships/image" Target="../media/image302.emf"/><Relationship Id="rId42" Type="http://schemas.openxmlformats.org/officeDocument/2006/relationships/image" Target="../media/image310.emf"/><Relationship Id="rId47" Type="http://schemas.openxmlformats.org/officeDocument/2006/relationships/image" Target="../media/image315.emf"/><Relationship Id="rId50" Type="http://schemas.openxmlformats.org/officeDocument/2006/relationships/image" Target="../media/image318.emf"/><Relationship Id="rId7" Type="http://schemas.openxmlformats.org/officeDocument/2006/relationships/image" Target="../media/image275.emf"/><Relationship Id="rId2" Type="http://schemas.openxmlformats.org/officeDocument/2006/relationships/image" Target="../media/image270.emf"/><Relationship Id="rId16" Type="http://schemas.openxmlformats.org/officeDocument/2006/relationships/image" Target="../media/image284.emf"/><Relationship Id="rId29" Type="http://schemas.openxmlformats.org/officeDocument/2006/relationships/image" Target="../media/image297.emf"/><Relationship Id="rId11" Type="http://schemas.openxmlformats.org/officeDocument/2006/relationships/image" Target="../media/image279.emf"/><Relationship Id="rId24" Type="http://schemas.openxmlformats.org/officeDocument/2006/relationships/image" Target="../media/image292.emf"/><Relationship Id="rId32" Type="http://schemas.openxmlformats.org/officeDocument/2006/relationships/image" Target="../media/image300.emf"/><Relationship Id="rId37" Type="http://schemas.openxmlformats.org/officeDocument/2006/relationships/image" Target="../media/image305.emf"/><Relationship Id="rId40" Type="http://schemas.openxmlformats.org/officeDocument/2006/relationships/image" Target="../media/image308.emf"/><Relationship Id="rId45" Type="http://schemas.openxmlformats.org/officeDocument/2006/relationships/image" Target="../media/image313.emf"/><Relationship Id="rId53" Type="http://schemas.openxmlformats.org/officeDocument/2006/relationships/image" Target="../media/image321.emf"/><Relationship Id="rId5" Type="http://schemas.openxmlformats.org/officeDocument/2006/relationships/image" Target="../media/image273.emf"/><Relationship Id="rId10" Type="http://schemas.openxmlformats.org/officeDocument/2006/relationships/image" Target="../media/image278.emf"/><Relationship Id="rId19" Type="http://schemas.openxmlformats.org/officeDocument/2006/relationships/image" Target="../media/image287.emf"/><Relationship Id="rId31" Type="http://schemas.openxmlformats.org/officeDocument/2006/relationships/image" Target="../media/image299.emf"/><Relationship Id="rId44" Type="http://schemas.openxmlformats.org/officeDocument/2006/relationships/image" Target="../media/image312.emf"/><Relationship Id="rId52" Type="http://schemas.openxmlformats.org/officeDocument/2006/relationships/image" Target="../media/image320.emf"/><Relationship Id="rId4" Type="http://schemas.openxmlformats.org/officeDocument/2006/relationships/image" Target="../media/image272.emf"/><Relationship Id="rId9" Type="http://schemas.openxmlformats.org/officeDocument/2006/relationships/image" Target="../media/image277.emf"/><Relationship Id="rId14" Type="http://schemas.openxmlformats.org/officeDocument/2006/relationships/image" Target="../media/image282.emf"/><Relationship Id="rId22" Type="http://schemas.openxmlformats.org/officeDocument/2006/relationships/image" Target="../media/image290.emf"/><Relationship Id="rId27" Type="http://schemas.openxmlformats.org/officeDocument/2006/relationships/image" Target="../media/image295.emf"/><Relationship Id="rId30" Type="http://schemas.openxmlformats.org/officeDocument/2006/relationships/image" Target="../media/image298.emf"/><Relationship Id="rId35" Type="http://schemas.openxmlformats.org/officeDocument/2006/relationships/image" Target="../media/image303.emf"/><Relationship Id="rId43" Type="http://schemas.openxmlformats.org/officeDocument/2006/relationships/image" Target="../media/image311.emf"/><Relationship Id="rId48" Type="http://schemas.openxmlformats.org/officeDocument/2006/relationships/image" Target="../media/image316.emf"/><Relationship Id="rId8" Type="http://schemas.openxmlformats.org/officeDocument/2006/relationships/image" Target="../media/image276.emf"/><Relationship Id="rId51" Type="http://schemas.openxmlformats.org/officeDocument/2006/relationships/image" Target="../media/image319.emf"/><Relationship Id="rId3" Type="http://schemas.openxmlformats.org/officeDocument/2006/relationships/image" Target="../media/image271.emf"/><Relationship Id="rId12" Type="http://schemas.openxmlformats.org/officeDocument/2006/relationships/image" Target="../media/image280.emf"/><Relationship Id="rId17" Type="http://schemas.openxmlformats.org/officeDocument/2006/relationships/image" Target="../media/image285.emf"/><Relationship Id="rId25" Type="http://schemas.openxmlformats.org/officeDocument/2006/relationships/image" Target="../media/image293.emf"/><Relationship Id="rId33" Type="http://schemas.openxmlformats.org/officeDocument/2006/relationships/image" Target="../media/image301.emf"/><Relationship Id="rId38" Type="http://schemas.openxmlformats.org/officeDocument/2006/relationships/image" Target="../media/image306.emf"/><Relationship Id="rId46" Type="http://schemas.openxmlformats.org/officeDocument/2006/relationships/image" Target="../media/image314.emf"/><Relationship Id="rId20" Type="http://schemas.openxmlformats.org/officeDocument/2006/relationships/image" Target="../media/image288.emf"/><Relationship Id="rId41" Type="http://schemas.openxmlformats.org/officeDocument/2006/relationships/image" Target="../media/image309.emf"/><Relationship Id="rId54" Type="http://schemas.openxmlformats.org/officeDocument/2006/relationships/image" Target="../media/image322.emf"/><Relationship Id="rId1" Type="http://schemas.openxmlformats.org/officeDocument/2006/relationships/image" Target="../media/image269.emf"/><Relationship Id="rId6" Type="http://schemas.openxmlformats.org/officeDocument/2006/relationships/image" Target="../media/image274.emf"/><Relationship Id="rId15" Type="http://schemas.openxmlformats.org/officeDocument/2006/relationships/image" Target="../media/image283.emf"/><Relationship Id="rId23" Type="http://schemas.openxmlformats.org/officeDocument/2006/relationships/image" Target="../media/image291.emf"/><Relationship Id="rId28" Type="http://schemas.openxmlformats.org/officeDocument/2006/relationships/image" Target="../media/image296.emf"/><Relationship Id="rId36" Type="http://schemas.openxmlformats.org/officeDocument/2006/relationships/image" Target="../media/image304.emf"/><Relationship Id="rId49" Type="http://schemas.openxmlformats.org/officeDocument/2006/relationships/image" Target="../media/image317.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325.emf"/><Relationship Id="rId1" Type="http://schemas.openxmlformats.org/officeDocument/2006/relationships/image" Target="../media/image324.emf"/></Relationships>
</file>

<file path=xl/drawings/_rels/vmlDrawing4.vml.rels><?xml version="1.0" encoding="UTF-8" standalone="yes"?>
<Relationships xmlns="http://schemas.openxmlformats.org/package/2006/relationships"><Relationship Id="rId8" Type="http://schemas.openxmlformats.org/officeDocument/2006/relationships/image" Target="../media/image341.wmf"/><Relationship Id="rId13" Type="http://schemas.openxmlformats.org/officeDocument/2006/relationships/image" Target="../media/image346.wmf"/><Relationship Id="rId18" Type="http://schemas.openxmlformats.org/officeDocument/2006/relationships/image" Target="../media/image351.emf"/><Relationship Id="rId3" Type="http://schemas.openxmlformats.org/officeDocument/2006/relationships/image" Target="../media/image336.emf"/><Relationship Id="rId7" Type="http://schemas.openxmlformats.org/officeDocument/2006/relationships/image" Target="../media/image340.emf"/><Relationship Id="rId12" Type="http://schemas.openxmlformats.org/officeDocument/2006/relationships/image" Target="../media/image345.emf"/><Relationship Id="rId17" Type="http://schemas.openxmlformats.org/officeDocument/2006/relationships/image" Target="../media/image350.emf"/><Relationship Id="rId2" Type="http://schemas.openxmlformats.org/officeDocument/2006/relationships/image" Target="../media/image335.emf"/><Relationship Id="rId16" Type="http://schemas.openxmlformats.org/officeDocument/2006/relationships/image" Target="../media/image349.emf"/><Relationship Id="rId1" Type="http://schemas.openxmlformats.org/officeDocument/2006/relationships/image" Target="../media/image334.wmf"/><Relationship Id="rId6" Type="http://schemas.openxmlformats.org/officeDocument/2006/relationships/image" Target="../media/image339.emf"/><Relationship Id="rId11" Type="http://schemas.openxmlformats.org/officeDocument/2006/relationships/image" Target="../media/image344.wmf"/><Relationship Id="rId5" Type="http://schemas.openxmlformats.org/officeDocument/2006/relationships/image" Target="../media/image338.emf"/><Relationship Id="rId15" Type="http://schemas.openxmlformats.org/officeDocument/2006/relationships/image" Target="../media/image348.wmf"/><Relationship Id="rId10" Type="http://schemas.openxmlformats.org/officeDocument/2006/relationships/image" Target="../media/image343.wmf"/><Relationship Id="rId19" Type="http://schemas.openxmlformats.org/officeDocument/2006/relationships/image" Target="../media/image352.emf"/><Relationship Id="rId4" Type="http://schemas.openxmlformats.org/officeDocument/2006/relationships/image" Target="../media/image337.emf"/><Relationship Id="rId9" Type="http://schemas.openxmlformats.org/officeDocument/2006/relationships/image" Target="../media/image342.wmf"/><Relationship Id="rId14" Type="http://schemas.openxmlformats.org/officeDocument/2006/relationships/image" Target="../media/image347.wmf"/></Relationships>
</file>

<file path=xl/drawings/_rels/vmlDrawing5.vml.rels><?xml version="1.0" encoding="UTF-8" standalone="yes"?>
<Relationships xmlns="http://schemas.openxmlformats.org/package/2006/relationships"><Relationship Id="rId2" Type="http://schemas.openxmlformats.org/officeDocument/2006/relationships/image" Target="../media/image379.emf"/><Relationship Id="rId1" Type="http://schemas.openxmlformats.org/officeDocument/2006/relationships/image" Target="../media/image378.emf"/></Relationships>
</file>

<file path=xl/drawings/drawing1.xml><?xml version="1.0" encoding="utf-8"?>
<xdr:wsDr xmlns:xdr="http://schemas.openxmlformats.org/drawingml/2006/spreadsheetDrawing" xmlns:a="http://schemas.openxmlformats.org/drawingml/2006/main">
  <xdr:twoCellAnchor editAs="oneCell">
    <xdr:from>
      <xdr:col>472</xdr:col>
      <xdr:colOff>261936</xdr:colOff>
      <xdr:row>69</xdr:row>
      <xdr:rowOff>404813</xdr:rowOff>
    </xdr:from>
    <xdr:to>
      <xdr:col>489</xdr:col>
      <xdr:colOff>467480</xdr:colOff>
      <xdr:row>83</xdr:row>
      <xdr:rowOff>534026</xdr:rowOff>
    </xdr:to>
    <xdr:pic>
      <xdr:nvPicPr>
        <xdr:cNvPr id="1332" name="Picture 308"/>
        <xdr:cNvPicPr>
          <a:picLocks noChangeAspect="1" noChangeArrowheads="1"/>
        </xdr:cNvPicPr>
      </xdr:nvPicPr>
      <xdr:blipFill>
        <a:blip xmlns:r="http://schemas.openxmlformats.org/officeDocument/2006/relationships" r:embed="rId1" cstate="print"/>
        <a:srcRect/>
        <a:stretch>
          <a:fillRect/>
        </a:stretch>
      </xdr:blipFill>
      <xdr:spPr bwMode="auto">
        <a:xfrm>
          <a:off x="187999686" y="164996813"/>
          <a:ext cx="9921044" cy="8130213"/>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539</xdr:col>
      <xdr:colOff>259773</xdr:colOff>
      <xdr:row>123</xdr:row>
      <xdr:rowOff>103909</xdr:rowOff>
    </xdr:from>
    <xdr:to>
      <xdr:col>551</xdr:col>
      <xdr:colOff>368383</xdr:colOff>
      <xdr:row>131</xdr:row>
      <xdr:rowOff>20551</xdr:rowOff>
    </xdr:to>
    <xdr:pic>
      <xdr:nvPicPr>
        <xdr:cNvPr id="1331" name="Picture 307"/>
        <xdr:cNvPicPr>
          <a:picLocks noChangeAspect="1" noChangeArrowheads="1"/>
        </xdr:cNvPicPr>
      </xdr:nvPicPr>
      <xdr:blipFill>
        <a:blip xmlns:r="http://schemas.openxmlformats.org/officeDocument/2006/relationships" r:embed="rId2" cstate="print"/>
        <a:srcRect/>
        <a:stretch>
          <a:fillRect/>
        </a:stretch>
      </xdr:blipFill>
      <xdr:spPr bwMode="auto">
        <a:xfrm>
          <a:off x="865909" y="357360682"/>
          <a:ext cx="7550728" cy="4869642"/>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539</xdr:col>
      <xdr:colOff>363681</xdr:colOff>
      <xdr:row>134</xdr:row>
      <xdr:rowOff>103908</xdr:rowOff>
    </xdr:from>
    <xdr:to>
      <xdr:col>547</xdr:col>
      <xdr:colOff>18565</xdr:colOff>
      <xdr:row>140</xdr:row>
      <xdr:rowOff>504607</xdr:rowOff>
    </xdr:to>
    <xdr:pic>
      <xdr:nvPicPr>
        <xdr:cNvPr id="9" name="Picture 308"/>
        <xdr:cNvPicPr>
          <a:picLocks noChangeAspect="1" noChangeArrowheads="1"/>
        </xdr:cNvPicPr>
      </xdr:nvPicPr>
      <xdr:blipFill>
        <a:blip xmlns:r="http://schemas.openxmlformats.org/officeDocument/2006/relationships" r:embed="rId3" cstate="print"/>
        <a:srcRect/>
        <a:stretch>
          <a:fillRect/>
        </a:stretch>
      </xdr:blipFill>
      <xdr:spPr bwMode="auto">
        <a:xfrm>
          <a:off x="969817" y="491074363"/>
          <a:ext cx="4589319" cy="411544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627</xdr:col>
      <xdr:colOff>56283</xdr:colOff>
      <xdr:row>151</xdr:row>
      <xdr:rowOff>872834</xdr:rowOff>
    </xdr:from>
    <xdr:to>
      <xdr:col>646</xdr:col>
      <xdr:colOff>67422</xdr:colOff>
      <xdr:row>165</xdr:row>
      <xdr:rowOff>493191</xdr:rowOff>
    </xdr:to>
    <xdr:pic>
      <xdr:nvPicPr>
        <xdr:cNvPr id="1335" name="Picture 311"/>
        <xdr:cNvPicPr>
          <a:picLocks noChangeAspect="1" noChangeArrowheads="1"/>
        </xdr:cNvPicPr>
      </xdr:nvPicPr>
      <xdr:blipFill>
        <a:blip xmlns:r="http://schemas.openxmlformats.org/officeDocument/2006/relationships" r:embed="rId4" cstate="print"/>
        <a:srcRect/>
        <a:stretch>
          <a:fillRect/>
        </a:stretch>
      </xdr:blipFill>
      <xdr:spPr bwMode="auto">
        <a:xfrm>
          <a:off x="6938096" y="452691209"/>
          <a:ext cx="11593539" cy="7907108"/>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620</xdr:col>
      <xdr:colOff>441613</xdr:colOff>
      <xdr:row>143</xdr:row>
      <xdr:rowOff>238126</xdr:rowOff>
    </xdr:from>
    <xdr:to>
      <xdr:col>635</xdr:col>
      <xdr:colOff>160126</xdr:colOff>
      <xdr:row>154</xdr:row>
      <xdr:rowOff>309565</xdr:rowOff>
    </xdr:to>
    <xdr:pic>
      <xdr:nvPicPr>
        <xdr:cNvPr id="1336" name="Picture 312"/>
        <xdr:cNvPicPr>
          <a:picLocks noChangeAspect="1" noChangeArrowheads="1"/>
        </xdr:cNvPicPr>
      </xdr:nvPicPr>
      <xdr:blipFill>
        <a:blip xmlns:r="http://schemas.openxmlformats.org/officeDocument/2006/relationships" r:embed="rId5" cstate="print"/>
        <a:srcRect/>
        <a:stretch>
          <a:fillRect/>
        </a:stretch>
      </xdr:blipFill>
      <xdr:spPr bwMode="auto">
        <a:xfrm>
          <a:off x="1047749" y="503279353"/>
          <a:ext cx="8756939" cy="6336723"/>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362</xdr:col>
      <xdr:colOff>190500</xdr:colOff>
      <xdr:row>114</xdr:row>
      <xdr:rowOff>2095502</xdr:rowOff>
    </xdr:from>
    <xdr:to>
      <xdr:col>374</xdr:col>
      <xdr:colOff>505628</xdr:colOff>
      <xdr:row>123</xdr:row>
      <xdr:rowOff>52392</xdr:rowOff>
    </xdr:to>
    <xdr:pic>
      <xdr:nvPicPr>
        <xdr:cNvPr id="1329" name="Picture 305"/>
        <xdr:cNvPicPr>
          <a:picLocks noChangeAspect="1" noChangeArrowheads="1"/>
        </xdr:cNvPicPr>
      </xdr:nvPicPr>
      <xdr:blipFill>
        <a:blip xmlns:r="http://schemas.openxmlformats.org/officeDocument/2006/relationships" r:embed="rId6" cstate="print"/>
        <a:srcRect/>
        <a:stretch>
          <a:fillRect/>
        </a:stretch>
      </xdr:blipFill>
      <xdr:spPr bwMode="auto">
        <a:xfrm>
          <a:off x="809625" y="349853252"/>
          <a:ext cx="7534275" cy="4567238"/>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539</xdr:col>
      <xdr:colOff>261937</xdr:colOff>
      <xdr:row>129</xdr:row>
      <xdr:rowOff>190500</xdr:rowOff>
    </xdr:from>
    <xdr:to>
      <xdr:col>555</xdr:col>
      <xdr:colOff>418126</xdr:colOff>
      <xdr:row>138</xdr:row>
      <xdr:rowOff>240455</xdr:rowOff>
    </xdr:to>
    <xdr:pic>
      <xdr:nvPicPr>
        <xdr:cNvPr id="1372" name="Picture 348"/>
        <xdr:cNvPicPr>
          <a:picLocks noChangeAspect="1" noChangeArrowheads="1"/>
        </xdr:cNvPicPr>
      </xdr:nvPicPr>
      <xdr:blipFill>
        <a:blip xmlns:r="http://schemas.openxmlformats.org/officeDocument/2006/relationships" r:embed="rId7" cstate="print"/>
        <a:srcRect/>
        <a:stretch>
          <a:fillRect/>
        </a:stretch>
      </xdr:blipFill>
      <xdr:spPr bwMode="auto">
        <a:xfrm>
          <a:off x="881062" y="440007375"/>
          <a:ext cx="10048875" cy="5631604"/>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620</xdr:col>
      <xdr:colOff>176895</xdr:colOff>
      <xdr:row>130</xdr:row>
      <xdr:rowOff>146278</xdr:rowOff>
    </xdr:from>
    <xdr:to>
      <xdr:col>640</xdr:col>
      <xdr:colOff>222972</xdr:colOff>
      <xdr:row>149</xdr:row>
      <xdr:rowOff>123391</xdr:rowOff>
    </xdr:to>
    <xdr:pic>
      <xdr:nvPicPr>
        <xdr:cNvPr id="72" name="Picture 373"/>
        <xdr:cNvPicPr>
          <a:picLocks noChangeAspect="1" noChangeArrowheads="1"/>
        </xdr:cNvPicPr>
      </xdr:nvPicPr>
      <xdr:blipFill>
        <a:blip xmlns:r="http://schemas.openxmlformats.org/officeDocument/2006/relationships" r:embed="rId8" cstate="print"/>
        <a:srcRect/>
        <a:stretch>
          <a:fillRect/>
        </a:stretch>
      </xdr:blipFill>
      <xdr:spPr bwMode="auto">
        <a:xfrm>
          <a:off x="783031" y="535087596"/>
          <a:ext cx="12167466" cy="10764178"/>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620</xdr:col>
      <xdr:colOff>225136</xdr:colOff>
      <xdr:row>137</xdr:row>
      <xdr:rowOff>232064</xdr:rowOff>
    </xdr:from>
    <xdr:to>
      <xdr:col>639</xdr:col>
      <xdr:colOff>342609</xdr:colOff>
      <xdr:row>147</xdr:row>
      <xdr:rowOff>401348</xdr:rowOff>
    </xdr:to>
    <xdr:pic>
      <xdr:nvPicPr>
        <xdr:cNvPr id="1401" name="Picture 377"/>
        <xdr:cNvPicPr>
          <a:picLocks noChangeAspect="1" noChangeArrowheads="1"/>
        </xdr:cNvPicPr>
      </xdr:nvPicPr>
      <xdr:blipFill>
        <a:blip xmlns:r="http://schemas.openxmlformats.org/officeDocument/2006/relationships" r:embed="rId9" cstate="print"/>
        <a:srcRect/>
        <a:stretch>
          <a:fillRect/>
        </a:stretch>
      </xdr:blipFill>
      <xdr:spPr bwMode="auto">
        <a:xfrm>
          <a:off x="831272" y="504953155"/>
          <a:ext cx="11657556" cy="592281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620</xdr:col>
      <xdr:colOff>326177</xdr:colOff>
      <xdr:row>157</xdr:row>
      <xdr:rowOff>163228</xdr:rowOff>
    </xdr:from>
    <xdr:to>
      <xdr:col>637</xdr:col>
      <xdr:colOff>75870</xdr:colOff>
      <xdr:row>171</xdr:row>
      <xdr:rowOff>154998</xdr:rowOff>
    </xdr:to>
    <xdr:pic>
      <xdr:nvPicPr>
        <xdr:cNvPr id="74" name="Рисунок 73" descr="G:\МГКЭИТ\МДК 01.02\IMG Metody\11.1.1.png"/>
        <xdr:cNvPicPr/>
      </xdr:nvPicPr>
      <xdr:blipFill>
        <a:blip xmlns:r="http://schemas.openxmlformats.org/officeDocument/2006/relationships" r:embed="rId10" cstate="print"/>
        <a:srcRect/>
        <a:stretch>
          <a:fillRect/>
        </a:stretch>
      </xdr:blipFill>
      <xdr:spPr bwMode="auto">
        <a:xfrm>
          <a:off x="932313" y="582192683"/>
          <a:ext cx="10012556" cy="7992770"/>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editAs="oneCell">
    <xdr:from>
      <xdr:col>621</xdr:col>
      <xdr:colOff>155864</xdr:colOff>
      <xdr:row>175</xdr:row>
      <xdr:rowOff>190499</xdr:rowOff>
    </xdr:from>
    <xdr:to>
      <xdr:col>637</xdr:col>
      <xdr:colOff>120369</xdr:colOff>
      <xdr:row>180</xdr:row>
      <xdr:rowOff>561109</xdr:rowOff>
    </xdr:to>
    <xdr:pic>
      <xdr:nvPicPr>
        <xdr:cNvPr id="1565" name="Picture 541"/>
        <xdr:cNvPicPr>
          <a:picLocks noChangeAspect="1" noChangeArrowheads="1"/>
        </xdr:cNvPicPr>
      </xdr:nvPicPr>
      <xdr:blipFill>
        <a:blip xmlns:r="http://schemas.openxmlformats.org/officeDocument/2006/relationships" r:embed="rId11" cstate="print"/>
        <a:srcRect/>
        <a:stretch>
          <a:fillRect/>
        </a:stretch>
      </xdr:blipFill>
      <xdr:spPr bwMode="auto">
        <a:xfrm>
          <a:off x="1818409" y="603400090"/>
          <a:ext cx="9619462" cy="3255818"/>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621</xdr:col>
      <xdr:colOff>242455</xdr:colOff>
      <xdr:row>185</xdr:row>
      <xdr:rowOff>155865</xdr:rowOff>
    </xdr:from>
    <xdr:to>
      <xdr:col>637</xdr:col>
      <xdr:colOff>299533</xdr:colOff>
      <xdr:row>195</xdr:row>
      <xdr:rowOff>405276</xdr:rowOff>
    </xdr:to>
    <xdr:pic>
      <xdr:nvPicPr>
        <xdr:cNvPr id="1569" name="Picture 545"/>
        <xdr:cNvPicPr>
          <a:picLocks noChangeAspect="1" noChangeArrowheads="1"/>
        </xdr:cNvPicPr>
      </xdr:nvPicPr>
      <xdr:blipFill>
        <a:blip xmlns:r="http://schemas.openxmlformats.org/officeDocument/2006/relationships" r:embed="rId12" cstate="print"/>
        <a:srcRect/>
        <a:stretch>
          <a:fillRect/>
        </a:stretch>
      </xdr:blipFill>
      <xdr:spPr bwMode="auto">
        <a:xfrm>
          <a:off x="1905000" y="615505501"/>
          <a:ext cx="9719830" cy="5963516"/>
        </a:xfrm>
        <a:prstGeom prst="rect">
          <a:avLst/>
        </a:prstGeom>
        <a:noFill/>
        <a:ln w="1">
          <a:solidFill>
            <a:schemeClr val="tx1"/>
          </a:solidFill>
          <a:miter lim="800000"/>
          <a:headEnd/>
          <a:tailEnd type="none" w="med" len="med"/>
        </a:ln>
        <a:effectLst>
          <a:outerShdw blurRad="50800" dist="38100" dir="2700000" algn="tl" rotWithShape="0">
            <a:prstClr val="black">
              <a:alpha val="40000"/>
            </a:prstClr>
          </a:outerShdw>
        </a:effectLst>
      </xdr:spPr>
    </xdr:pic>
    <xdr:clientData/>
  </xdr:twoCellAnchor>
  <mc:AlternateContent xmlns:mc="http://schemas.openxmlformats.org/markup-compatibility/2006">
    <mc:Choice xmlns:a14="http://schemas.microsoft.com/office/drawing/2010/main" Requires="a14">
      <xdr:twoCellAnchor editAs="oneCell">
        <xdr:from>
          <xdr:col>47</xdr:col>
          <xdr:colOff>95250</xdr:colOff>
          <xdr:row>76</xdr:row>
          <xdr:rowOff>161925</xdr:rowOff>
        </xdr:from>
        <xdr:to>
          <xdr:col>52</xdr:col>
          <xdr:colOff>457200</xdr:colOff>
          <xdr:row>77</xdr:row>
          <xdr:rowOff>438150</xdr:rowOff>
        </xdr:to>
        <xdr:sp macro="" textlink="">
          <xdr:nvSpPr>
            <xdr:cNvPr id="1048" name="Object 24" hidden="1">
              <a:extLst>
                <a:ext uri="{63B3BB69-23CF-44E3-9099-C40C66FF867C}">
                  <a14:compatExt spid="_x0000_s10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207</xdr:col>
          <xdr:colOff>314325</xdr:colOff>
          <xdr:row>78</xdr:row>
          <xdr:rowOff>228600</xdr:rowOff>
        </xdr:from>
        <xdr:to>
          <xdr:col>212</xdr:col>
          <xdr:colOff>19050</xdr:colOff>
          <xdr:row>80</xdr:row>
          <xdr:rowOff>447675</xdr:rowOff>
        </xdr:to>
        <xdr:sp macro="" textlink="">
          <xdr:nvSpPr>
            <xdr:cNvPr id="1165" name="Object 141" hidden="1">
              <a:extLst>
                <a:ext uri="{63B3BB69-23CF-44E3-9099-C40C66FF867C}">
                  <a14:compatExt spid="_x0000_s11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200</xdr:col>
          <xdr:colOff>161925</xdr:colOff>
          <xdr:row>79</xdr:row>
          <xdr:rowOff>123825</xdr:rowOff>
        </xdr:from>
        <xdr:to>
          <xdr:col>206</xdr:col>
          <xdr:colOff>476250</xdr:colOff>
          <xdr:row>80</xdr:row>
          <xdr:rowOff>419100</xdr:rowOff>
        </xdr:to>
        <xdr:sp macro="" textlink="">
          <xdr:nvSpPr>
            <xdr:cNvPr id="1166" name="Object 142" hidden="1">
              <a:extLst>
                <a:ext uri="{63B3BB69-23CF-44E3-9099-C40C66FF867C}">
                  <a14:compatExt spid="_x0000_s116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200</xdr:col>
          <xdr:colOff>180975</xdr:colOff>
          <xdr:row>75</xdr:row>
          <xdr:rowOff>152400</xdr:rowOff>
        </xdr:from>
        <xdr:to>
          <xdr:col>204</xdr:col>
          <xdr:colOff>390525</xdr:colOff>
          <xdr:row>76</xdr:row>
          <xdr:rowOff>485775</xdr:rowOff>
        </xdr:to>
        <xdr:sp macro="" textlink="">
          <xdr:nvSpPr>
            <xdr:cNvPr id="1167" name="Object 143" hidden="1">
              <a:extLst>
                <a:ext uri="{63B3BB69-23CF-44E3-9099-C40C66FF867C}">
                  <a14:compatExt spid="_x0000_s11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200</xdr:col>
          <xdr:colOff>400050</xdr:colOff>
          <xdr:row>91</xdr:row>
          <xdr:rowOff>295275</xdr:rowOff>
        </xdr:from>
        <xdr:to>
          <xdr:col>203</xdr:col>
          <xdr:colOff>304800</xdr:colOff>
          <xdr:row>92</xdr:row>
          <xdr:rowOff>352425</xdr:rowOff>
        </xdr:to>
        <xdr:sp macro="" textlink="">
          <xdr:nvSpPr>
            <xdr:cNvPr id="1168" name="Object 144" hidden="1">
              <a:extLst>
                <a:ext uri="{63B3BB69-23CF-44E3-9099-C40C66FF867C}">
                  <a14:compatExt spid="_x0000_s11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200</xdr:col>
          <xdr:colOff>390525</xdr:colOff>
          <xdr:row>95</xdr:row>
          <xdr:rowOff>190500</xdr:rowOff>
        </xdr:from>
        <xdr:to>
          <xdr:col>206</xdr:col>
          <xdr:colOff>381000</xdr:colOff>
          <xdr:row>96</xdr:row>
          <xdr:rowOff>419100</xdr:rowOff>
        </xdr:to>
        <xdr:sp macro="" textlink="">
          <xdr:nvSpPr>
            <xdr:cNvPr id="1170" name="Object 146" hidden="1">
              <a:extLst>
                <a:ext uri="{63B3BB69-23CF-44E3-9099-C40C66FF867C}">
                  <a14:compatExt spid="_x0000_s11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200</xdr:col>
          <xdr:colOff>276225</xdr:colOff>
          <xdr:row>99</xdr:row>
          <xdr:rowOff>228600</xdr:rowOff>
        </xdr:from>
        <xdr:to>
          <xdr:col>206</xdr:col>
          <xdr:colOff>361950</xdr:colOff>
          <xdr:row>100</xdr:row>
          <xdr:rowOff>390525</xdr:rowOff>
        </xdr:to>
        <xdr:sp macro="" textlink="">
          <xdr:nvSpPr>
            <xdr:cNvPr id="1171" name="Object 147" hidden="1">
              <a:extLst>
                <a:ext uri="{63B3BB69-23CF-44E3-9099-C40C66FF867C}">
                  <a14:compatExt spid="_x0000_s11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201</xdr:col>
          <xdr:colOff>304800</xdr:colOff>
          <xdr:row>103</xdr:row>
          <xdr:rowOff>161925</xdr:rowOff>
        </xdr:from>
        <xdr:to>
          <xdr:col>203</xdr:col>
          <xdr:colOff>247650</xdr:colOff>
          <xdr:row>104</xdr:row>
          <xdr:rowOff>466725</xdr:rowOff>
        </xdr:to>
        <xdr:sp macro="" textlink="">
          <xdr:nvSpPr>
            <xdr:cNvPr id="1172" name="Object 148" hidden="1">
              <a:extLst>
                <a:ext uri="{63B3BB69-23CF-44E3-9099-C40C66FF867C}">
                  <a14:compatExt spid="_x0000_s11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200</xdr:col>
          <xdr:colOff>171450</xdr:colOff>
          <xdr:row>107</xdr:row>
          <xdr:rowOff>171450</xdr:rowOff>
        </xdr:from>
        <xdr:to>
          <xdr:col>202</xdr:col>
          <xdr:colOff>266700</xdr:colOff>
          <xdr:row>108</xdr:row>
          <xdr:rowOff>381000</xdr:rowOff>
        </xdr:to>
        <xdr:sp macro="" textlink="">
          <xdr:nvSpPr>
            <xdr:cNvPr id="1173" name="Object 149" hidden="1">
              <a:extLst>
                <a:ext uri="{63B3BB69-23CF-44E3-9099-C40C66FF867C}">
                  <a14:compatExt spid="_x0000_s11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142</xdr:col>
          <xdr:colOff>200025</xdr:colOff>
          <xdr:row>51</xdr:row>
          <xdr:rowOff>352425</xdr:rowOff>
        </xdr:from>
        <xdr:to>
          <xdr:col>145</xdr:col>
          <xdr:colOff>152400</xdr:colOff>
          <xdr:row>52</xdr:row>
          <xdr:rowOff>400050</xdr:rowOff>
        </xdr:to>
        <xdr:sp macro="" textlink="">
          <xdr:nvSpPr>
            <xdr:cNvPr id="1174" name="Object 150" hidden="1">
              <a:extLst>
                <a:ext uri="{63B3BB69-23CF-44E3-9099-C40C66FF867C}">
                  <a14:compatExt spid="_x0000_s11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142</xdr:col>
          <xdr:colOff>238125</xdr:colOff>
          <xdr:row>67</xdr:row>
          <xdr:rowOff>228600</xdr:rowOff>
        </xdr:from>
        <xdr:to>
          <xdr:col>146</xdr:col>
          <xdr:colOff>19050</xdr:colOff>
          <xdr:row>68</xdr:row>
          <xdr:rowOff>381000</xdr:rowOff>
        </xdr:to>
        <xdr:sp macro="" textlink="">
          <xdr:nvSpPr>
            <xdr:cNvPr id="1175" name="Object 151" hidden="1">
              <a:extLst>
                <a:ext uri="{63B3BB69-23CF-44E3-9099-C40C66FF867C}">
                  <a14:compatExt spid="_x0000_s11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142</xdr:col>
          <xdr:colOff>209550</xdr:colOff>
          <xdr:row>71</xdr:row>
          <xdr:rowOff>219075</xdr:rowOff>
        </xdr:from>
        <xdr:to>
          <xdr:col>147</xdr:col>
          <xdr:colOff>457200</xdr:colOff>
          <xdr:row>72</xdr:row>
          <xdr:rowOff>352425</xdr:rowOff>
        </xdr:to>
        <xdr:sp macro="" textlink="">
          <xdr:nvSpPr>
            <xdr:cNvPr id="1176" name="Object 152" hidden="1">
              <a:extLst>
                <a:ext uri="{63B3BB69-23CF-44E3-9099-C40C66FF867C}">
                  <a14:compatExt spid="_x0000_s117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142</xdr:col>
          <xdr:colOff>276225</xdr:colOff>
          <xdr:row>75</xdr:row>
          <xdr:rowOff>285750</xdr:rowOff>
        </xdr:from>
        <xdr:to>
          <xdr:col>146</xdr:col>
          <xdr:colOff>361950</xdr:colOff>
          <xdr:row>76</xdr:row>
          <xdr:rowOff>400050</xdr:rowOff>
        </xdr:to>
        <xdr:sp macro="" textlink="">
          <xdr:nvSpPr>
            <xdr:cNvPr id="1177" name="Object 153" hidden="1">
              <a:extLst>
                <a:ext uri="{63B3BB69-23CF-44E3-9099-C40C66FF867C}">
                  <a14:compatExt spid="_x0000_s11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142</xdr:col>
          <xdr:colOff>238125</xdr:colOff>
          <xdr:row>79</xdr:row>
          <xdr:rowOff>371475</xdr:rowOff>
        </xdr:from>
        <xdr:to>
          <xdr:col>145</xdr:col>
          <xdr:colOff>190500</xdr:colOff>
          <xdr:row>80</xdr:row>
          <xdr:rowOff>257175</xdr:rowOff>
        </xdr:to>
        <xdr:sp macro="" textlink="">
          <xdr:nvSpPr>
            <xdr:cNvPr id="1178" name="Object 154" hidden="1">
              <a:extLst>
                <a:ext uri="{63B3BB69-23CF-44E3-9099-C40C66FF867C}">
                  <a14:compatExt spid="_x0000_s11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142</xdr:col>
          <xdr:colOff>323850</xdr:colOff>
          <xdr:row>83</xdr:row>
          <xdr:rowOff>400050</xdr:rowOff>
        </xdr:from>
        <xdr:to>
          <xdr:col>145</xdr:col>
          <xdr:colOff>219075</xdr:colOff>
          <xdr:row>84</xdr:row>
          <xdr:rowOff>228600</xdr:rowOff>
        </xdr:to>
        <xdr:sp macro="" textlink="">
          <xdr:nvSpPr>
            <xdr:cNvPr id="1179" name="Object 155" hidden="1">
              <a:extLst>
                <a:ext uri="{63B3BB69-23CF-44E3-9099-C40C66FF867C}">
                  <a14:compatExt spid="_x0000_s11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142</xdr:col>
          <xdr:colOff>219075</xdr:colOff>
          <xdr:row>87</xdr:row>
          <xdr:rowOff>323850</xdr:rowOff>
        </xdr:from>
        <xdr:to>
          <xdr:col>145</xdr:col>
          <xdr:colOff>295275</xdr:colOff>
          <xdr:row>88</xdr:row>
          <xdr:rowOff>238125</xdr:rowOff>
        </xdr:to>
        <xdr:sp macro="" textlink="">
          <xdr:nvSpPr>
            <xdr:cNvPr id="1180" name="Object 156" hidden="1">
              <a:extLst>
                <a:ext uri="{63B3BB69-23CF-44E3-9099-C40C66FF867C}">
                  <a14:compatExt spid="_x0000_s11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142</xdr:col>
          <xdr:colOff>161925</xdr:colOff>
          <xdr:row>91</xdr:row>
          <xdr:rowOff>247650</xdr:rowOff>
        </xdr:from>
        <xdr:to>
          <xdr:col>146</xdr:col>
          <xdr:colOff>466725</xdr:colOff>
          <xdr:row>92</xdr:row>
          <xdr:rowOff>352425</xdr:rowOff>
        </xdr:to>
        <xdr:sp macro="" textlink="">
          <xdr:nvSpPr>
            <xdr:cNvPr id="1181" name="Object 157" hidden="1">
              <a:extLst>
                <a:ext uri="{63B3BB69-23CF-44E3-9099-C40C66FF867C}">
                  <a14:compatExt spid="_x0000_s11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142</xdr:col>
          <xdr:colOff>133350</xdr:colOff>
          <xdr:row>95</xdr:row>
          <xdr:rowOff>419100</xdr:rowOff>
        </xdr:from>
        <xdr:to>
          <xdr:col>146</xdr:col>
          <xdr:colOff>333375</xdr:colOff>
          <xdr:row>96</xdr:row>
          <xdr:rowOff>180975</xdr:rowOff>
        </xdr:to>
        <xdr:sp macro="" textlink="">
          <xdr:nvSpPr>
            <xdr:cNvPr id="1182" name="Object 158" hidden="1">
              <a:extLst>
                <a:ext uri="{63B3BB69-23CF-44E3-9099-C40C66FF867C}">
                  <a14:compatExt spid="_x0000_s11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142</xdr:col>
          <xdr:colOff>180975</xdr:colOff>
          <xdr:row>99</xdr:row>
          <xdr:rowOff>361950</xdr:rowOff>
        </xdr:from>
        <xdr:to>
          <xdr:col>146</xdr:col>
          <xdr:colOff>295275</xdr:colOff>
          <xdr:row>100</xdr:row>
          <xdr:rowOff>238125</xdr:rowOff>
        </xdr:to>
        <xdr:sp macro="" textlink="">
          <xdr:nvSpPr>
            <xdr:cNvPr id="1183" name="Object 159" hidden="1">
              <a:extLst>
                <a:ext uri="{63B3BB69-23CF-44E3-9099-C40C66FF867C}">
                  <a14:compatExt spid="_x0000_s11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88</xdr:col>
          <xdr:colOff>276225</xdr:colOff>
          <xdr:row>19</xdr:row>
          <xdr:rowOff>95250</xdr:rowOff>
        </xdr:from>
        <xdr:to>
          <xdr:col>91</xdr:col>
          <xdr:colOff>200025</xdr:colOff>
          <xdr:row>20</xdr:row>
          <xdr:rowOff>400050</xdr:rowOff>
        </xdr:to>
        <xdr:sp macro="" textlink="">
          <xdr:nvSpPr>
            <xdr:cNvPr id="1184" name="Object 160" hidden="1">
              <a:extLst>
                <a:ext uri="{63B3BB69-23CF-44E3-9099-C40C66FF867C}">
                  <a14:compatExt spid="_x0000_s11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88</xdr:col>
          <xdr:colOff>514350</xdr:colOff>
          <xdr:row>35</xdr:row>
          <xdr:rowOff>171450</xdr:rowOff>
        </xdr:from>
        <xdr:to>
          <xdr:col>91</xdr:col>
          <xdr:colOff>152400</xdr:colOff>
          <xdr:row>36</xdr:row>
          <xdr:rowOff>447675</xdr:rowOff>
        </xdr:to>
        <xdr:sp macro="" textlink="">
          <xdr:nvSpPr>
            <xdr:cNvPr id="1187" name="Object 163" hidden="1">
              <a:extLst>
                <a:ext uri="{63B3BB69-23CF-44E3-9099-C40C66FF867C}">
                  <a14:compatExt spid="_x0000_s11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88</xdr:col>
          <xdr:colOff>276225</xdr:colOff>
          <xdr:row>39</xdr:row>
          <xdr:rowOff>123825</xdr:rowOff>
        </xdr:from>
        <xdr:to>
          <xdr:col>91</xdr:col>
          <xdr:colOff>219075</xdr:colOff>
          <xdr:row>40</xdr:row>
          <xdr:rowOff>390525</xdr:rowOff>
        </xdr:to>
        <xdr:sp macro="" textlink="">
          <xdr:nvSpPr>
            <xdr:cNvPr id="1188" name="Object 164" hidden="1">
              <a:extLst>
                <a:ext uri="{63B3BB69-23CF-44E3-9099-C40C66FF867C}">
                  <a14:compatExt spid="_x0000_s11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90</xdr:col>
          <xdr:colOff>333375</xdr:colOff>
          <xdr:row>43</xdr:row>
          <xdr:rowOff>190500</xdr:rowOff>
        </xdr:from>
        <xdr:to>
          <xdr:col>93</xdr:col>
          <xdr:colOff>200025</xdr:colOff>
          <xdr:row>44</xdr:row>
          <xdr:rowOff>428625</xdr:rowOff>
        </xdr:to>
        <xdr:sp macro="" textlink="">
          <xdr:nvSpPr>
            <xdr:cNvPr id="1189" name="Object 165" hidden="1">
              <a:extLst>
                <a:ext uri="{63B3BB69-23CF-44E3-9099-C40C66FF867C}">
                  <a14:compatExt spid="_x0000_s11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88</xdr:col>
          <xdr:colOff>180975</xdr:colOff>
          <xdr:row>55</xdr:row>
          <xdr:rowOff>190500</xdr:rowOff>
        </xdr:from>
        <xdr:to>
          <xdr:col>91</xdr:col>
          <xdr:colOff>342900</xdr:colOff>
          <xdr:row>56</xdr:row>
          <xdr:rowOff>285750</xdr:rowOff>
        </xdr:to>
        <xdr:sp macro="" textlink="">
          <xdr:nvSpPr>
            <xdr:cNvPr id="1190" name="Object 166" hidden="1">
              <a:extLst>
                <a:ext uri="{63B3BB69-23CF-44E3-9099-C40C66FF867C}">
                  <a14:compatExt spid="_x0000_s119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88</xdr:col>
          <xdr:colOff>95250</xdr:colOff>
          <xdr:row>63</xdr:row>
          <xdr:rowOff>190500</xdr:rowOff>
        </xdr:from>
        <xdr:to>
          <xdr:col>90</xdr:col>
          <xdr:colOff>466725</xdr:colOff>
          <xdr:row>64</xdr:row>
          <xdr:rowOff>428625</xdr:rowOff>
        </xdr:to>
        <xdr:sp macro="" textlink="">
          <xdr:nvSpPr>
            <xdr:cNvPr id="1191" name="Object 167" hidden="1">
              <a:extLst>
                <a:ext uri="{63B3BB69-23CF-44E3-9099-C40C66FF867C}">
                  <a14:compatExt spid="_x0000_s11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88</xdr:col>
          <xdr:colOff>95250</xdr:colOff>
          <xdr:row>67</xdr:row>
          <xdr:rowOff>142875</xdr:rowOff>
        </xdr:from>
        <xdr:to>
          <xdr:col>91</xdr:col>
          <xdr:colOff>466725</xdr:colOff>
          <xdr:row>68</xdr:row>
          <xdr:rowOff>409575</xdr:rowOff>
        </xdr:to>
        <xdr:sp macro="" textlink="">
          <xdr:nvSpPr>
            <xdr:cNvPr id="1192" name="Object 168" hidden="1">
              <a:extLst>
                <a:ext uri="{63B3BB69-23CF-44E3-9099-C40C66FF867C}">
                  <a14:compatExt spid="_x0000_s11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88</xdr:col>
          <xdr:colOff>180975</xdr:colOff>
          <xdr:row>71</xdr:row>
          <xdr:rowOff>381000</xdr:rowOff>
        </xdr:from>
        <xdr:to>
          <xdr:col>91</xdr:col>
          <xdr:colOff>409575</xdr:colOff>
          <xdr:row>72</xdr:row>
          <xdr:rowOff>304800</xdr:rowOff>
        </xdr:to>
        <xdr:sp macro="" textlink="">
          <xdr:nvSpPr>
            <xdr:cNvPr id="1193" name="Object 169" hidden="1">
              <a:extLst>
                <a:ext uri="{63B3BB69-23CF-44E3-9099-C40C66FF867C}">
                  <a14:compatExt spid="_x0000_s11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88</xdr:col>
          <xdr:colOff>104775</xdr:colOff>
          <xdr:row>83</xdr:row>
          <xdr:rowOff>228600</xdr:rowOff>
        </xdr:from>
        <xdr:to>
          <xdr:col>92</xdr:col>
          <xdr:colOff>419100</xdr:colOff>
          <xdr:row>84</xdr:row>
          <xdr:rowOff>476250</xdr:rowOff>
        </xdr:to>
        <xdr:sp macro="" textlink="">
          <xdr:nvSpPr>
            <xdr:cNvPr id="1194" name="Object 170" hidden="1">
              <a:extLst>
                <a:ext uri="{63B3BB69-23CF-44E3-9099-C40C66FF867C}">
                  <a14:compatExt spid="_x0000_s11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88</xdr:col>
          <xdr:colOff>209550</xdr:colOff>
          <xdr:row>87</xdr:row>
          <xdr:rowOff>180975</xdr:rowOff>
        </xdr:from>
        <xdr:to>
          <xdr:col>90</xdr:col>
          <xdr:colOff>161925</xdr:colOff>
          <xdr:row>88</xdr:row>
          <xdr:rowOff>352425</xdr:rowOff>
        </xdr:to>
        <xdr:sp macro="" textlink="">
          <xdr:nvSpPr>
            <xdr:cNvPr id="1195" name="Object 171" hidden="1">
              <a:extLst>
                <a:ext uri="{63B3BB69-23CF-44E3-9099-C40C66FF867C}">
                  <a14:compatExt spid="_x0000_s11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xdr:col>
          <xdr:colOff>304800</xdr:colOff>
          <xdr:row>91</xdr:row>
          <xdr:rowOff>161925</xdr:rowOff>
        </xdr:from>
        <xdr:to>
          <xdr:col>92</xdr:col>
          <xdr:colOff>47625</xdr:colOff>
          <xdr:row>92</xdr:row>
          <xdr:rowOff>342900</xdr:rowOff>
        </xdr:to>
        <xdr:sp macro="" textlink="">
          <xdr:nvSpPr>
            <xdr:cNvPr id="1196" name="Object 172" hidden="1">
              <a:extLst>
                <a:ext uri="{63B3BB69-23CF-44E3-9099-C40C66FF867C}">
                  <a14:compatExt spid="_x0000_s11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96</xdr:col>
          <xdr:colOff>266700</xdr:colOff>
          <xdr:row>99</xdr:row>
          <xdr:rowOff>76200</xdr:rowOff>
        </xdr:from>
        <xdr:to>
          <xdr:col>99</xdr:col>
          <xdr:colOff>314325</xdr:colOff>
          <xdr:row>100</xdr:row>
          <xdr:rowOff>514350</xdr:rowOff>
        </xdr:to>
        <xdr:sp macro="" textlink="">
          <xdr:nvSpPr>
            <xdr:cNvPr id="1197" name="Object 173" hidden="1">
              <a:extLst>
                <a:ext uri="{63B3BB69-23CF-44E3-9099-C40C66FF867C}">
                  <a14:compatExt spid="_x0000_s11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88</xdr:col>
          <xdr:colOff>161925</xdr:colOff>
          <xdr:row>115</xdr:row>
          <xdr:rowOff>142875</xdr:rowOff>
        </xdr:from>
        <xdr:to>
          <xdr:col>91</xdr:col>
          <xdr:colOff>428625</xdr:colOff>
          <xdr:row>116</xdr:row>
          <xdr:rowOff>476250</xdr:rowOff>
        </xdr:to>
        <xdr:sp macro="" textlink="">
          <xdr:nvSpPr>
            <xdr:cNvPr id="1199" name="Object 175" hidden="1">
              <a:extLst>
                <a:ext uri="{63B3BB69-23CF-44E3-9099-C40C66FF867C}">
                  <a14:compatExt spid="_x0000_s11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200</xdr:col>
          <xdr:colOff>295275</xdr:colOff>
          <xdr:row>55</xdr:row>
          <xdr:rowOff>76200</xdr:rowOff>
        </xdr:from>
        <xdr:to>
          <xdr:col>202</xdr:col>
          <xdr:colOff>171450</xdr:colOff>
          <xdr:row>56</xdr:row>
          <xdr:rowOff>476250</xdr:rowOff>
        </xdr:to>
        <xdr:sp macro="" textlink="">
          <xdr:nvSpPr>
            <xdr:cNvPr id="1200" name="Object 176" hidden="1">
              <a:extLst>
                <a:ext uri="{63B3BB69-23CF-44E3-9099-C40C66FF867C}">
                  <a14:compatExt spid="_x0000_s12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200</xdr:col>
          <xdr:colOff>428625</xdr:colOff>
          <xdr:row>47</xdr:row>
          <xdr:rowOff>161925</xdr:rowOff>
        </xdr:from>
        <xdr:to>
          <xdr:col>203</xdr:col>
          <xdr:colOff>514350</xdr:colOff>
          <xdr:row>48</xdr:row>
          <xdr:rowOff>295275</xdr:rowOff>
        </xdr:to>
        <xdr:sp macro="" textlink="">
          <xdr:nvSpPr>
            <xdr:cNvPr id="1201" name="Object 177" hidden="1">
              <a:extLst>
                <a:ext uri="{63B3BB69-23CF-44E3-9099-C40C66FF867C}">
                  <a14:compatExt spid="_x0000_s12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200</xdr:col>
          <xdr:colOff>504825</xdr:colOff>
          <xdr:row>43</xdr:row>
          <xdr:rowOff>314325</xdr:rowOff>
        </xdr:from>
        <xdr:to>
          <xdr:col>203</xdr:col>
          <xdr:colOff>142875</xdr:colOff>
          <xdr:row>44</xdr:row>
          <xdr:rowOff>133350</xdr:rowOff>
        </xdr:to>
        <xdr:sp macro="" textlink="">
          <xdr:nvSpPr>
            <xdr:cNvPr id="1202" name="Object 178" hidden="1">
              <a:extLst>
                <a:ext uri="{63B3BB69-23CF-44E3-9099-C40C66FF867C}">
                  <a14:compatExt spid="_x0000_s12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200</xdr:col>
          <xdr:colOff>219075</xdr:colOff>
          <xdr:row>111</xdr:row>
          <xdr:rowOff>123825</xdr:rowOff>
        </xdr:from>
        <xdr:to>
          <xdr:col>202</xdr:col>
          <xdr:colOff>219075</xdr:colOff>
          <xdr:row>112</xdr:row>
          <xdr:rowOff>333375</xdr:rowOff>
        </xdr:to>
        <xdr:sp macro="" textlink="">
          <xdr:nvSpPr>
            <xdr:cNvPr id="1203" name="Object 179" hidden="1">
              <a:extLst>
                <a:ext uri="{63B3BB69-23CF-44E3-9099-C40C66FF867C}">
                  <a14:compatExt spid="_x0000_s12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200</xdr:col>
          <xdr:colOff>400050</xdr:colOff>
          <xdr:row>115</xdr:row>
          <xdr:rowOff>180975</xdr:rowOff>
        </xdr:from>
        <xdr:to>
          <xdr:col>203</xdr:col>
          <xdr:colOff>257175</xdr:colOff>
          <xdr:row>116</xdr:row>
          <xdr:rowOff>381000</xdr:rowOff>
        </xdr:to>
        <xdr:sp macro="" textlink="">
          <xdr:nvSpPr>
            <xdr:cNvPr id="1204" name="Object 180" hidden="1">
              <a:extLst>
                <a:ext uri="{63B3BB69-23CF-44E3-9099-C40C66FF867C}">
                  <a14:compatExt spid="_x0000_s12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200</xdr:col>
          <xdr:colOff>238125</xdr:colOff>
          <xdr:row>123</xdr:row>
          <xdr:rowOff>504825</xdr:rowOff>
        </xdr:from>
        <xdr:to>
          <xdr:col>202</xdr:col>
          <xdr:colOff>495300</xdr:colOff>
          <xdr:row>124</xdr:row>
          <xdr:rowOff>238125</xdr:rowOff>
        </xdr:to>
        <xdr:sp macro="" textlink="">
          <xdr:nvSpPr>
            <xdr:cNvPr id="1205" name="Object 181" hidden="1">
              <a:extLst>
                <a:ext uri="{63B3BB69-23CF-44E3-9099-C40C66FF867C}">
                  <a14:compatExt spid="_x0000_s12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200</xdr:col>
          <xdr:colOff>238125</xdr:colOff>
          <xdr:row>131</xdr:row>
          <xdr:rowOff>419100</xdr:rowOff>
        </xdr:from>
        <xdr:to>
          <xdr:col>204</xdr:col>
          <xdr:colOff>257175</xdr:colOff>
          <xdr:row>132</xdr:row>
          <xdr:rowOff>266700</xdr:rowOff>
        </xdr:to>
        <xdr:sp macro="" textlink="">
          <xdr:nvSpPr>
            <xdr:cNvPr id="1206" name="Object 182" hidden="1">
              <a:extLst>
                <a:ext uri="{63B3BB69-23CF-44E3-9099-C40C66FF867C}">
                  <a14:compatExt spid="_x0000_s12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200</xdr:col>
          <xdr:colOff>247650</xdr:colOff>
          <xdr:row>127</xdr:row>
          <xdr:rowOff>200025</xdr:rowOff>
        </xdr:from>
        <xdr:to>
          <xdr:col>202</xdr:col>
          <xdr:colOff>190500</xdr:colOff>
          <xdr:row>128</xdr:row>
          <xdr:rowOff>304800</xdr:rowOff>
        </xdr:to>
        <xdr:sp macro="" textlink="">
          <xdr:nvSpPr>
            <xdr:cNvPr id="1207" name="Object 183" hidden="1">
              <a:extLst>
                <a:ext uri="{63B3BB69-23CF-44E3-9099-C40C66FF867C}">
                  <a14:compatExt spid="_x0000_s12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200</xdr:col>
          <xdr:colOff>304800</xdr:colOff>
          <xdr:row>27</xdr:row>
          <xdr:rowOff>342900</xdr:rowOff>
        </xdr:from>
        <xdr:to>
          <xdr:col>203</xdr:col>
          <xdr:colOff>238125</xdr:colOff>
          <xdr:row>28</xdr:row>
          <xdr:rowOff>209550</xdr:rowOff>
        </xdr:to>
        <xdr:sp macro="" textlink="">
          <xdr:nvSpPr>
            <xdr:cNvPr id="1208" name="Object 184" hidden="1">
              <a:extLst>
                <a:ext uri="{63B3BB69-23CF-44E3-9099-C40C66FF867C}">
                  <a14:compatExt spid="_x0000_s12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200</xdr:col>
          <xdr:colOff>200025</xdr:colOff>
          <xdr:row>31</xdr:row>
          <xdr:rowOff>104775</xdr:rowOff>
        </xdr:from>
        <xdr:to>
          <xdr:col>202</xdr:col>
          <xdr:colOff>314325</xdr:colOff>
          <xdr:row>32</xdr:row>
          <xdr:rowOff>352425</xdr:rowOff>
        </xdr:to>
        <xdr:sp macro="" textlink="">
          <xdr:nvSpPr>
            <xdr:cNvPr id="1209" name="Object 185" hidden="1">
              <a:extLst>
                <a:ext uri="{63B3BB69-23CF-44E3-9099-C40C66FF867C}">
                  <a14:compatExt spid="_x0000_s12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200</xdr:col>
          <xdr:colOff>123825</xdr:colOff>
          <xdr:row>35</xdr:row>
          <xdr:rowOff>409575</xdr:rowOff>
        </xdr:from>
        <xdr:to>
          <xdr:col>204</xdr:col>
          <xdr:colOff>381000</xdr:colOff>
          <xdr:row>36</xdr:row>
          <xdr:rowOff>361950</xdr:rowOff>
        </xdr:to>
        <xdr:sp macro="" textlink="">
          <xdr:nvSpPr>
            <xdr:cNvPr id="1210" name="Object 186" hidden="1">
              <a:extLst>
                <a:ext uri="{63B3BB69-23CF-44E3-9099-C40C66FF867C}">
                  <a14:compatExt spid="_x0000_s12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142</xdr:col>
          <xdr:colOff>285750</xdr:colOff>
          <xdr:row>103</xdr:row>
          <xdr:rowOff>266700</xdr:rowOff>
        </xdr:from>
        <xdr:to>
          <xdr:col>145</xdr:col>
          <xdr:colOff>276225</xdr:colOff>
          <xdr:row>104</xdr:row>
          <xdr:rowOff>447675</xdr:rowOff>
        </xdr:to>
        <xdr:sp macro="" textlink="">
          <xdr:nvSpPr>
            <xdr:cNvPr id="1211" name="Object 187" hidden="1">
              <a:extLst>
                <a:ext uri="{63B3BB69-23CF-44E3-9099-C40C66FF867C}">
                  <a14:compatExt spid="_x0000_s121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266</xdr:col>
          <xdr:colOff>295275</xdr:colOff>
          <xdr:row>41</xdr:row>
          <xdr:rowOff>295275</xdr:rowOff>
        </xdr:from>
        <xdr:to>
          <xdr:col>269</xdr:col>
          <xdr:colOff>447675</xdr:colOff>
          <xdr:row>42</xdr:row>
          <xdr:rowOff>476250</xdr:rowOff>
        </xdr:to>
        <xdr:sp macro="" textlink="">
          <xdr:nvSpPr>
            <xdr:cNvPr id="1215" name="Object 191" hidden="1">
              <a:extLst>
                <a:ext uri="{63B3BB69-23CF-44E3-9099-C40C66FF867C}">
                  <a14:compatExt spid="_x0000_s121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266</xdr:col>
          <xdr:colOff>266700</xdr:colOff>
          <xdr:row>42</xdr:row>
          <xdr:rowOff>314325</xdr:rowOff>
        </xdr:from>
        <xdr:to>
          <xdr:col>269</xdr:col>
          <xdr:colOff>523875</xdr:colOff>
          <xdr:row>43</xdr:row>
          <xdr:rowOff>476250</xdr:rowOff>
        </xdr:to>
        <xdr:sp macro="" textlink="">
          <xdr:nvSpPr>
            <xdr:cNvPr id="1216" name="Object 192" hidden="1">
              <a:extLst>
                <a:ext uri="{63B3BB69-23CF-44E3-9099-C40C66FF867C}">
                  <a14:compatExt spid="_x0000_s121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266</xdr:col>
          <xdr:colOff>314325</xdr:colOff>
          <xdr:row>43</xdr:row>
          <xdr:rowOff>228600</xdr:rowOff>
        </xdr:from>
        <xdr:to>
          <xdr:col>269</xdr:col>
          <xdr:colOff>304800</xdr:colOff>
          <xdr:row>44</xdr:row>
          <xdr:rowOff>409575</xdr:rowOff>
        </xdr:to>
        <xdr:sp macro="" textlink="">
          <xdr:nvSpPr>
            <xdr:cNvPr id="1217" name="Object 193" hidden="1">
              <a:extLst>
                <a:ext uri="{63B3BB69-23CF-44E3-9099-C40C66FF867C}">
                  <a14:compatExt spid="_x0000_s12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266</xdr:col>
          <xdr:colOff>295275</xdr:colOff>
          <xdr:row>44</xdr:row>
          <xdr:rowOff>295275</xdr:rowOff>
        </xdr:from>
        <xdr:to>
          <xdr:col>269</xdr:col>
          <xdr:colOff>352425</xdr:colOff>
          <xdr:row>45</xdr:row>
          <xdr:rowOff>381000</xdr:rowOff>
        </xdr:to>
        <xdr:sp macro="" textlink="">
          <xdr:nvSpPr>
            <xdr:cNvPr id="1218" name="Object 194" hidden="1">
              <a:extLst>
                <a:ext uri="{63B3BB69-23CF-44E3-9099-C40C66FF867C}">
                  <a14:compatExt spid="_x0000_s12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266</xdr:col>
          <xdr:colOff>314325</xdr:colOff>
          <xdr:row>45</xdr:row>
          <xdr:rowOff>257175</xdr:rowOff>
        </xdr:from>
        <xdr:to>
          <xdr:col>269</xdr:col>
          <xdr:colOff>447675</xdr:colOff>
          <xdr:row>46</xdr:row>
          <xdr:rowOff>428625</xdr:rowOff>
        </xdr:to>
        <xdr:sp macro="" textlink="">
          <xdr:nvSpPr>
            <xdr:cNvPr id="1219" name="Object 195" hidden="1">
              <a:extLst>
                <a:ext uri="{63B3BB69-23CF-44E3-9099-C40C66FF867C}">
                  <a14:compatExt spid="_x0000_s12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266</xdr:col>
          <xdr:colOff>333375</xdr:colOff>
          <xdr:row>46</xdr:row>
          <xdr:rowOff>276225</xdr:rowOff>
        </xdr:from>
        <xdr:to>
          <xdr:col>270</xdr:col>
          <xdr:colOff>352425</xdr:colOff>
          <xdr:row>47</xdr:row>
          <xdr:rowOff>428625</xdr:rowOff>
        </xdr:to>
        <xdr:sp macro="" textlink="">
          <xdr:nvSpPr>
            <xdr:cNvPr id="1220" name="Object 196" hidden="1">
              <a:extLst>
                <a:ext uri="{63B3BB69-23CF-44E3-9099-C40C66FF867C}">
                  <a14:compatExt spid="_x0000_s12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266</xdr:col>
          <xdr:colOff>333375</xdr:colOff>
          <xdr:row>47</xdr:row>
          <xdr:rowOff>257175</xdr:rowOff>
        </xdr:from>
        <xdr:to>
          <xdr:col>269</xdr:col>
          <xdr:colOff>542925</xdr:colOff>
          <xdr:row>48</xdr:row>
          <xdr:rowOff>428625</xdr:rowOff>
        </xdr:to>
        <xdr:sp macro="" textlink="">
          <xdr:nvSpPr>
            <xdr:cNvPr id="1221" name="Object 197" hidden="1">
              <a:extLst>
                <a:ext uri="{63B3BB69-23CF-44E3-9099-C40C66FF867C}">
                  <a14:compatExt spid="_x0000_s12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266</xdr:col>
          <xdr:colOff>352425</xdr:colOff>
          <xdr:row>49</xdr:row>
          <xdr:rowOff>257175</xdr:rowOff>
        </xdr:from>
        <xdr:to>
          <xdr:col>269</xdr:col>
          <xdr:colOff>133350</xdr:colOff>
          <xdr:row>50</xdr:row>
          <xdr:rowOff>428625</xdr:rowOff>
        </xdr:to>
        <xdr:sp macro="" textlink="">
          <xdr:nvSpPr>
            <xdr:cNvPr id="1222" name="Object 198" hidden="1">
              <a:extLst>
                <a:ext uri="{63B3BB69-23CF-44E3-9099-C40C66FF867C}">
                  <a14:compatExt spid="_x0000_s12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266</xdr:col>
          <xdr:colOff>314325</xdr:colOff>
          <xdr:row>50</xdr:row>
          <xdr:rowOff>257175</xdr:rowOff>
        </xdr:from>
        <xdr:to>
          <xdr:col>269</xdr:col>
          <xdr:colOff>57150</xdr:colOff>
          <xdr:row>51</xdr:row>
          <xdr:rowOff>476250</xdr:rowOff>
        </xdr:to>
        <xdr:sp macro="" textlink="">
          <xdr:nvSpPr>
            <xdr:cNvPr id="1223" name="Object 199" hidden="1">
              <a:extLst>
                <a:ext uri="{63B3BB69-23CF-44E3-9099-C40C66FF867C}">
                  <a14:compatExt spid="_x0000_s12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266</xdr:col>
          <xdr:colOff>314325</xdr:colOff>
          <xdr:row>51</xdr:row>
          <xdr:rowOff>257175</xdr:rowOff>
        </xdr:from>
        <xdr:to>
          <xdr:col>269</xdr:col>
          <xdr:colOff>161925</xdr:colOff>
          <xdr:row>52</xdr:row>
          <xdr:rowOff>0</xdr:rowOff>
        </xdr:to>
        <xdr:sp macro="" textlink="">
          <xdr:nvSpPr>
            <xdr:cNvPr id="1224" name="Object 200" hidden="1">
              <a:extLst>
                <a:ext uri="{63B3BB69-23CF-44E3-9099-C40C66FF867C}">
                  <a14:compatExt spid="_x0000_s12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267</xdr:col>
          <xdr:colOff>142875</xdr:colOff>
          <xdr:row>48</xdr:row>
          <xdr:rowOff>504825</xdr:rowOff>
        </xdr:from>
        <xdr:to>
          <xdr:col>271</xdr:col>
          <xdr:colOff>104775</xdr:colOff>
          <xdr:row>49</xdr:row>
          <xdr:rowOff>266700</xdr:rowOff>
        </xdr:to>
        <xdr:sp macro="" textlink="">
          <xdr:nvSpPr>
            <xdr:cNvPr id="1226" name="Object 202" hidden="1">
              <a:extLst>
                <a:ext uri="{63B3BB69-23CF-44E3-9099-C40C66FF867C}">
                  <a14:compatExt spid="_x0000_s12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266</xdr:col>
          <xdr:colOff>276225</xdr:colOff>
          <xdr:row>54</xdr:row>
          <xdr:rowOff>295275</xdr:rowOff>
        </xdr:from>
        <xdr:to>
          <xdr:col>269</xdr:col>
          <xdr:colOff>190500</xdr:colOff>
          <xdr:row>55</xdr:row>
          <xdr:rowOff>47625</xdr:rowOff>
        </xdr:to>
        <xdr:sp macro="" textlink="">
          <xdr:nvSpPr>
            <xdr:cNvPr id="1227" name="Object 203" hidden="1">
              <a:extLst>
                <a:ext uri="{63B3BB69-23CF-44E3-9099-C40C66FF867C}">
                  <a14:compatExt spid="_x0000_s12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266</xdr:col>
          <xdr:colOff>257175</xdr:colOff>
          <xdr:row>55</xdr:row>
          <xdr:rowOff>295275</xdr:rowOff>
        </xdr:from>
        <xdr:to>
          <xdr:col>269</xdr:col>
          <xdr:colOff>209550</xdr:colOff>
          <xdr:row>56</xdr:row>
          <xdr:rowOff>47625</xdr:rowOff>
        </xdr:to>
        <xdr:sp macro="" textlink="">
          <xdr:nvSpPr>
            <xdr:cNvPr id="1228" name="Object 204" hidden="1">
              <a:extLst>
                <a:ext uri="{63B3BB69-23CF-44E3-9099-C40C66FF867C}">
                  <a14:compatExt spid="_x0000_s12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266</xdr:col>
          <xdr:colOff>257175</xdr:colOff>
          <xdr:row>57</xdr:row>
          <xdr:rowOff>285750</xdr:rowOff>
        </xdr:from>
        <xdr:to>
          <xdr:col>270</xdr:col>
          <xdr:colOff>228600</xdr:colOff>
          <xdr:row>59</xdr:row>
          <xdr:rowOff>0</xdr:rowOff>
        </xdr:to>
        <xdr:sp macro="" textlink="">
          <xdr:nvSpPr>
            <xdr:cNvPr id="1229" name="Object 205" hidden="1">
              <a:extLst>
                <a:ext uri="{63B3BB69-23CF-44E3-9099-C40C66FF867C}">
                  <a14:compatExt spid="_x0000_s12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266</xdr:col>
          <xdr:colOff>257175</xdr:colOff>
          <xdr:row>58</xdr:row>
          <xdr:rowOff>257175</xdr:rowOff>
        </xdr:from>
        <xdr:to>
          <xdr:col>269</xdr:col>
          <xdr:colOff>304800</xdr:colOff>
          <xdr:row>59</xdr:row>
          <xdr:rowOff>190500</xdr:rowOff>
        </xdr:to>
        <xdr:sp macro="" textlink="">
          <xdr:nvSpPr>
            <xdr:cNvPr id="1230" name="Object 206" hidden="1">
              <a:extLst>
                <a:ext uri="{63B3BB69-23CF-44E3-9099-C40C66FF867C}">
                  <a14:compatExt spid="_x0000_s12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266</xdr:col>
          <xdr:colOff>257175</xdr:colOff>
          <xdr:row>59</xdr:row>
          <xdr:rowOff>276225</xdr:rowOff>
        </xdr:from>
        <xdr:to>
          <xdr:col>269</xdr:col>
          <xdr:colOff>190500</xdr:colOff>
          <xdr:row>60</xdr:row>
          <xdr:rowOff>476250</xdr:rowOff>
        </xdr:to>
        <xdr:sp macro="" textlink="">
          <xdr:nvSpPr>
            <xdr:cNvPr id="1231" name="Object 207" hidden="1">
              <a:extLst>
                <a:ext uri="{63B3BB69-23CF-44E3-9099-C40C66FF867C}">
                  <a14:compatExt spid="_x0000_s12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266</xdr:col>
          <xdr:colOff>266700</xdr:colOff>
          <xdr:row>62</xdr:row>
          <xdr:rowOff>257175</xdr:rowOff>
        </xdr:from>
        <xdr:to>
          <xdr:col>268</xdr:col>
          <xdr:colOff>342900</xdr:colOff>
          <xdr:row>63</xdr:row>
          <xdr:rowOff>47625</xdr:rowOff>
        </xdr:to>
        <xdr:sp macro="" textlink="">
          <xdr:nvSpPr>
            <xdr:cNvPr id="1232" name="Object 208" hidden="1">
              <a:extLst>
                <a:ext uri="{63B3BB69-23CF-44E3-9099-C40C66FF867C}">
                  <a14:compatExt spid="_x0000_s12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266</xdr:col>
          <xdr:colOff>257175</xdr:colOff>
          <xdr:row>63</xdr:row>
          <xdr:rowOff>276225</xdr:rowOff>
        </xdr:from>
        <xdr:to>
          <xdr:col>269</xdr:col>
          <xdr:colOff>190500</xdr:colOff>
          <xdr:row>64</xdr:row>
          <xdr:rowOff>476250</xdr:rowOff>
        </xdr:to>
        <xdr:sp macro="" textlink="">
          <xdr:nvSpPr>
            <xdr:cNvPr id="1233" name="Object 209" hidden="1">
              <a:extLst>
                <a:ext uri="{63B3BB69-23CF-44E3-9099-C40C66FF867C}">
                  <a14:compatExt spid="_x0000_s12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266</xdr:col>
          <xdr:colOff>266700</xdr:colOff>
          <xdr:row>64</xdr:row>
          <xdr:rowOff>247650</xdr:rowOff>
        </xdr:from>
        <xdr:to>
          <xdr:col>268</xdr:col>
          <xdr:colOff>0</xdr:colOff>
          <xdr:row>65</xdr:row>
          <xdr:rowOff>28575</xdr:rowOff>
        </xdr:to>
        <xdr:sp macro="" textlink="">
          <xdr:nvSpPr>
            <xdr:cNvPr id="1234" name="Object 210" hidden="1">
              <a:extLst>
                <a:ext uri="{63B3BB69-23CF-44E3-9099-C40C66FF867C}">
                  <a14:compatExt spid="_x0000_s12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266</xdr:col>
          <xdr:colOff>276225</xdr:colOff>
          <xdr:row>65</xdr:row>
          <xdr:rowOff>247650</xdr:rowOff>
        </xdr:from>
        <xdr:to>
          <xdr:col>269</xdr:col>
          <xdr:colOff>495300</xdr:colOff>
          <xdr:row>66</xdr:row>
          <xdr:rowOff>361950</xdr:rowOff>
        </xdr:to>
        <xdr:sp macro="" textlink="">
          <xdr:nvSpPr>
            <xdr:cNvPr id="1235" name="Object 211" hidden="1">
              <a:extLst>
                <a:ext uri="{63B3BB69-23CF-44E3-9099-C40C66FF867C}">
                  <a14:compatExt spid="_x0000_s12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266</xdr:col>
          <xdr:colOff>276225</xdr:colOff>
          <xdr:row>67</xdr:row>
          <xdr:rowOff>276225</xdr:rowOff>
        </xdr:from>
        <xdr:to>
          <xdr:col>271</xdr:col>
          <xdr:colOff>333375</xdr:colOff>
          <xdr:row>68</xdr:row>
          <xdr:rowOff>47625</xdr:rowOff>
        </xdr:to>
        <xdr:sp macro="" textlink="">
          <xdr:nvSpPr>
            <xdr:cNvPr id="1236" name="Object 212" hidden="1">
              <a:extLst>
                <a:ext uri="{63B3BB69-23CF-44E3-9099-C40C66FF867C}">
                  <a14:compatExt spid="_x0000_s123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266</xdr:col>
          <xdr:colOff>276225</xdr:colOff>
          <xdr:row>68</xdr:row>
          <xdr:rowOff>238125</xdr:rowOff>
        </xdr:from>
        <xdr:to>
          <xdr:col>268</xdr:col>
          <xdr:colOff>123825</xdr:colOff>
          <xdr:row>69</xdr:row>
          <xdr:rowOff>457200</xdr:rowOff>
        </xdr:to>
        <xdr:sp macro="" textlink="">
          <xdr:nvSpPr>
            <xdr:cNvPr id="1237" name="Object 213" hidden="1">
              <a:extLst>
                <a:ext uri="{63B3BB69-23CF-44E3-9099-C40C66FF867C}">
                  <a14:compatExt spid="_x0000_s12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266</xdr:col>
          <xdr:colOff>266700</xdr:colOff>
          <xdr:row>69</xdr:row>
          <xdr:rowOff>247650</xdr:rowOff>
        </xdr:from>
        <xdr:to>
          <xdr:col>270</xdr:col>
          <xdr:colOff>47625</xdr:colOff>
          <xdr:row>70</xdr:row>
          <xdr:rowOff>457200</xdr:rowOff>
        </xdr:to>
        <xdr:sp macro="" textlink="">
          <xdr:nvSpPr>
            <xdr:cNvPr id="1238" name="Object 214" hidden="1">
              <a:extLst>
                <a:ext uri="{63B3BB69-23CF-44E3-9099-C40C66FF867C}">
                  <a14:compatExt spid="_x0000_s12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266</xdr:col>
          <xdr:colOff>295275</xdr:colOff>
          <xdr:row>71</xdr:row>
          <xdr:rowOff>257175</xdr:rowOff>
        </xdr:from>
        <xdr:to>
          <xdr:col>268</xdr:col>
          <xdr:colOff>28575</xdr:colOff>
          <xdr:row>72</xdr:row>
          <xdr:rowOff>476250</xdr:rowOff>
        </xdr:to>
        <xdr:sp macro="" textlink="">
          <xdr:nvSpPr>
            <xdr:cNvPr id="1240" name="Object 216" hidden="1">
              <a:extLst>
                <a:ext uri="{63B3BB69-23CF-44E3-9099-C40C66FF867C}">
                  <a14:compatExt spid="_x0000_s124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350</xdr:col>
          <xdr:colOff>57150</xdr:colOff>
          <xdr:row>16</xdr:row>
          <xdr:rowOff>409575</xdr:rowOff>
        </xdr:from>
        <xdr:to>
          <xdr:col>352</xdr:col>
          <xdr:colOff>381000</xdr:colOff>
          <xdr:row>18</xdr:row>
          <xdr:rowOff>0</xdr:rowOff>
        </xdr:to>
        <xdr:sp macro="" textlink="">
          <xdr:nvSpPr>
            <xdr:cNvPr id="1241" name="Object 217" hidden="1">
              <a:extLst>
                <a:ext uri="{63B3BB69-23CF-44E3-9099-C40C66FF867C}">
                  <a14:compatExt spid="_x0000_s12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350</xdr:col>
          <xdr:colOff>47625</xdr:colOff>
          <xdr:row>20</xdr:row>
          <xdr:rowOff>390525</xdr:rowOff>
        </xdr:from>
        <xdr:to>
          <xdr:col>353</xdr:col>
          <xdr:colOff>247650</xdr:colOff>
          <xdr:row>21</xdr:row>
          <xdr:rowOff>381000</xdr:rowOff>
        </xdr:to>
        <xdr:sp macro="" textlink="">
          <xdr:nvSpPr>
            <xdr:cNvPr id="1242" name="Object 218" hidden="1">
              <a:extLst>
                <a:ext uri="{63B3BB69-23CF-44E3-9099-C40C66FF867C}">
                  <a14:compatExt spid="_x0000_s124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350</xdr:col>
          <xdr:colOff>76200</xdr:colOff>
          <xdr:row>21</xdr:row>
          <xdr:rowOff>409575</xdr:rowOff>
        </xdr:from>
        <xdr:to>
          <xdr:col>354</xdr:col>
          <xdr:colOff>266700</xdr:colOff>
          <xdr:row>22</xdr:row>
          <xdr:rowOff>381000</xdr:rowOff>
        </xdr:to>
        <xdr:sp macro="" textlink="">
          <xdr:nvSpPr>
            <xdr:cNvPr id="1243" name="Object 219" hidden="1">
              <a:extLst>
                <a:ext uri="{63B3BB69-23CF-44E3-9099-C40C66FF867C}">
                  <a14:compatExt spid="_x0000_s124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350</xdr:col>
          <xdr:colOff>28575</xdr:colOff>
          <xdr:row>22</xdr:row>
          <xdr:rowOff>485775</xdr:rowOff>
        </xdr:from>
        <xdr:to>
          <xdr:col>354</xdr:col>
          <xdr:colOff>266700</xdr:colOff>
          <xdr:row>23</xdr:row>
          <xdr:rowOff>381000</xdr:rowOff>
        </xdr:to>
        <xdr:sp macro="" textlink="">
          <xdr:nvSpPr>
            <xdr:cNvPr id="1245" name="Object 221" hidden="1">
              <a:extLst>
                <a:ext uri="{63B3BB69-23CF-44E3-9099-C40C66FF867C}">
                  <a14:compatExt spid="_x0000_s12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350</xdr:col>
          <xdr:colOff>47625</xdr:colOff>
          <xdr:row>23</xdr:row>
          <xdr:rowOff>438150</xdr:rowOff>
        </xdr:from>
        <xdr:to>
          <xdr:col>353</xdr:col>
          <xdr:colOff>323850</xdr:colOff>
          <xdr:row>25</xdr:row>
          <xdr:rowOff>0</xdr:rowOff>
        </xdr:to>
        <xdr:sp macro="" textlink="">
          <xdr:nvSpPr>
            <xdr:cNvPr id="1246" name="Object 222" hidden="1">
              <a:extLst>
                <a:ext uri="{63B3BB69-23CF-44E3-9099-C40C66FF867C}">
                  <a14:compatExt spid="_x0000_s124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350</xdr:col>
          <xdr:colOff>66675</xdr:colOff>
          <xdr:row>26</xdr:row>
          <xdr:rowOff>390525</xdr:rowOff>
        </xdr:from>
        <xdr:to>
          <xdr:col>352</xdr:col>
          <xdr:colOff>28575</xdr:colOff>
          <xdr:row>28</xdr:row>
          <xdr:rowOff>0</xdr:rowOff>
        </xdr:to>
        <xdr:sp macro="" textlink="">
          <xdr:nvSpPr>
            <xdr:cNvPr id="1248" name="Object 224" hidden="1">
              <a:extLst>
                <a:ext uri="{63B3BB69-23CF-44E3-9099-C40C66FF867C}">
                  <a14:compatExt spid="_x0000_s12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350</xdr:col>
          <xdr:colOff>47625</xdr:colOff>
          <xdr:row>28</xdr:row>
          <xdr:rowOff>457200</xdr:rowOff>
        </xdr:from>
        <xdr:to>
          <xdr:col>353</xdr:col>
          <xdr:colOff>419100</xdr:colOff>
          <xdr:row>30</xdr:row>
          <xdr:rowOff>266700</xdr:rowOff>
        </xdr:to>
        <xdr:sp macro="" textlink="">
          <xdr:nvSpPr>
            <xdr:cNvPr id="1249" name="Object 225" hidden="1">
              <a:extLst>
                <a:ext uri="{63B3BB69-23CF-44E3-9099-C40C66FF867C}">
                  <a14:compatExt spid="_x0000_s12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350</xdr:col>
          <xdr:colOff>114300</xdr:colOff>
          <xdr:row>29</xdr:row>
          <xdr:rowOff>485775</xdr:rowOff>
        </xdr:from>
        <xdr:to>
          <xdr:col>353</xdr:col>
          <xdr:colOff>19050</xdr:colOff>
          <xdr:row>31</xdr:row>
          <xdr:rowOff>333375</xdr:rowOff>
        </xdr:to>
        <xdr:sp macro="" textlink="">
          <xdr:nvSpPr>
            <xdr:cNvPr id="1250" name="Object 226" hidden="1">
              <a:extLst>
                <a:ext uri="{63B3BB69-23CF-44E3-9099-C40C66FF867C}">
                  <a14:compatExt spid="_x0000_s12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350</xdr:col>
          <xdr:colOff>28575</xdr:colOff>
          <xdr:row>30</xdr:row>
          <xdr:rowOff>438150</xdr:rowOff>
        </xdr:from>
        <xdr:to>
          <xdr:col>354</xdr:col>
          <xdr:colOff>19050</xdr:colOff>
          <xdr:row>32</xdr:row>
          <xdr:rowOff>238125</xdr:rowOff>
        </xdr:to>
        <xdr:sp macro="" textlink="">
          <xdr:nvSpPr>
            <xdr:cNvPr id="1251" name="Object 227" hidden="1">
              <a:extLst>
                <a:ext uri="{63B3BB69-23CF-44E3-9099-C40C66FF867C}">
                  <a14:compatExt spid="_x0000_s12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350</xdr:col>
          <xdr:colOff>9525</xdr:colOff>
          <xdr:row>33</xdr:row>
          <xdr:rowOff>438150</xdr:rowOff>
        </xdr:from>
        <xdr:to>
          <xdr:col>355</xdr:col>
          <xdr:colOff>238125</xdr:colOff>
          <xdr:row>35</xdr:row>
          <xdr:rowOff>266700</xdr:rowOff>
        </xdr:to>
        <xdr:sp macro="" textlink="">
          <xdr:nvSpPr>
            <xdr:cNvPr id="1252" name="Object 228" hidden="1">
              <a:extLst>
                <a:ext uri="{63B3BB69-23CF-44E3-9099-C40C66FF867C}">
                  <a14:compatExt spid="_x0000_s12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350</xdr:col>
          <xdr:colOff>76200</xdr:colOff>
          <xdr:row>34</xdr:row>
          <xdr:rowOff>504825</xdr:rowOff>
        </xdr:from>
        <xdr:to>
          <xdr:col>353</xdr:col>
          <xdr:colOff>104775</xdr:colOff>
          <xdr:row>36</xdr:row>
          <xdr:rowOff>361950</xdr:rowOff>
        </xdr:to>
        <xdr:sp macro="" textlink="">
          <xdr:nvSpPr>
            <xdr:cNvPr id="1253" name="Object 229" hidden="1">
              <a:extLst>
                <a:ext uri="{63B3BB69-23CF-44E3-9099-C40C66FF867C}">
                  <a14:compatExt spid="_x0000_s12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350</xdr:col>
          <xdr:colOff>66675</xdr:colOff>
          <xdr:row>35</xdr:row>
          <xdr:rowOff>561975</xdr:rowOff>
        </xdr:from>
        <xdr:to>
          <xdr:col>359</xdr:col>
          <xdr:colOff>152400</xdr:colOff>
          <xdr:row>37</xdr:row>
          <xdr:rowOff>381000</xdr:rowOff>
        </xdr:to>
        <xdr:sp macro="" textlink="">
          <xdr:nvSpPr>
            <xdr:cNvPr id="1254" name="Object 230" hidden="1">
              <a:extLst>
                <a:ext uri="{63B3BB69-23CF-44E3-9099-C40C66FF867C}">
                  <a14:compatExt spid="_x0000_s12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142</xdr:col>
          <xdr:colOff>171450</xdr:colOff>
          <xdr:row>27</xdr:row>
          <xdr:rowOff>133350</xdr:rowOff>
        </xdr:from>
        <xdr:to>
          <xdr:col>145</xdr:col>
          <xdr:colOff>247650</xdr:colOff>
          <xdr:row>28</xdr:row>
          <xdr:rowOff>257175</xdr:rowOff>
        </xdr:to>
        <xdr:sp macro="" textlink="">
          <xdr:nvSpPr>
            <xdr:cNvPr id="1255" name="Object 231" hidden="1">
              <a:extLst>
                <a:ext uri="{63B3BB69-23CF-44E3-9099-C40C66FF867C}">
                  <a14:compatExt spid="_x0000_s12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142</xdr:col>
          <xdr:colOff>228600</xdr:colOff>
          <xdr:row>31</xdr:row>
          <xdr:rowOff>152400</xdr:rowOff>
        </xdr:from>
        <xdr:to>
          <xdr:col>146</xdr:col>
          <xdr:colOff>285750</xdr:colOff>
          <xdr:row>32</xdr:row>
          <xdr:rowOff>495300</xdr:rowOff>
        </xdr:to>
        <xdr:sp macro="" textlink="">
          <xdr:nvSpPr>
            <xdr:cNvPr id="1256" name="Object 232" hidden="1">
              <a:extLst>
                <a:ext uri="{63B3BB69-23CF-44E3-9099-C40C66FF867C}">
                  <a14:compatExt spid="_x0000_s12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88</xdr:col>
          <xdr:colOff>266700</xdr:colOff>
          <xdr:row>79</xdr:row>
          <xdr:rowOff>190500</xdr:rowOff>
        </xdr:from>
        <xdr:to>
          <xdr:col>91</xdr:col>
          <xdr:colOff>66675</xdr:colOff>
          <xdr:row>80</xdr:row>
          <xdr:rowOff>333375</xdr:rowOff>
        </xdr:to>
        <xdr:sp macro="" textlink="">
          <xdr:nvSpPr>
            <xdr:cNvPr id="1268" name="Object 244" hidden="1">
              <a:extLst>
                <a:ext uri="{63B3BB69-23CF-44E3-9099-C40C66FF867C}">
                  <a14:compatExt spid="_x0000_s12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91</xdr:col>
          <xdr:colOff>428625</xdr:colOff>
          <xdr:row>79</xdr:row>
          <xdr:rowOff>76200</xdr:rowOff>
        </xdr:from>
        <xdr:to>
          <xdr:col>95</xdr:col>
          <xdr:colOff>466725</xdr:colOff>
          <xdr:row>80</xdr:row>
          <xdr:rowOff>466725</xdr:rowOff>
        </xdr:to>
        <xdr:sp macro="" textlink="">
          <xdr:nvSpPr>
            <xdr:cNvPr id="1270" name="Object 246" hidden="1">
              <a:extLst>
                <a:ext uri="{63B3BB69-23CF-44E3-9099-C40C66FF867C}">
                  <a14:compatExt spid="_x0000_s12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xdr:col>
          <xdr:colOff>266700</xdr:colOff>
          <xdr:row>4</xdr:row>
          <xdr:rowOff>190500</xdr:rowOff>
        </xdr:from>
        <xdr:to>
          <xdr:col>138</xdr:col>
          <xdr:colOff>228600</xdr:colOff>
          <xdr:row>6</xdr:row>
          <xdr:rowOff>123825</xdr:rowOff>
        </xdr:to>
        <xdr:sp macro="" textlink="">
          <xdr:nvSpPr>
            <xdr:cNvPr id="1272" name="Object 248" hidden="1">
              <a:extLst>
                <a:ext uri="{63B3BB69-23CF-44E3-9099-C40C66FF867C}">
                  <a14:compatExt spid="_x0000_s12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355</xdr:col>
          <xdr:colOff>47625</xdr:colOff>
          <xdr:row>21</xdr:row>
          <xdr:rowOff>390525</xdr:rowOff>
        </xdr:from>
        <xdr:to>
          <xdr:col>355</xdr:col>
          <xdr:colOff>561975</xdr:colOff>
          <xdr:row>22</xdr:row>
          <xdr:rowOff>428625</xdr:rowOff>
        </xdr:to>
        <xdr:sp macro="" textlink="">
          <xdr:nvSpPr>
            <xdr:cNvPr id="1275" name="Object 251" hidden="1">
              <a:extLst>
                <a:ext uri="{63B3BB69-23CF-44E3-9099-C40C66FF867C}">
                  <a14:compatExt spid="_x0000_s12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355</xdr:col>
          <xdr:colOff>28575</xdr:colOff>
          <xdr:row>20</xdr:row>
          <xdr:rowOff>419100</xdr:rowOff>
        </xdr:from>
        <xdr:to>
          <xdr:col>356</xdr:col>
          <xdr:colOff>9525</xdr:colOff>
          <xdr:row>21</xdr:row>
          <xdr:rowOff>381000</xdr:rowOff>
        </xdr:to>
        <xdr:sp macro="" textlink="">
          <xdr:nvSpPr>
            <xdr:cNvPr id="1276" name="Object 252" hidden="1">
              <a:extLst>
                <a:ext uri="{63B3BB69-23CF-44E3-9099-C40C66FF867C}">
                  <a14:compatExt spid="_x0000_s127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355</xdr:col>
          <xdr:colOff>76200</xdr:colOff>
          <xdr:row>22</xdr:row>
          <xdr:rowOff>495300</xdr:rowOff>
        </xdr:from>
        <xdr:to>
          <xdr:col>356</xdr:col>
          <xdr:colOff>0</xdr:colOff>
          <xdr:row>23</xdr:row>
          <xdr:rowOff>381000</xdr:rowOff>
        </xdr:to>
        <xdr:sp macro="" textlink="">
          <xdr:nvSpPr>
            <xdr:cNvPr id="1277" name="Object 253" hidden="1">
              <a:extLst>
                <a:ext uri="{63B3BB69-23CF-44E3-9099-C40C66FF867C}">
                  <a14:compatExt spid="_x0000_s12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350</xdr:col>
          <xdr:colOff>76200</xdr:colOff>
          <xdr:row>31</xdr:row>
          <xdr:rowOff>542925</xdr:rowOff>
        </xdr:from>
        <xdr:to>
          <xdr:col>354</xdr:col>
          <xdr:colOff>247650</xdr:colOff>
          <xdr:row>33</xdr:row>
          <xdr:rowOff>28575</xdr:rowOff>
        </xdr:to>
        <xdr:sp macro="" textlink="">
          <xdr:nvSpPr>
            <xdr:cNvPr id="1279" name="Object 255" hidden="1">
              <a:extLst>
                <a:ext uri="{63B3BB69-23CF-44E3-9099-C40C66FF867C}">
                  <a14:compatExt spid="_x0000_s12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350</xdr:col>
          <xdr:colOff>19050</xdr:colOff>
          <xdr:row>39</xdr:row>
          <xdr:rowOff>438150</xdr:rowOff>
        </xdr:from>
        <xdr:to>
          <xdr:col>353</xdr:col>
          <xdr:colOff>0</xdr:colOff>
          <xdr:row>40</xdr:row>
          <xdr:rowOff>523875</xdr:rowOff>
        </xdr:to>
        <xdr:sp macro="" textlink="">
          <xdr:nvSpPr>
            <xdr:cNvPr id="1280" name="Object 256" hidden="1">
              <a:extLst>
                <a:ext uri="{63B3BB69-23CF-44E3-9099-C40C66FF867C}">
                  <a14:compatExt spid="_x0000_s12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350</xdr:col>
          <xdr:colOff>76200</xdr:colOff>
          <xdr:row>40</xdr:row>
          <xdr:rowOff>438150</xdr:rowOff>
        </xdr:from>
        <xdr:to>
          <xdr:col>354</xdr:col>
          <xdr:colOff>28575</xdr:colOff>
          <xdr:row>41</xdr:row>
          <xdr:rowOff>381000</xdr:rowOff>
        </xdr:to>
        <xdr:sp macro="" textlink="">
          <xdr:nvSpPr>
            <xdr:cNvPr id="1281" name="Object 257" hidden="1">
              <a:extLst>
                <a:ext uri="{63B3BB69-23CF-44E3-9099-C40C66FF867C}">
                  <a14:compatExt spid="_x0000_s12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350</xdr:col>
          <xdr:colOff>85725</xdr:colOff>
          <xdr:row>41</xdr:row>
          <xdr:rowOff>419100</xdr:rowOff>
        </xdr:from>
        <xdr:to>
          <xdr:col>354</xdr:col>
          <xdr:colOff>19050</xdr:colOff>
          <xdr:row>42</xdr:row>
          <xdr:rowOff>381000</xdr:rowOff>
        </xdr:to>
        <xdr:sp macro="" textlink="">
          <xdr:nvSpPr>
            <xdr:cNvPr id="1282" name="Object 258" hidden="1">
              <a:extLst>
                <a:ext uri="{63B3BB69-23CF-44E3-9099-C40C66FF867C}">
                  <a14:compatExt spid="_x0000_s12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350</xdr:col>
          <xdr:colOff>47625</xdr:colOff>
          <xdr:row>42</xdr:row>
          <xdr:rowOff>419100</xdr:rowOff>
        </xdr:from>
        <xdr:to>
          <xdr:col>354</xdr:col>
          <xdr:colOff>342900</xdr:colOff>
          <xdr:row>43</xdr:row>
          <xdr:rowOff>409575</xdr:rowOff>
        </xdr:to>
        <xdr:sp macro="" textlink="">
          <xdr:nvSpPr>
            <xdr:cNvPr id="1283" name="Object 259" hidden="1">
              <a:extLst>
                <a:ext uri="{63B3BB69-23CF-44E3-9099-C40C66FF867C}">
                  <a14:compatExt spid="_x0000_s12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350</xdr:col>
          <xdr:colOff>9525</xdr:colOff>
          <xdr:row>38</xdr:row>
          <xdr:rowOff>419100</xdr:rowOff>
        </xdr:from>
        <xdr:to>
          <xdr:col>352</xdr:col>
          <xdr:colOff>476250</xdr:colOff>
          <xdr:row>39</xdr:row>
          <xdr:rowOff>381000</xdr:rowOff>
        </xdr:to>
        <xdr:sp macro="" textlink="">
          <xdr:nvSpPr>
            <xdr:cNvPr id="1284" name="Object 260" hidden="1">
              <a:extLst>
                <a:ext uri="{63B3BB69-23CF-44E3-9099-C40C66FF867C}">
                  <a14:compatExt spid="_x0000_s12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350</xdr:col>
          <xdr:colOff>19050</xdr:colOff>
          <xdr:row>43</xdr:row>
          <xdr:rowOff>409575</xdr:rowOff>
        </xdr:from>
        <xdr:to>
          <xdr:col>355</xdr:col>
          <xdr:colOff>333375</xdr:colOff>
          <xdr:row>44</xdr:row>
          <xdr:rowOff>476250</xdr:rowOff>
        </xdr:to>
        <xdr:sp macro="" textlink="">
          <xdr:nvSpPr>
            <xdr:cNvPr id="1285" name="Object 261" hidden="1">
              <a:extLst>
                <a:ext uri="{63B3BB69-23CF-44E3-9099-C40C66FF867C}">
                  <a14:compatExt spid="_x0000_s12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350</xdr:col>
          <xdr:colOff>9525</xdr:colOff>
          <xdr:row>47</xdr:row>
          <xdr:rowOff>466725</xdr:rowOff>
        </xdr:from>
        <xdr:to>
          <xdr:col>357</xdr:col>
          <xdr:colOff>352425</xdr:colOff>
          <xdr:row>49</xdr:row>
          <xdr:rowOff>476250</xdr:rowOff>
        </xdr:to>
        <xdr:sp macro="" textlink="">
          <xdr:nvSpPr>
            <xdr:cNvPr id="1286" name="Object 262" hidden="1">
              <a:extLst>
                <a:ext uri="{63B3BB69-23CF-44E3-9099-C40C66FF867C}">
                  <a14:compatExt spid="_x0000_s12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350</xdr:col>
          <xdr:colOff>9525</xdr:colOff>
          <xdr:row>48</xdr:row>
          <xdr:rowOff>438150</xdr:rowOff>
        </xdr:from>
        <xdr:to>
          <xdr:col>353</xdr:col>
          <xdr:colOff>485775</xdr:colOff>
          <xdr:row>50</xdr:row>
          <xdr:rowOff>238125</xdr:rowOff>
        </xdr:to>
        <xdr:sp macro="" textlink="">
          <xdr:nvSpPr>
            <xdr:cNvPr id="1287" name="Object 263" hidden="1">
              <a:extLst>
                <a:ext uri="{63B3BB69-23CF-44E3-9099-C40C66FF867C}">
                  <a14:compatExt spid="_x0000_s12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350</xdr:col>
          <xdr:colOff>28575</xdr:colOff>
          <xdr:row>50</xdr:row>
          <xdr:rowOff>438150</xdr:rowOff>
        </xdr:from>
        <xdr:to>
          <xdr:col>358</xdr:col>
          <xdr:colOff>9525</xdr:colOff>
          <xdr:row>52</xdr:row>
          <xdr:rowOff>504825</xdr:rowOff>
        </xdr:to>
        <xdr:sp macro="" textlink="">
          <xdr:nvSpPr>
            <xdr:cNvPr id="1288" name="Object 264" hidden="1">
              <a:extLst>
                <a:ext uri="{63B3BB69-23CF-44E3-9099-C40C66FF867C}">
                  <a14:compatExt spid="_x0000_s12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350</xdr:col>
          <xdr:colOff>47625</xdr:colOff>
          <xdr:row>51</xdr:row>
          <xdr:rowOff>438150</xdr:rowOff>
        </xdr:from>
        <xdr:to>
          <xdr:col>358</xdr:col>
          <xdr:colOff>38100</xdr:colOff>
          <xdr:row>53</xdr:row>
          <xdr:rowOff>428625</xdr:rowOff>
        </xdr:to>
        <xdr:sp macro="" textlink="">
          <xdr:nvSpPr>
            <xdr:cNvPr id="1289" name="Object 265" hidden="1">
              <a:extLst>
                <a:ext uri="{63B3BB69-23CF-44E3-9099-C40C66FF867C}">
                  <a14:compatExt spid="_x0000_s12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350</xdr:col>
          <xdr:colOff>76200</xdr:colOff>
          <xdr:row>53</xdr:row>
          <xdr:rowOff>419100</xdr:rowOff>
        </xdr:from>
        <xdr:to>
          <xdr:col>352</xdr:col>
          <xdr:colOff>95250</xdr:colOff>
          <xdr:row>55</xdr:row>
          <xdr:rowOff>142875</xdr:rowOff>
        </xdr:to>
        <xdr:sp macro="" textlink="">
          <xdr:nvSpPr>
            <xdr:cNvPr id="1303" name="Object 279" hidden="1">
              <a:extLst>
                <a:ext uri="{63B3BB69-23CF-44E3-9099-C40C66FF867C}">
                  <a14:compatExt spid="_x0000_s13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350</xdr:col>
          <xdr:colOff>133350</xdr:colOff>
          <xdr:row>55</xdr:row>
          <xdr:rowOff>457200</xdr:rowOff>
        </xdr:from>
        <xdr:to>
          <xdr:col>351</xdr:col>
          <xdr:colOff>180975</xdr:colOff>
          <xdr:row>56</xdr:row>
          <xdr:rowOff>523875</xdr:rowOff>
        </xdr:to>
        <xdr:sp macro="" textlink="">
          <xdr:nvSpPr>
            <xdr:cNvPr id="1308" name="Object 284" hidden="1">
              <a:extLst>
                <a:ext uri="{63B3BB69-23CF-44E3-9099-C40C66FF867C}">
                  <a14:compatExt spid="_x0000_s13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350</xdr:col>
          <xdr:colOff>76200</xdr:colOff>
          <xdr:row>54</xdr:row>
          <xdr:rowOff>523875</xdr:rowOff>
        </xdr:from>
        <xdr:to>
          <xdr:col>351</xdr:col>
          <xdr:colOff>133350</xdr:colOff>
          <xdr:row>56</xdr:row>
          <xdr:rowOff>28575</xdr:rowOff>
        </xdr:to>
        <xdr:sp macro="" textlink="">
          <xdr:nvSpPr>
            <xdr:cNvPr id="1309" name="Object 285" hidden="1">
              <a:extLst>
                <a:ext uri="{63B3BB69-23CF-44E3-9099-C40C66FF867C}">
                  <a14:compatExt spid="_x0000_s13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350</xdr:col>
          <xdr:colOff>142875</xdr:colOff>
          <xdr:row>46</xdr:row>
          <xdr:rowOff>428625</xdr:rowOff>
        </xdr:from>
        <xdr:to>
          <xdr:col>351</xdr:col>
          <xdr:colOff>133350</xdr:colOff>
          <xdr:row>47</xdr:row>
          <xdr:rowOff>476250</xdr:rowOff>
        </xdr:to>
        <xdr:sp macro="" textlink="">
          <xdr:nvSpPr>
            <xdr:cNvPr id="1310" name="Object 286" hidden="1">
              <a:extLst>
                <a:ext uri="{63B3BB69-23CF-44E3-9099-C40C66FF867C}">
                  <a14:compatExt spid="_x0000_s13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350</xdr:col>
          <xdr:colOff>161925</xdr:colOff>
          <xdr:row>45</xdr:row>
          <xdr:rowOff>409575</xdr:rowOff>
        </xdr:from>
        <xdr:to>
          <xdr:col>351</xdr:col>
          <xdr:colOff>133350</xdr:colOff>
          <xdr:row>46</xdr:row>
          <xdr:rowOff>504825</xdr:rowOff>
        </xdr:to>
        <xdr:sp macro="" textlink="">
          <xdr:nvSpPr>
            <xdr:cNvPr id="1311" name="Object 287" hidden="1">
              <a:extLst>
                <a:ext uri="{63B3BB69-23CF-44E3-9099-C40C66FF867C}">
                  <a14:compatExt spid="_x0000_s131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355</xdr:col>
          <xdr:colOff>47625</xdr:colOff>
          <xdr:row>55</xdr:row>
          <xdr:rowOff>419100</xdr:rowOff>
        </xdr:from>
        <xdr:to>
          <xdr:col>355</xdr:col>
          <xdr:colOff>381000</xdr:colOff>
          <xdr:row>57</xdr:row>
          <xdr:rowOff>95250</xdr:rowOff>
        </xdr:to>
        <xdr:sp macro="" textlink="">
          <xdr:nvSpPr>
            <xdr:cNvPr id="1312" name="Object 288" hidden="1">
              <a:extLst>
                <a:ext uri="{63B3BB69-23CF-44E3-9099-C40C66FF867C}">
                  <a14:compatExt spid="_x0000_s13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350</xdr:col>
          <xdr:colOff>95250</xdr:colOff>
          <xdr:row>49</xdr:row>
          <xdr:rowOff>457200</xdr:rowOff>
        </xdr:from>
        <xdr:to>
          <xdr:col>351</xdr:col>
          <xdr:colOff>542925</xdr:colOff>
          <xdr:row>51</xdr:row>
          <xdr:rowOff>171450</xdr:rowOff>
        </xdr:to>
        <xdr:sp macro="" textlink="">
          <xdr:nvSpPr>
            <xdr:cNvPr id="1313" name="Object 289" hidden="1">
              <a:extLst>
                <a:ext uri="{63B3BB69-23CF-44E3-9099-C40C66FF867C}">
                  <a14:compatExt spid="_x0000_s13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350</xdr:col>
          <xdr:colOff>76200</xdr:colOff>
          <xdr:row>61</xdr:row>
          <xdr:rowOff>438150</xdr:rowOff>
        </xdr:from>
        <xdr:to>
          <xdr:col>352</xdr:col>
          <xdr:colOff>285750</xdr:colOff>
          <xdr:row>63</xdr:row>
          <xdr:rowOff>76200</xdr:rowOff>
        </xdr:to>
        <xdr:sp macro="" textlink="">
          <xdr:nvSpPr>
            <xdr:cNvPr id="1314" name="Object 290" hidden="1">
              <a:extLst>
                <a:ext uri="{63B3BB69-23CF-44E3-9099-C40C66FF867C}">
                  <a14:compatExt spid="_x0000_s131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350</xdr:col>
          <xdr:colOff>57150</xdr:colOff>
          <xdr:row>62</xdr:row>
          <xdr:rowOff>428625</xdr:rowOff>
        </xdr:from>
        <xdr:to>
          <xdr:col>359</xdr:col>
          <xdr:colOff>171450</xdr:colOff>
          <xdr:row>63</xdr:row>
          <xdr:rowOff>476250</xdr:rowOff>
        </xdr:to>
        <xdr:sp macro="" textlink="">
          <xdr:nvSpPr>
            <xdr:cNvPr id="1315" name="Object 291" hidden="1">
              <a:extLst>
                <a:ext uri="{63B3BB69-23CF-44E3-9099-C40C66FF867C}">
                  <a14:compatExt spid="_x0000_s131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350</xdr:col>
          <xdr:colOff>95250</xdr:colOff>
          <xdr:row>63</xdr:row>
          <xdr:rowOff>438150</xdr:rowOff>
        </xdr:from>
        <xdr:to>
          <xdr:col>351</xdr:col>
          <xdr:colOff>304800</xdr:colOff>
          <xdr:row>64</xdr:row>
          <xdr:rowOff>523875</xdr:rowOff>
        </xdr:to>
        <xdr:sp macro="" textlink="">
          <xdr:nvSpPr>
            <xdr:cNvPr id="1316" name="Object 292" hidden="1">
              <a:extLst>
                <a:ext uri="{63B3BB69-23CF-44E3-9099-C40C66FF867C}">
                  <a14:compatExt spid="_x0000_s131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350</xdr:col>
          <xdr:colOff>95250</xdr:colOff>
          <xdr:row>64</xdr:row>
          <xdr:rowOff>457200</xdr:rowOff>
        </xdr:from>
        <xdr:to>
          <xdr:col>354</xdr:col>
          <xdr:colOff>152400</xdr:colOff>
          <xdr:row>66</xdr:row>
          <xdr:rowOff>333375</xdr:rowOff>
        </xdr:to>
        <xdr:sp macro="" textlink="">
          <xdr:nvSpPr>
            <xdr:cNvPr id="1317" name="Object 293" hidden="1">
              <a:extLst>
                <a:ext uri="{63B3BB69-23CF-44E3-9099-C40C66FF867C}">
                  <a14:compatExt spid="_x0000_s13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350</xdr:col>
          <xdr:colOff>133350</xdr:colOff>
          <xdr:row>65</xdr:row>
          <xdr:rowOff>504825</xdr:rowOff>
        </xdr:from>
        <xdr:to>
          <xdr:col>356</xdr:col>
          <xdr:colOff>542925</xdr:colOff>
          <xdr:row>67</xdr:row>
          <xdr:rowOff>381000</xdr:rowOff>
        </xdr:to>
        <xdr:sp macro="" textlink="">
          <xdr:nvSpPr>
            <xdr:cNvPr id="1320" name="Object 296" hidden="1">
              <a:extLst>
                <a:ext uri="{63B3BB69-23CF-44E3-9099-C40C66FF867C}">
                  <a14:compatExt spid="_x0000_s13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350</xdr:col>
          <xdr:colOff>95250</xdr:colOff>
          <xdr:row>66</xdr:row>
          <xdr:rowOff>485775</xdr:rowOff>
        </xdr:from>
        <xdr:to>
          <xdr:col>358</xdr:col>
          <xdr:colOff>38100</xdr:colOff>
          <xdr:row>68</xdr:row>
          <xdr:rowOff>552450</xdr:rowOff>
        </xdr:to>
        <xdr:sp macro="" textlink="">
          <xdr:nvSpPr>
            <xdr:cNvPr id="1321" name="Object 297" hidden="1">
              <a:extLst>
                <a:ext uri="{63B3BB69-23CF-44E3-9099-C40C66FF867C}">
                  <a14:compatExt spid="_x0000_s13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350</xdr:col>
          <xdr:colOff>133350</xdr:colOff>
          <xdr:row>67</xdr:row>
          <xdr:rowOff>457200</xdr:rowOff>
        </xdr:from>
        <xdr:to>
          <xdr:col>356</xdr:col>
          <xdr:colOff>85725</xdr:colOff>
          <xdr:row>69</xdr:row>
          <xdr:rowOff>381000</xdr:rowOff>
        </xdr:to>
        <xdr:sp macro="" textlink="">
          <xdr:nvSpPr>
            <xdr:cNvPr id="1323" name="Object 299" hidden="1">
              <a:extLst>
                <a:ext uri="{63B3BB69-23CF-44E3-9099-C40C66FF867C}">
                  <a14:compatExt spid="_x0000_s13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350</xdr:col>
          <xdr:colOff>161925</xdr:colOff>
          <xdr:row>68</xdr:row>
          <xdr:rowOff>457200</xdr:rowOff>
        </xdr:from>
        <xdr:to>
          <xdr:col>353</xdr:col>
          <xdr:colOff>19050</xdr:colOff>
          <xdr:row>70</xdr:row>
          <xdr:rowOff>190500</xdr:rowOff>
        </xdr:to>
        <xdr:sp macro="" textlink="">
          <xdr:nvSpPr>
            <xdr:cNvPr id="1324" name="Object 300" hidden="1">
              <a:extLst>
                <a:ext uri="{63B3BB69-23CF-44E3-9099-C40C66FF867C}">
                  <a14:compatExt spid="_x0000_s13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374</xdr:col>
          <xdr:colOff>0</xdr:colOff>
          <xdr:row>90</xdr:row>
          <xdr:rowOff>314325</xdr:rowOff>
        </xdr:from>
        <xdr:to>
          <xdr:col>386</xdr:col>
          <xdr:colOff>381000</xdr:colOff>
          <xdr:row>92</xdr:row>
          <xdr:rowOff>238125</xdr:rowOff>
        </xdr:to>
        <xdr:sp macro="" textlink="">
          <xdr:nvSpPr>
            <xdr:cNvPr id="2" name="Object 305" hidden="1">
              <a:extLst>
                <a:ext uri="{63B3BB69-23CF-44E3-9099-C40C66FF867C}">
                  <a14:compatExt spid="_x0000_s13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373</xdr:col>
          <xdr:colOff>314325</xdr:colOff>
          <xdr:row>88</xdr:row>
          <xdr:rowOff>200025</xdr:rowOff>
        </xdr:from>
        <xdr:to>
          <xdr:col>382</xdr:col>
          <xdr:colOff>304800</xdr:colOff>
          <xdr:row>89</xdr:row>
          <xdr:rowOff>171450</xdr:rowOff>
        </xdr:to>
        <xdr:sp macro="" textlink="">
          <xdr:nvSpPr>
            <xdr:cNvPr id="3" name="Object 307" hidden="1">
              <a:extLst>
                <a:ext uri="{63B3BB69-23CF-44E3-9099-C40C66FF867C}">
                  <a14:compatExt spid="_x0000_s13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374</xdr:col>
          <xdr:colOff>409575</xdr:colOff>
          <xdr:row>93</xdr:row>
          <xdr:rowOff>409575</xdr:rowOff>
        </xdr:from>
        <xdr:to>
          <xdr:col>383</xdr:col>
          <xdr:colOff>466725</xdr:colOff>
          <xdr:row>94</xdr:row>
          <xdr:rowOff>485775</xdr:rowOff>
        </xdr:to>
        <xdr:sp macro="" textlink="">
          <xdr:nvSpPr>
            <xdr:cNvPr id="4" name="Object 308" hidden="1">
              <a:extLst>
                <a:ext uri="{63B3BB69-23CF-44E3-9099-C40C66FF867C}">
                  <a14:compatExt spid="_x0000_s13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375</xdr:col>
          <xdr:colOff>409575</xdr:colOff>
          <xdr:row>96</xdr:row>
          <xdr:rowOff>161925</xdr:rowOff>
        </xdr:from>
        <xdr:to>
          <xdr:col>382</xdr:col>
          <xdr:colOff>19050</xdr:colOff>
          <xdr:row>98</xdr:row>
          <xdr:rowOff>152400</xdr:rowOff>
        </xdr:to>
        <xdr:sp macro="" textlink="">
          <xdr:nvSpPr>
            <xdr:cNvPr id="1333" name="Object 309" hidden="1">
              <a:extLst>
                <a:ext uri="{63B3BB69-23CF-44E3-9099-C40C66FF867C}">
                  <a14:compatExt spid="_x0000_s13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375</xdr:col>
          <xdr:colOff>161925</xdr:colOff>
          <xdr:row>99</xdr:row>
          <xdr:rowOff>504825</xdr:rowOff>
        </xdr:from>
        <xdr:to>
          <xdr:col>384</xdr:col>
          <xdr:colOff>19050</xdr:colOff>
          <xdr:row>100</xdr:row>
          <xdr:rowOff>561975</xdr:rowOff>
        </xdr:to>
        <xdr:sp macro="" textlink="">
          <xdr:nvSpPr>
            <xdr:cNvPr id="5" name="Object 311" hidden="1">
              <a:extLst>
                <a:ext uri="{63B3BB69-23CF-44E3-9099-C40C66FF867C}">
                  <a14:compatExt spid="_x0000_s13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376</xdr:col>
          <xdr:colOff>142875</xdr:colOff>
          <xdr:row>114</xdr:row>
          <xdr:rowOff>0</xdr:rowOff>
        </xdr:from>
        <xdr:to>
          <xdr:col>383</xdr:col>
          <xdr:colOff>238125</xdr:colOff>
          <xdr:row>115</xdr:row>
          <xdr:rowOff>57150</xdr:rowOff>
        </xdr:to>
        <xdr:sp macro="" textlink="">
          <xdr:nvSpPr>
            <xdr:cNvPr id="1340" name="Object 316" hidden="1">
              <a:extLst>
                <a:ext uri="{63B3BB69-23CF-44E3-9099-C40C66FF867C}">
                  <a14:compatExt spid="_x0000_s134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375</xdr:col>
          <xdr:colOff>485775</xdr:colOff>
          <xdr:row>118</xdr:row>
          <xdr:rowOff>409575</xdr:rowOff>
        </xdr:from>
        <xdr:to>
          <xdr:col>384</xdr:col>
          <xdr:colOff>19050</xdr:colOff>
          <xdr:row>121</xdr:row>
          <xdr:rowOff>9525</xdr:rowOff>
        </xdr:to>
        <xdr:sp macro="" textlink="">
          <xdr:nvSpPr>
            <xdr:cNvPr id="1341" name="Object 317" hidden="1">
              <a:extLst>
                <a:ext uri="{63B3BB69-23CF-44E3-9099-C40C66FF867C}">
                  <a14:compatExt spid="_x0000_s13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375</xdr:col>
          <xdr:colOff>504825</xdr:colOff>
          <xdr:row>116</xdr:row>
          <xdr:rowOff>152400</xdr:rowOff>
        </xdr:from>
        <xdr:to>
          <xdr:col>382</xdr:col>
          <xdr:colOff>476250</xdr:colOff>
          <xdr:row>117</xdr:row>
          <xdr:rowOff>295275</xdr:rowOff>
        </xdr:to>
        <xdr:sp macro="" textlink="">
          <xdr:nvSpPr>
            <xdr:cNvPr id="1342" name="Object 318" hidden="1">
              <a:extLst>
                <a:ext uri="{63B3BB69-23CF-44E3-9099-C40C66FF867C}">
                  <a14:compatExt spid="_x0000_s134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375</xdr:col>
          <xdr:colOff>28575</xdr:colOff>
          <xdr:row>101</xdr:row>
          <xdr:rowOff>381000</xdr:rowOff>
        </xdr:from>
        <xdr:to>
          <xdr:col>383</xdr:col>
          <xdr:colOff>438150</xdr:colOff>
          <xdr:row>103</xdr:row>
          <xdr:rowOff>485775</xdr:rowOff>
        </xdr:to>
        <xdr:sp macro="" textlink="">
          <xdr:nvSpPr>
            <xdr:cNvPr id="1343" name="Object 319" hidden="1">
              <a:extLst>
                <a:ext uri="{63B3BB69-23CF-44E3-9099-C40C66FF867C}">
                  <a14:compatExt spid="_x0000_s134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373</xdr:col>
          <xdr:colOff>304800</xdr:colOff>
          <xdr:row>125</xdr:row>
          <xdr:rowOff>457200</xdr:rowOff>
        </xdr:from>
        <xdr:to>
          <xdr:col>382</xdr:col>
          <xdr:colOff>114300</xdr:colOff>
          <xdr:row>127</xdr:row>
          <xdr:rowOff>428625</xdr:rowOff>
        </xdr:to>
        <xdr:sp macro="" textlink="">
          <xdr:nvSpPr>
            <xdr:cNvPr id="1344" name="Object 320" hidden="1">
              <a:extLst>
                <a:ext uri="{63B3BB69-23CF-44E3-9099-C40C66FF867C}">
                  <a14:compatExt spid="_x0000_s134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374</xdr:col>
          <xdr:colOff>47625</xdr:colOff>
          <xdr:row>128</xdr:row>
          <xdr:rowOff>142875</xdr:rowOff>
        </xdr:from>
        <xdr:to>
          <xdr:col>378</xdr:col>
          <xdr:colOff>466725</xdr:colOff>
          <xdr:row>129</xdr:row>
          <xdr:rowOff>419100</xdr:rowOff>
        </xdr:to>
        <xdr:sp macro="" textlink="">
          <xdr:nvSpPr>
            <xdr:cNvPr id="1345" name="Object 321" hidden="1">
              <a:extLst>
                <a:ext uri="{63B3BB69-23CF-44E3-9099-C40C66FF867C}">
                  <a14:compatExt spid="_x0000_s13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375</xdr:col>
          <xdr:colOff>0</xdr:colOff>
          <xdr:row>131</xdr:row>
          <xdr:rowOff>47625</xdr:rowOff>
        </xdr:from>
        <xdr:to>
          <xdr:col>381</xdr:col>
          <xdr:colOff>161925</xdr:colOff>
          <xdr:row>132</xdr:row>
          <xdr:rowOff>561975</xdr:rowOff>
        </xdr:to>
        <xdr:sp macro="" textlink="">
          <xdr:nvSpPr>
            <xdr:cNvPr id="1346" name="Object 322" hidden="1">
              <a:extLst>
                <a:ext uri="{63B3BB69-23CF-44E3-9099-C40C66FF867C}">
                  <a14:compatExt spid="_x0000_s134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373</xdr:col>
          <xdr:colOff>523875</xdr:colOff>
          <xdr:row>133</xdr:row>
          <xdr:rowOff>19050</xdr:rowOff>
        </xdr:from>
        <xdr:to>
          <xdr:col>378</xdr:col>
          <xdr:colOff>400050</xdr:colOff>
          <xdr:row>134</xdr:row>
          <xdr:rowOff>114300</xdr:rowOff>
        </xdr:to>
        <xdr:sp macro="" textlink="">
          <xdr:nvSpPr>
            <xdr:cNvPr id="1347" name="Object 323" hidden="1">
              <a:extLst>
                <a:ext uri="{63B3BB69-23CF-44E3-9099-C40C66FF867C}">
                  <a14:compatExt spid="_x0000_s134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374</xdr:col>
          <xdr:colOff>47625</xdr:colOff>
          <xdr:row>135</xdr:row>
          <xdr:rowOff>476250</xdr:rowOff>
        </xdr:from>
        <xdr:to>
          <xdr:col>378</xdr:col>
          <xdr:colOff>0</xdr:colOff>
          <xdr:row>137</xdr:row>
          <xdr:rowOff>419100</xdr:rowOff>
        </xdr:to>
        <xdr:sp macro="" textlink="">
          <xdr:nvSpPr>
            <xdr:cNvPr id="1348" name="Object 324" hidden="1">
              <a:extLst>
                <a:ext uri="{63B3BB69-23CF-44E3-9099-C40C66FF867C}">
                  <a14:compatExt spid="_x0000_s13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471</xdr:col>
          <xdr:colOff>285750</xdr:colOff>
          <xdr:row>72</xdr:row>
          <xdr:rowOff>142875</xdr:rowOff>
        </xdr:from>
        <xdr:to>
          <xdr:col>474</xdr:col>
          <xdr:colOff>57150</xdr:colOff>
          <xdr:row>74</xdr:row>
          <xdr:rowOff>19050</xdr:rowOff>
        </xdr:to>
        <xdr:sp macro="" textlink="">
          <xdr:nvSpPr>
            <xdr:cNvPr id="1349" name="Object 325" hidden="1">
              <a:extLst>
                <a:ext uri="{63B3BB69-23CF-44E3-9099-C40C66FF867C}">
                  <a14:compatExt spid="_x0000_s13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471</xdr:col>
          <xdr:colOff>285750</xdr:colOff>
          <xdr:row>73</xdr:row>
          <xdr:rowOff>171450</xdr:rowOff>
        </xdr:from>
        <xdr:to>
          <xdr:col>473</xdr:col>
          <xdr:colOff>361950</xdr:colOff>
          <xdr:row>74</xdr:row>
          <xdr:rowOff>523875</xdr:rowOff>
        </xdr:to>
        <xdr:sp macro="" textlink="">
          <xdr:nvSpPr>
            <xdr:cNvPr id="1350" name="Object 326" hidden="1">
              <a:extLst>
                <a:ext uri="{63B3BB69-23CF-44E3-9099-C40C66FF867C}">
                  <a14:compatExt spid="_x0000_s13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471</xdr:col>
          <xdr:colOff>219075</xdr:colOff>
          <xdr:row>74</xdr:row>
          <xdr:rowOff>95250</xdr:rowOff>
        </xdr:from>
        <xdr:to>
          <xdr:col>474</xdr:col>
          <xdr:colOff>400050</xdr:colOff>
          <xdr:row>76</xdr:row>
          <xdr:rowOff>171450</xdr:rowOff>
        </xdr:to>
        <xdr:sp macro="" textlink="">
          <xdr:nvSpPr>
            <xdr:cNvPr id="1351" name="Object 327" hidden="1">
              <a:extLst>
                <a:ext uri="{63B3BB69-23CF-44E3-9099-C40C66FF867C}">
                  <a14:compatExt spid="_x0000_s13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471</xdr:col>
          <xdr:colOff>171450</xdr:colOff>
          <xdr:row>75</xdr:row>
          <xdr:rowOff>95250</xdr:rowOff>
        </xdr:from>
        <xdr:to>
          <xdr:col>475</xdr:col>
          <xdr:colOff>561975</xdr:colOff>
          <xdr:row>76</xdr:row>
          <xdr:rowOff>561975</xdr:rowOff>
        </xdr:to>
        <xdr:sp macro="" textlink="">
          <xdr:nvSpPr>
            <xdr:cNvPr id="1352" name="Object 328" hidden="1">
              <a:extLst>
                <a:ext uri="{63B3BB69-23CF-44E3-9099-C40C66FF867C}">
                  <a14:compatExt spid="_x0000_s13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543</xdr:col>
          <xdr:colOff>123825</xdr:colOff>
          <xdr:row>98</xdr:row>
          <xdr:rowOff>123825</xdr:rowOff>
        </xdr:from>
        <xdr:to>
          <xdr:col>547</xdr:col>
          <xdr:colOff>352425</xdr:colOff>
          <xdr:row>99</xdr:row>
          <xdr:rowOff>552450</xdr:rowOff>
        </xdr:to>
        <xdr:sp macro="" textlink="">
          <xdr:nvSpPr>
            <xdr:cNvPr id="1353" name="Object 329" hidden="1">
              <a:extLst>
                <a:ext uri="{63B3BB69-23CF-44E3-9099-C40C66FF867C}">
                  <a14:compatExt spid="_x0000_s13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543</xdr:col>
          <xdr:colOff>123825</xdr:colOff>
          <xdr:row>101</xdr:row>
          <xdr:rowOff>123825</xdr:rowOff>
        </xdr:from>
        <xdr:to>
          <xdr:col>548</xdr:col>
          <xdr:colOff>361950</xdr:colOff>
          <xdr:row>102</xdr:row>
          <xdr:rowOff>114300</xdr:rowOff>
        </xdr:to>
        <xdr:sp macro="" textlink="">
          <xdr:nvSpPr>
            <xdr:cNvPr id="1354" name="Object 330" hidden="1">
              <a:extLst>
                <a:ext uri="{63B3BB69-23CF-44E3-9099-C40C66FF867C}">
                  <a14:compatExt spid="_x0000_s13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543</xdr:col>
          <xdr:colOff>123825</xdr:colOff>
          <xdr:row>102</xdr:row>
          <xdr:rowOff>95250</xdr:rowOff>
        </xdr:from>
        <xdr:to>
          <xdr:col>544</xdr:col>
          <xdr:colOff>28575</xdr:colOff>
          <xdr:row>103</xdr:row>
          <xdr:rowOff>76200</xdr:rowOff>
        </xdr:to>
        <xdr:sp macro="" textlink="">
          <xdr:nvSpPr>
            <xdr:cNvPr id="1355" name="Object 331" hidden="1">
              <a:extLst>
                <a:ext uri="{63B3BB69-23CF-44E3-9099-C40C66FF867C}">
                  <a14:compatExt spid="_x0000_s13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367</xdr:col>
          <xdr:colOff>438150</xdr:colOff>
          <xdr:row>83</xdr:row>
          <xdr:rowOff>428625</xdr:rowOff>
        </xdr:from>
        <xdr:to>
          <xdr:col>376</xdr:col>
          <xdr:colOff>180975</xdr:colOff>
          <xdr:row>84</xdr:row>
          <xdr:rowOff>466725</xdr:rowOff>
        </xdr:to>
        <xdr:sp macro="" textlink="">
          <xdr:nvSpPr>
            <xdr:cNvPr id="1356" name="Object 332" hidden="1">
              <a:extLst>
                <a:ext uri="{63B3BB69-23CF-44E3-9099-C40C66FF867C}">
                  <a14:compatExt spid="_x0000_s13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467</xdr:col>
          <xdr:colOff>333375</xdr:colOff>
          <xdr:row>68</xdr:row>
          <xdr:rowOff>171450</xdr:rowOff>
        </xdr:from>
        <xdr:to>
          <xdr:col>482</xdr:col>
          <xdr:colOff>257175</xdr:colOff>
          <xdr:row>70</xdr:row>
          <xdr:rowOff>409575</xdr:rowOff>
        </xdr:to>
        <xdr:sp macro="" textlink="">
          <xdr:nvSpPr>
            <xdr:cNvPr id="1357" name="Object 333" hidden="1">
              <a:extLst>
                <a:ext uri="{63B3BB69-23CF-44E3-9099-C40C66FF867C}">
                  <a14:compatExt spid="_x0000_s13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467</xdr:col>
          <xdr:colOff>209550</xdr:colOff>
          <xdr:row>85</xdr:row>
          <xdr:rowOff>123825</xdr:rowOff>
        </xdr:from>
        <xdr:to>
          <xdr:col>483</xdr:col>
          <xdr:colOff>561975</xdr:colOff>
          <xdr:row>86</xdr:row>
          <xdr:rowOff>171450</xdr:rowOff>
        </xdr:to>
        <xdr:sp macro="" textlink="">
          <xdr:nvSpPr>
            <xdr:cNvPr id="1358" name="Object 334" hidden="1">
              <a:extLst>
                <a:ext uri="{63B3BB69-23CF-44E3-9099-C40C66FF867C}">
                  <a14:compatExt spid="_x0000_s13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620</xdr:col>
          <xdr:colOff>133350</xdr:colOff>
          <xdr:row>120</xdr:row>
          <xdr:rowOff>142875</xdr:rowOff>
        </xdr:from>
        <xdr:to>
          <xdr:col>629</xdr:col>
          <xdr:colOff>247650</xdr:colOff>
          <xdr:row>121</xdr:row>
          <xdr:rowOff>104775</xdr:rowOff>
        </xdr:to>
        <xdr:sp macro="" textlink="">
          <xdr:nvSpPr>
            <xdr:cNvPr id="1359" name="Object 335" hidden="1">
              <a:extLst>
                <a:ext uri="{63B3BB69-23CF-44E3-9099-C40C66FF867C}">
                  <a14:compatExt spid="_x0000_s13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543</xdr:col>
          <xdr:colOff>171450</xdr:colOff>
          <xdr:row>110</xdr:row>
          <xdr:rowOff>142875</xdr:rowOff>
        </xdr:from>
        <xdr:to>
          <xdr:col>545</xdr:col>
          <xdr:colOff>219075</xdr:colOff>
          <xdr:row>111</xdr:row>
          <xdr:rowOff>342900</xdr:rowOff>
        </xdr:to>
        <xdr:sp macro="" textlink="">
          <xdr:nvSpPr>
            <xdr:cNvPr id="1360" name="Object 336" hidden="1">
              <a:extLst>
                <a:ext uri="{63B3BB69-23CF-44E3-9099-C40C66FF867C}">
                  <a14:compatExt spid="_x0000_s13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540</xdr:col>
          <xdr:colOff>171450</xdr:colOff>
          <xdr:row>112</xdr:row>
          <xdr:rowOff>142875</xdr:rowOff>
        </xdr:from>
        <xdr:to>
          <xdr:col>551</xdr:col>
          <xdr:colOff>266700</xdr:colOff>
          <xdr:row>121</xdr:row>
          <xdr:rowOff>38100</xdr:rowOff>
        </xdr:to>
        <xdr:sp macro="" textlink="">
          <xdr:nvSpPr>
            <xdr:cNvPr id="1362" name="Object 338" hidden="1">
              <a:extLst>
                <a:ext uri="{63B3BB69-23CF-44E3-9099-C40C66FF867C}">
                  <a14:compatExt spid="_x0000_s136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543</xdr:col>
          <xdr:colOff>142875</xdr:colOff>
          <xdr:row>118</xdr:row>
          <xdr:rowOff>123825</xdr:rowOff>
        </xdr:from>
        <xdr:to>
          <xdr:col>545</xdr:col>
          <xdr:colOff>285750</xdr:colOff>
          <xdr:row>119</xdr:row>
          <xdr:rowOff>561975</xdr:rowOff>
        </xdr:to>
        <xdr:sp macro="" textlink="">
          <xdr:nvSpPr>
            <xdr:cNvPr id="1364" name="Object 340" hidden="1">
              <a:extLst>
                <a:ext uri="{63B3BB69-23CF-44E3-9099-C40C66FF867C}">
                  <a14:compatExt spid="_x0000_s13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543</xdr:col>
          <xdr:colOff>171450</xdr:colOff>
          <xdr:row>119</xdr:row>
          <xdr:rowOff>190500</xdr:rowOff>
        </xdr:from>
        <xdr:to>
          <xdr:col>548</xdr:col>
          <xdr:colOff>561975</xdr:colOff>
          <xdr:row>121</xdr:row>
          <xdr:rowOff>0</xdr:rowOff>
        </xdr:to>
        <xdr:sp macro="" textlink="">
          <xdr:nvSpPr>
            <xdr:cNvPr id="1365" name="Object 341" hidden="1">
              <a:extLst>
                <a:ext uri="{63B3BB69-23CF-44E3-9099-C40C66FF867C}">
                  <a14:compatExt spid="_x0000_s13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543</xdr:col>
          <xdr:colOff>123825</xdr:colOff>
          <xdr:row>120</xdr:row>
          <xdr:rowOff>123825</xdr:rowOff>
        </xdr:from>
        <xdr:to>
          <xdr:col>546</xdr:col>
          <xdr:colOff>238125</xdr:colOff>
          <xdr:row>121</xdr:row>
          <xdr:rowOff>161925</xdr:rowOff>
        </xdr:to>
        <xdr:sp macro="" textlink="">
          <xdr:nvSpPr>
            <xdr:cNvPr id="1366" name="Object 342" hidden="1">
              <a:extLst>
                <a:ext uri="{63B3BB69-23CF-44E3-9099-C40C66FF867C}">
                  <a14:compatExt spid="_x0000_s136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543</xdr:col>
          <xdr:colOff>142875</xdr:colOff>
          <xdr:row>124</xdr:row>
          <xdr:rowOff>142875</xdr:rowOff>
        </xdr:from>
        <xdr:to>
          <xdr:col>555</xdr:col>
          <xdr:colOff>457200</xdr:colOff>
          <xdr:row>126</xdr:row>
          <xdr:rowOff>133350</xdr:rowOff>
        </xdr:to>
        <xdr:sp macro="" textlink="">
          <xdr:nvSpPr>
            <xdr:cNvPr id="1368" name="Object 344" hidden="1">
              <a:extLst>
                <a:ext uri="{63B3BB69-23CF-44E3-9099-C40C66FF867C}">
                  <a14:compatExt spid="_x0000_s13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543</xdr:col>
          <xdr:colOff>142875</xdr:colOff>
          <xdr:row>125</xdr:row>
          <xdr:rowOff>123825</xdr:rowOff>
        </xdr:from>
        <xdr:to>
          <xdr:col>547</xdr:col>
          <xdr:colOff>47625</xdr:colOff>
          <xdr:row>126</xdr:row>
          <xdr:rowOff>247650</xdr:rowOff>
        </xdr:to>
        <xdr:sp macro="" textlink="">
          <xdr:nvSpPr>
            <xdr:cNvPr id="1369" name="Object 345" hidden="1">
              <a:extLst>
                <a:ext uri="{63B3BB69-23CF-44E3-9099-C40C66FF867C}">
                  <a14:compatExt spid="_x0000_s136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543</xdr:col>
          <xdr:colOff>142875</xdr:colOff>
          <xdr:row>126</xdr:row>
          <xdr:rowOff>123825</xdr:rowOff>
        </xdr:from>
        <xdr:to>
          <xdr:col>552</xdr:col>
          <xdr:colOff>409575</xdr:colOff>
          <xdr:row>128</xdr:row>
          <xdr:rowOff>428625</xdr:rowOff>
        </xdr:to>
        <xdr:sp macro="" textlink="">
          <xdr:nvSpPr>
            <xdr:cNvPr id="1370" name="Object 346" hidden="1">
              <a:extLst>
                <a:ext uri="{63B3BB69-23CF-44E3-9099-C40C66FF867C}">
                  <a14:compatExt spid="_x0000_s13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543</xdr:col>
          <xdr:colOff>171450</xdr:colOff>
          <xdr:row>127</xdr:row>
          <xdr:rowOff>171450</xdr:rowOff>
        </xdr:from>
        <xdr:to>
          <xdr:col>555</xdr:col>
          <xdr:colOff>476250</xdr:colOff>
          <xdr:row>129</xdr:row>
          <xdr:rowOff>171450</xdr:rowOff>
        </xdr:to>
        <xdr:sp macro="" textlink="">
          <xdr:nvSpPr>
            <xdr:cNvPr id="1371" name="Object 347" hidden="1">
              <a:extLst>
                <a:ext uri="{63B3BB69-23CF-44E3-9099-C40C66FF867C}">
                  <a14:compatExt spid="_x0000_s13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543</xdr:col>
          <xdr:colOff>142875</xdr:colOff>
          <xdr:row>131</xdr:row>
          <xdr:rowOff>142875</xdr:rowOff>
        </xdr:from>
        <xdr:to>
          <xdr:col>548</xdr:col>
          <xdr:colOff>552450</xdr:colOff>
          <xdr:row>133</xdr:row>
          <xdr:rowOff>76200</xdr:rowOff>
        </xdr:to>
        <xdr:sp macro="" textlink="">
          <xdr:nvSpPr>
            <xdr:cNvPr id="1373" name="Object 349" hidden="1">
              <a:extLst>
                <a:ext uri="{63B3BB69-23CF-44E3-9099-C40C66FF867C}">
                  <a14:compatExt spid="_x0000_s13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543</xdr:col>
          <xdr:colOff>123825</xdr:colOff>
          <xdr:row>132</xdr:row>
          <xdr:rowOff>142875</xdr:rowOff>
        </xdr:from>
        <xdr:to>
          <xdr:col>548</xdr:col>
          <xdr:colOff>438150</xdr:colOff>
          <xdr:row>134</xdr:row>
          <xdr:rowOff>9525</xdr:rowOff>
        </xdr:to>
        <xdr:sp macro="" textlink="">
          <xdr:nvSpPr>
            <xdr:cNvPr id="1374" name="Object 350" hidden="1">
              <a:extLst>
                <a:ext uri="{63B3BB69-23CF-44E3-9099-C40C66FF867C}">
                  <a14:compatExt spid="_x0000_s13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543</xdr:col>
          <xdr:colOff>142875</xdr:colOff>
          <xdr:row>135</xdr:row>
          <xdr:rowOff>142875</xdr:rowOff>
        </xdr:from>
        <xdr:to>
          <xdr:col>549</xdr:col>
          <xdr:colOff>142875</xdr:colOff>
          <xdr:row>136</xdr:row>
          <xdr:rowOff>66675</xdr:rowOff>
        </xdr:to>
        <xdr:sp macro="" textlink="">
          <xdr:nvSpPr>
            <xdr:cNvPr id="1375" name="Object 351" hidden="1">
              <a:extLst>
                <a:ext uri="{63B3BB69-23CF-44E3-9099-C40C66FF867C}">
                  <a14:compatExt spid="_x0000_s13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543</xdr:col>
          <xdr:colOff>123825</xdr:colOff>
          <xdr:row>136</xdr:row>
          <xdr:rowOff>190500</xdr:rowOff>
        </xdr:from>
        <xdr:to>
          <xdr:col>551</xdr:col>
          <xdr:colOff>409575</xdr:colOff>
          <xdr:row>137</xdr:row>
          <xdr:rowOff>561975</xdr:rowOff>
        </xdr:to>
        <xdr:sp macro="" textlink="">
          <xdr:nvSpPr>
            <xdr:cNvPr id="1376" name="Object 352" hidden="1">
              <a:extLst>
                <a:ext uri="{63B3BB69-23CF-44E3-9099-C40C66FF867C}">
                  <a14:compatExt spid="_x0000_s137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543</xdr:col>
          <xdr:colOff>123825</xdr:colOff>
          <xdr:row>139</xdr:row>
          <xdr:rowOff>123825</xdr:rowOff>
        </xdr:from>
        <xdr:to>
          <xdr:col>553</xdr:col>
          <xdr:colOff>161925</xdr:colOff>
          <xdr:row>141</xdr:row>
          <xdr:rowOff>0</xdr:rowOff>
        </xdr:to>
        <xdr:sp macro="" textlink="">
          <xdr:nvSpPr>
            <xdr:cNvPr id="1377" name="Object 353" hidden="1">
              <a:extLst>
                <a:ext uri="{63B3BB69-23CF-44E3-9099-C40C66FF867C}">
                  <a14:compatExt spid="_x0000_s13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543</xdr:col>
          <xdr:colOff>228600</xdr:colOff>
          <xdr:row>140</xdr:row>
          <xdr:rowOff>123825</xdr:rowOff>
        </xdr:from>
        <xdr:to>
          <xdr:col>551</xdr:col>
          <xdr:colOff>76200</xdr:colOff>
          <xdr:row>141</xdr:row>
          <xdr:rowOff>200025</xdr:rowOff>
        </xdr:to>
        <xdr:sp macro="" textlink="">
          <xdr:nvSpPr>
            <xdr:cNvPr id="1379" name="Object 355" hidden="1">
              <a:extLst>
                <a:ext uri="{63B3BB69-23CF-44E3-9099-C40C66FF867C}">
                  <a14:compatExt spid="_x0000_s13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543</xdr:col>
          <xdr:colOff>104775</xdr:colOff>
          <xdr:row>141</xdr:row>
          <xdr:rowOff>85725</xdr:rowOff>
        </xdr:from>
        <xdr:to>
          <xdr:col>548</xdr:col>
          <xdr:colOff>314325</xdr:colOff>
          <xdr:row>142</xdr:row>
          <xdr:rowOff>381000</xdr:rowOff>
        </xdr:to>
        <xdr:sp macro="" textlink="">
          <xdr:nvSpPr>
            <xdr:cNvPr id="1381" name="Object 357" hidden="1">
              <a:extLst>
                <a:ext uri="{63B3BB69-23CF-44E3-9099-C40C66FF867C}">
                  <a14:compatExt spid="_x0000_s13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543</xdr:col>
          <xdr:colOff>152400</xdr:colOff>
          <xdr:row>142</xdr:row>
          <xdr:rowOff>104775</xdr:rowOff>
        </xdr:from>
        <xdr:to>
          <xdr:col>549</xdr:col>
          <xdr:colOff>495300</xdr:colOff>
          <xdr:row>143</xdr:row>
          <xdr:rowOff>104775</xdr:rowOff>
        </xdr:to>
        <xdr:sp macro="" textlink="">
          <xdr:nvSpPr>
            <xdr:cNvPr id="1382" name="Object 358" hidden="1">
              <a:extLst>
                <a:ext uri="{63B3BB69-23CF-44E3-9099-C40C66FF867C}">
                  <a14:compatExt spid="_x0000_s13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543</xdr:col>
          <xdr:colOff>104775</xdr:colOff>
          <xdr:row>143</xdr:row>
          <xdr:rowOff>142875</xdr:rowOff>
        </xdr:from>
        <xdr:to>
          <xdr:col>546</xdr:col>
          <xdr:colOff>400050</xdr:colOff>
          <xdr:row>144</xdr:row>
          <xdr:rowOff>28575</xdr:rowOff>
        </xdr:to>
        <xdr:sp macro="" textlink="">
          <xdr:nvSpPr>
            <xdr:cNvPr id="1383" name="Object 359" hidden="1">
              <a:extLst>
                <a:ext uri="{63B3BB69-23CF-44E3-9099-C40C66FF867C}">
                  <a14:compatExt spid="_x0000_s13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543</xdr:col>
          <xdr:colOff>142875</xdr:colOff>
          <xdr:row>144</xdr:row>
          <xdr:rowOff>85725</xdr:rowOff>
        </xdr:from>
        <xdr:to>
          <xdr:col>553</xdr:col>
          <xdr:colOff>257175</xdr:colOff>
          <xdr:row>145</xdr:row>
          <xdr:rowOff>447675</xdr:rowOff>
        </xdr:to>
        <xdr:sp macro="" textlink="">
          <xdr:nvSpPr>
            <xdr:cNvPr id="1384" name="Object 360" hidden="1">
              <a:extLst>
                <a:ext uri="{63B3BB69-23CF-44E3-9099-C40C66FF867C}">
                  <a14:compatExt spid="_x0000_s13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543</xdr:col>
          <xdr:colOff>123825</xdr:colOff>
          <xdr:row>145</xdr:row>
          <xdr:rowOff>104775</xdr:rowOff>
        </xdr:from>
        <xdr:to>
          <xdr:col>547</xdr:col>
          <xdr:colOff>314325</xdr:colOff>
          <xdr:row>146</xdr:row>
          <xdr:rowOff>495300</xdr:rowOff>
        </xdr:to>
        <xdr:sp macro="" textlink="">
          <xdr:nvSpPr>
            <xdr:cNvPr id="1385" name="Object 361" hidden="1">
              <a:extLst>
                <a:ext uri="{63B3BB69-23CF-44E3-9099-C40C66FF867C}">
                  <a14:compatExt spid="_x0000_s13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543</xdr:col>
          <xdr:colOff>123825</xdr:colOff>
          <xdr:row>146</xdr:row>
          <xdr:rowOff>104775</xdr:rowOff>
        </xdr:from>
        <xdr:to>
          <xdr:col>546</xdr:col>
          <xdr:colOff>381000</xdr:colOff>
          <xdr:row>148</xdr:row>
          <xdr:rowOff>9525</xdr:rowOff>
        </xdr:to>
        <xdr:sp macro="" textlink="">
          <xdr:nvSpPr>
            <xdr:cNvPr id="1386" name="Object 362" hidden="1">
              <a:extLst>
                <a:ext uri="{63B3BB69-23CF-44E3-9099-C40C66FF867C}">
                  <a14:compatExt spid="_x0000_s13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543</xdr:col>
          <xdr:colOff>104775</xdr:colOff>
          <xdr:row>147</xdr:row>
          <xdr:rowOff>85725</xdr:rowOff>
        </xdr:from>
        <xdr:to>
          <xdr:col>549</xdr:col>
          <xdr:colOff>381000</xdr:colOff>
          <xdr:row>149</xdr:row>
          <xdr:rowOff>38100</xdr:rowOff>
        </xdr:to>
        <xdr:sp macro="" textlink="">
          <xdr:nvSpPr>
            <xdr:cNvPr id="1387" name="Object 363" hidden="1">
              <a:extLst>
                <a:ext uri="{63B3BB69-23CF-44E3-9099-C40C66FF867C}">
                  <a14:compatExt spid="_x0000_s13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543</xdr:col>
          <xdr:colOff>123825</xdr:colOff>
          <xdr:row>148</xdr:row>
          <xdr:rowOff>190500</xdr:rowOff>
        </xdr:from>
        <xdr:to>
          <xdr:col>548</xdr:col>
          <xdr:colOff>85725</xdr:colOff>
          <xdr:row>150</xdr:row>
          <xdr:rowOff>0</xdr:rowOff>
        </xdr:to>
        <xdr:sp macro="" textlink="">
          <xdr:nvSpPr>
            <xdr:cNvPr id="1388" name="Object 364" hidden="1">
              <a:extLst>
                <a:ext uri="{63B3BB69-23CF-44E3-9099-C40C66FF867C}">
                  <a14:compatExt spid="_x0000_s13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543</xdr:col>
          <xdr:colOff>104775</xdr:colOff>
          <xdr:row>149</xdr:row>
          <xdr:rowOff>104775</xdr:rowOff>
        </xdr:from>
        <xdr:to>
          <xdr:col>546</xdr:col>
          <xdr:colOff>352425</xdr:colOff>
          <xdr:row>150</xdr:row>
          <xdr:rowOff>238125</xdr:rowOff>
        </xdr:to>
        <xdr:sp macro="" textlink="">
          <xdr:nvSpPr>
            <xdr:cNvPr id="1389" name="Object 365" hidden="1">
              <a:extLst>
                <a:ext uri="{63B3BB69-23CF-44E3-9099-C40C66FF867C}">
                  <a14:compatExt spid="_x0000_s13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543</xdr:col>
          <xdr:colOff>104775</xdr:colOff>
          <xdr:row>150</xdr:row>
          <xdr:rowOff>104775</xdr:rowOff>
        </xdr:from>
        <xdr:to>
          <xdr:col>548</xdr:col>
          <xdr:colOff>19050</xdr:colOff>
          <xdr:row>151</xdr:row>
          <xdr:rowOff>0</xdr:rowOff>
        </xdr:to>
        <xdr:sp macro="" textlink="">
          <xdr:nvSpPr>
            <xdr:cNvPr id="1390" name="Object 366" hidden="1">
              <a:extLst>
                <a:ext uri="{63B3BB69-23CF-44E3-9099-C40C66FF867C}">
                  <a14:compatExt spid="_x0000_s139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543</xdr:col>
          <xdr:colOff>104775</xdr:colOff>
          <xdr:row>152</xdr:row>
          <xdr:rowOff>66675</xdr:rowOff>
        </xdr:from>
        <xdr:to>
          <xdr:col>549</xdr:col>
          <xdr:colOff>114300</xdr:colOff>
          <xdr:row>153</xdr:row>
          <xdr:rowOff>476250</xdr:rowOff>
        </xdr:to>
        <xdr:sp macro="" textlink="">
          <xdr:nvSpPr>
            <xdr:cNvPr id="1391" name="Object 367" hidden="1">
              <a:extLst>
                <a:ext uri="{63B3BB69-23CF-44E3-9099-C40C66FF867C}">
                  <a14:compatExt spid="_x0000_s13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543</xdr:col>
          <xdr:colOff>104775</xdr:colOff>
          <xdr:row>153</xdr:row>
          <xdr:rowOff>85725</xdr:rowOff>
        </xdr:from>
        <xdr:to>
          <xdr:col>549</xdr:col>
          <xdr:colOff>104775</xdr:colOff>
          <xdr:row>154</xdr:row>
          <xdr:rowOff>533400</xdr:rowOff>
        </xdr:to>
        <xdr:sp macro="" textlink="">
          <xdr:nvSpPr>
            <xdr:cNvPr id="1392" name="Object 368" hidden="1">
              <a:extLst>
                <a:ext uri="{63B3BB69-23CF-44E3-9099-C40C66FF867C}">
                  <a14:compatExt spid="_x0000_s13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543</xdr:col>
          <xdr:colOff>95250</xdr:colOff>
          <xdr:row>154</xdr:row>
          <xdr:rowOff>104775</xdr:rowOff>
        </xdr:from>
        <xdr:to>
          <xdr:col>547</xdr:col>
          <xdr:colOff>180975</xdr:colOff>
          <xdr:row>155</xdr:row>
          <xdr:rowOff>9525</xdr:rowOff>
        </xdr:to>
        <xdr:sp macro="" textlink="">
          <xdr:nvSpPr>
            <xdr:cNvPr id="1393" name="Object 369" hidden="1">
              <a:extLst>
                <a:ext uri="{63B3BB69-23CF-44E3-9099-C40C66FF867C}">
                  <a14:compatExt spid="_x0000_s13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543</xdr:col>
          <xdr:colOff>95250</xdr:colOff>
          <xdr:row>155</xdr:row>
          <xdr:rowOff>104775</xdr:rowOff>
        </xdr:from>
        <xdr:to>
          <xdr:col>547</xdr:col>
          <xdr:colOff>447675</xdr:colOff>
          <xdr:row>156</xdr:row>
          <xdr:rowOff>19050</xdr:rowOff>
        </xdr:to>
        <xdr:sp macro="" textlink="">
          <xdr:nvSpPr>
            <xdr:cNvPr id="1394" name="Object 370" hidden="1">
              <a:extLst>
                <a:ext uri="{63B3BB69-23CF-44E3-9099-C40C66FF867C}">
                  <a14:compatExt spid="_x0000_s13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543</xdr:col>
          <xdr:colOff>95250</xdr:colOff>
          <xdr:row>156</xdr:row>
          <xdr:rowOff>85725</xdr:rowOff>
        </xdr:from>
        <xdr:to>
          <xdr:col>548</xdr:col>
          <xdr:colOff>76200</xdr:colOff>
          <xdr:row>157</xdr:row>
          <xdr:rowOff>276225</xdr:rowOff>
        </xdr:to>
        <xdr:sp macro="" textlink="">
          <xdr:nvSpPr>
            <xdr:cNvPr id="1395" name="Object 371" hidden="1">
              <a:extLst>
                <a:ext uri="{63B3BB69-23CF-44E3-9099-C40C66FF867C}">
                  <a14:compatExt spid="_x0000_s13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624</xdr:col>
          <xdr:colOff>104775</xdr:colOff>
          <xdr:row>121</xdr:row>
          <xdr:rowOff>104775</xdr:rowOff>
        </xdr:from>
        <xdr:to>
          <xdr:col>629</xdr:col>
          <xdr:colOff>76200</xdr:colOff>
          <xdr:row>122</xdr:row>
          <xdr:rowOff>304800</xdr:rowOff>
        </xdr:to>
        <xdr:sp macro="" textlink="">
          <xdr:nvSpPr>
            <xdr:cNvPr id="1398" name="Object 374" hidden="1">
              <a:extLst>
                <a:ext uri="{63B3BB69-23CF-44E3-9099-C40C66FF867C}">
                  <a14:compatExt spid="_x0000_s13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624</xdr:col>
          <xdr:colOff>104775</xdr:colOff>
          <xdr:row>128</xdr:row>
          <xdr:rowOff>85725</xdr:rowOff>
        </xdr:from>
        <xdr:to>
          <xdr:col>628</xdr:col>
          <xdr:colOff>19050</xdr:colOff>
          <xdr:row>129</xdr:row>
          <xdr:rowOff>190500</xdr:rowOff>
        </xdr:to>
        <xdr:sp macro="" textlink="">
          <xdr:nvSpPr>
            <xdr:cNvPr id="1399" name="Object 375" hidden="1">
              <a:extLst>
                <a:ext uri="{63B3BB69-23CF-44E3-9099-C40C66FF867C}">
                  <a14:compatExt spid="_x0000_s13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624</xdr:col>
          <xdr:colOff>123825</xdr:colOff>
          <xdr:row>129</xdr:row>
          <xdr:rowOff>104775</xdr:rowOff>
        </xdr:from>
        <xdr:to>
          <xdr:col>626</xdr:col>
          <xdr:colOff>504825</xdr:colOff>
          <xdr:row>129</xdr:row>
          <xdr:rowOff>495300</xdr:rowOff>
        </xdr:to>
        <xdr:sp macro="" textlink="">
          <xdr:nvSpPr>
            <xdr:cNvPr id="1400" name="Object 376" hidden="1">
              <a:extLst>
                <a:ext uri="{63B3BB69-23CF-44E3-9099-C40C66FF867C}">
                  <a14:compatExt spid="_x0000_s14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624</xdr:col>
          <xdr:colOff>66675</xdr:colOff>
          <xdr:row>134</xdr:row>
          <xdr:rowOff>152400</xdr:rowOff>
        </xdr:from>
        <xdr:to>
          <xdr:col>632</xdr:col>
          <xdr:colOff>428625</xdr:colOff>
          <xdr:row>136</xdr:row>
          <xdr:rowOff>38100</xdr:rowOff>
        </xdr:to>
        <xdr:sp macro="" textlink="">
          <xdr:nvSpPr>
            <xdr:cNvPr id="1402" name="Object 378" hidden="1">
              <a:extLst>
                <a:ext uri="{63B3BB69-23CF-44E3-9099-C40C66FF867C}">
                  <a14:compatExt spid="_x0000_s14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624</xdr:col>
          <xdr:colOff>104775</xdr:colOff>
          <xdr:row>135</xdr:row>
          <xdr:rowOff>123825</xdr:rowOff>
        </xdr:from>
        <xdr:to>
          <xdr:col>627</xdr:col>
          <xdr:colOff>371475</xdr:colOff>
          <xdr:row>135</xdr:row>
          <xdr:rowOff>476250</xdr:rowOff>
        </xdr:to>
        <xdr:sp macro="" textlink="">
          <xdr:nvSpPr>
            <xdr:cNvPr id="1403" name="Object 379" hidden="1">
              <a:extLst>
                <a:ext uri="{63B3BB69-23CF-44E3-9099-C40C66FF867C}">
                  <a14:compatExt spid="_x0000_s14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624</xdr:col>
          <xdr:colOff>104775</xdr:colOff>
          <xdr:row>145</xdr:row>
          <xdr:rowOff>66675</xdr:rowOff>
        </xdr:from>
        <xdr:to>
          <xdr:col>631</xdr:col>
          <xdr:colOff>171450</xdr:colOff>
          <xdr:row>146</xdr:row>
          <xdr:rowOff>304800</xdr:rowOff>
        </xdr:to>
        <xdr:sp macro="" textlink="">
          <xdr:nvSpPr>
            <xdr:cNvPr id="1404" name="Object 380" hidden="1">
              <a:extLst>
                <a:ext uri="{63B3BB69-23CF-44E3-9099-C40C66FF867C}">
                  <a14:compatExt spid="_x0000_s14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624</xdr:col>
          <xdr:colOff>104775</xdr:colOff>
          <xdr:row>146</xdr:row>
          <xdr:rowOff>142875</xdr:rowOff>
        </xdr:from>
        <xdr:to>
          <xdr:col>628</xdr:col>
          <xdr:colOff>295275</xdr:colOff>
          <xdr:row>147</xdr:row>
          <xdr:rowOff>495300</xdr:rowOff>
        </xdr:to>
        <xdr:sp macro="" textlink="">
          <xdr:nvSpPr>
            <xdr:cNvPr id="1407" name="Object 383" hidden="1">
              <a:extLst>
                <a:ext uri="{63B3BB69-23CF-44E3-9099-C40C66FF867C}">
                  <a14:compatExt spid="_x0000_s14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624</xdr:col>
          <xdr:colOff>85725</xdr:colOff>
          <xdr:row>147</xdr:row>
          <xdr:rowOff>104775</xdr:rowOff>
        </xdr:from>
        <xdr:to>
          <xdr:col>630</xdr:col>
          <xdr:colOff>9525</xdr:colOff>
          <xdr:row>148</xdr:row>
          <xdr:rowOff>447675</xdr:rowOff>
        </xdr:to>
        <xdr:sp macro="" textlink="">
          <xdr:nvSpPr>
            <xdr:cNvPr id="1408" name="Object 384" hidden="1">
              <a:extLst>
                <a:ext uri="{63B3BB69-23CF-44E3-9099-C40C66FF867C}">
                  <a14:compatExt spid="_x0000_s14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624</xdr:col>
          <xdr:colOff>104775</xdr:colOff>
          <xdr:row>160</xdr:row>
          <xdr:rowOff>85725</xdr:rowOff>
        </xdr:from>
        <xdr:to>
          <xdr:col>635</xdr:col>
          <xdr:colOff>504825</xdr:colOff>
          <xdr:row>161</xdr:row>
          <xdr:rowOff>447675</xdr:rowOff>
        </xdr:to>
        <xdr:sp macro="" textlink="">
          <xdr:nvSpPr>
            <xdr:cNvPr id="1409" name="Object 385" hidden="1">
              <a:extLst>
                <a:ext uri="{63B3BB69-23CF-44E3-9099-C40C66FF867C}">
                  <a14:compatExt spid="_x0000_s14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624</xdr:col>
          <xdr:colOff>85725</xdr:colOff>
          <xdr:row>161</xdr:row>
          <xdr:rowOff>66675</xdr:rowOff>
        </xdr:from>
        <xdr:to>
          <xdr:col>627</xdr:col>
          <xdr:colOff>238125</xdr:colOff>
          <xdr:row>162</xdr:row>
          <xdr:rowOff>514350</xdr:rowOff>
        </xdr:to>
        <xdr:sp macro="" textlink="">
          <xdr:nvSpPr>
            <xdr:cNvPr id="1410" name="Object 386" hidden="1">
              <a:extLst>
                <a:ext uri="{63B3BB69-23CF-44E3-9099-C40C66FF867C}">
                  <a14:compatExt spid="_x0000_s14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624</xdr:col>
          <xdr:colOff>142875</xdr:colOff>
          <xdr:row>163</xdr:row>
          <xdr:rowOff>123825</xdr:rowOff>
        </xdr:from>
        <xdr:to>
          <xdr:col>634</xdr:col>
          <xdr:colOff>0</xdr:colOff>
          <xdr:row>164</xdr:row>
          <xdr:rowOff>152400</xdr:rowOff>
        </xdr:to>
        <xdr:sp macro="" textlink="">
          <xdr:nvSpPr>
            <xdr:cNvPr id="1411" name="Object 387" hidden="1">
              <a:extLst>
                <a:ext uri="{63B3BB69-23CF-44E3-9099-C40C66FF867C}">
                  <a14:compatExt spid="_x0000_s141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624</xdr:col>
          <xdr:colOff>152400</xdr:colOff>
          <xdr:row>164</xdr:row>
          <xdr:rowOff>104775</xdr:rowOff>
        </xdr:from>
        <xdr:to>
          <xdr:col>635</xdr:col>
          <xdr:colOff>47625</xdr:colOff>
          <xdr:row>165</xdr:row>
          <xdr:rowOff>85725</xdr:rowOff>
        </xdr:to>
        <xdr:sp macro="" textlink="">
          <xdr:nvSpPr>
            <xdr:cNvPr id="1412" name="Object 388" hidden="1">
              <a:extLst>
                <a:ext uri="{63B3BB69-23CF-44E3-9099-C40C66FF867C}">
                  <a14:compatExt spid="_x0000_s14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624</xdr:col>
          <xdr:colOff>152400</xdr:colOff>
          <xdr:row>165</xdr:row>
          <xdr:rowOff>123825</xdr:rowOff>
        </xdr:from>
        <xdr:to>
          <xdr:col>632</xdr:col>
          <xdr:colOff>133350</xdr:colOff>
          <xdr:row>166</xdr:row>
          <xdr:rowOff>171450</xdr:rowOff>
        </xdr:to>
        <xdr:sp macro="" textlink="">
          <xdr:nvSpPr>
            <xdr:cNvPr id="1413" name="Object 389" hidden="1">
              <a:extLst>
                <a:ext uri="{63B3BB69-23CF-44E3-9099-C40C66FF867C}">
                  <a14:compatExt spid="_x0000_s14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624</xdr:col>
          <xdr:colOff>123825</xdr:colOff>
          <xdr:row>167</xdr:row>
          <xdr:rowOff>104775</xdr:rowOff>
        </xdr:from>
        <xdr:to>
          <xdr:col>630</xdr:col>
          <xdr:colOff>323850</xdr:colOff>
          <xdr:row>168</xdr:row>
          <xdr:rowOff>133350</xdr:rowOff>
        </xdr:to>
        <xdr:sp macro="" textlink="">
          <xdr:nvSpPr>
            <xdr:cNvPr id="1414" name="Object 390" hidden="1">
              <a:extLst>
                <a:ext uri="{63B3BB69-23CF-44E3-9099-C40C66FF867C}">
                  <a14:compatExt spid="_x0000_s141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624</xdr:col>
          <xdr:colOff>104775</xdr:colOff>
          <xdr:row>168</xdr:row>
          <xdr:rowOff>104775</xdr:rowOff>
        </xdr:from>
        <xdr:to>
          <xdr:col>632</xdr:col>
          <xdr:colOff>476250</xdr:colOff>
          <xdr:row>169</xdr:row>
          <xdr:rowOff>133350</xdr:rowOff>
        </xdr:to>
        <xdr:sp macro="" textlink="">
          <xdr:nvSpPr>
            <xdr:cNvPr id="1415" name="Object 391" hidden="1">
              <a:extLst>
                <a:ext uri="{63B3BB69-23CF-44E3-9099-C40C66FF867C}">
                  <a14:compatExt spid="_x0000_s141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624</xdr:col>
          <xdr:colOff>104775</xdr:colOff>
          <xdr:row>171</xdr:row>
          <xdr:rowOff>85725</xdr:rowOff>
        </xdr:from>
        <xdr:to>
          <xdr:col>627</xdr:col>
          <xdr:colOff>104775</xdr:colOff>
          <xdr:row>171</xdr:row>
          <xdr:rowOff>476250</xdr:rowOff>
        </xdr:to>
        <xdr:sp macro="" textlink="">
          <xdr:nvSpPr>
            <xdr:cNvPr id="1416" name="Object 392" hidden="1">
              <a:extLst>
                <a:ext uri="{63B3BB69-23CF-44E3-9099-C40C66FF867C}">
                  <a14:compatExt spid="_x0000_s141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624</xdr:col>
          <xdr:colOff>104775</xdr:colOff>
          <xdr:row>173</xdr:row>
          <xdr:rowOff>85725</xdr:rowOff>
        </xdr:from>
        <xdr:to>
          <xdr:col>626</xdr:col>
          <xdr:colOff>447675</xdr:colOff>
          <xdr:row>174</xdr:row>
          <xdr:rowOff>285750</xdr:rowOff>
        </xdr:to>
        <xdr:sp macro="" textlink="">
          <xdr:nvSpPr>
            <xdr:cNvPr id="1417" name="Object 393" hidden="1">
              <a:extLst>
                <a:ext uri="{63B3BB69-23CF-44E3-9099-C40C66FF867C}">
                  <a14:compatExt spid="_x0000_s14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624</xdr:col>
          <xdr:colOff>104775</xdr:colOff>
          <xdr:row>174</xdr:row>
          <xdr:rowOff>104775</xdr:rowOff>
        </xdr:from>
        <xdr:to>
          <xdr:col>626</xdr:col>
          <xdr:colOff>485775</xdr:colOff>
          <xdr:row>175</xdr:row>
          <xdr:rowOff>304800</xdr:rowOff>
        </xdr:to>
        <xdr:sp macro="" textlink="">
          <xdr:nvSpPr>
            <xdr:cNvPr id="1418" name="Object 394" hidden="1">
              <a:extLst>
                <a:ext uri="{63B3BB69-23CF-44E3-9099-C40C66FF867C}">
                  <a14:compatExt spid="_x0000_s14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624</xdr:col>
          <xdr:colOff>104775</xdr:colOff>
          <xdr:row>180</xdr:row>
          <xdr:rowOff>123825</xdr:rowOff>
        </xdr:from>
        <xdr:to>
          <xdr:col>629</xdr:col>
          <xdr:colOff>361950</xdr:colOff>
          <xdr:row>181</xdr:row>
          <xdr:rowOff>228600</xdr:rowOff>
        </xdr:to>
        <xdr:sp macro="" textlink="">
          <xdr:nvSpPr>
            <xdr:cNvPr id="1419" name="Object 395" hidden="1">
              <a:extLst>
                <a:ext uri="{63B3BB69-23CF-44E3-9099-C40C66FF867C}">
                  <a14:compatExt spid="_x0000_s14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624</xdr:col>
          <xdr:colOff>66675</xdr:colOff>
          <xdr:row>181</xdr:row>
          <xdr:rowOff>85725</xdr:rowOff>
        </xdr:from>
        <xdr:to>
          <xdr:col>627</xdr:col>
          <xdr:colOff>66675</xdr:colOff>
          <xdr:row>182</xdr:row>
          <xdr:rowOff>190500</xdr:rowOff>
        </xdr:to>
        <xdr:sp macro="" textlink="">
          <xdr:nvSpPr>
            <xdr:cNvPr id="1420" name="Object 396" hidden="1">
              <a:extLst>
                <a:ext uri="{63B3BB69-23CF-44E3-9099-C40C66FF867C}">
                  <a14:compatExt spid="_x0000_s14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624</xdr:col>
          <xdr:colOff>123825</xdr:colOff>
          <xdr:row>183</xdr:row>
          <xdr:rowOff>85725</xdr:rowOff>
        </xdr:from>
        <xdr:to>
          <xdr:col>625</xdr:col>
          <xdr:colOff>523875</xdr:colOff>
          <xdr:row>184</xdr:row>
          <xdr:rowOff>295275</xdr:rowOff>
        </xdr:to>
        <xdr:sp macro="" textlink="">
          <xdr:nvSpPr>
            <xdr:cNvPr id="1421" name="Object 397" hidden="1">
              <a:extLst>
                <a:ext uri="{63B3BB69-23CF-44E3-9099-C40C66FF867C}">
                  <a14:compatExt spid="_x0000_s14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624</xdr:col>
          <xdr:colOff>104775</xdr:colOff>
          <xdr:row>190</xdr:row>
          <xdr:rowOff>142875</xdr:rowOff>
        </xdr:from>
        <xdr:to>
          <xdr:col>628</xdr:col>
          <xdr:colOff>333375</xdr:colOff>
          <xdr:row>191</xdr:row>
          <xdr:rowOff>133350</xdr:rowOff>
        </xdr:to>
        <xdr:sp macro="" textlink="">
          <xdr:nvSpPr>
            <xdr:cNvPr id="1423" name="Object 399" hidden="1">
              <a:extLst>
                <a:ext uri="{63B3BB69-23CF-44E3-9099-C40C66FF867C}">
                  <a14:compatExt spid="_x0000_s14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624</xdr:col>
          <xdr:colOff>142875</xdr:colOff>
          <xdr:row>193</xdr:row>
          <xdr:rowOff>142875</xdr:rowOff>
        </xdr:from>
        <xdr:to>
          <xdr:col>626</xdr:col>
          <xdr:colOff>152400</xdr:colOff>
          <xdr:row>194</xdr:row>
          <xdr:rowOff>161925</xdr:rowOff>
        </xdr:to>
        <xdr:sp macro="" textlink="">
          <xdr:nvSpPr>
            <xdr:cNvPr id="1426" name="Object 402" hidden="1">
              <a:extLst>
                <a:ext uri="{63B3BB69-23CF-44E3-9099-C40C66FF867C}">
                  <a14:compatExt spid="_x0000_s14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375</xdr:col>
          <xdr:colOff>485775</xdr:colOff>
          <xdr:row>107</xdr:row>
          <xdr:rowOff>76200</xdr:rowOff>
        </xdr:from>
        <xdr:to>
          <xdr:col>381</xdr:col>
          <xdr:colOff>28575</xdr:colOff>
          <xdr:row>109</xdr:row>
          <xdr:rowOff>76200</xdr:rowOff>
        </xdr:to>
        <xdr:sp macro="" textlink="">
          <xdr:nvSpPr>
            <xdr:cNvPr id="1498" name="Object 474" hidden="1">
              <a:extLst>
                <a:ext uri="{63B3BB69-23CF-44E3-9099-C40C66FF867C}">
                  <a14:compatExt spid="_x0000_s14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374</xdr:col>
          <xdr:colOff>161925</xdr:colOff>
          <xdr:row>105</xdr:row>
          <xdr:rowOff>0</xdr:rowOff>
        </xdr:from>
        <xdr:to>
          <xdr:col>383</xdr:col>
          <xdr:colOff>266700</xdr:colOff>
          <xdr:row>106</xdr:row>
          <xdr:rowOff>0</xdr:rowOff>
        </xdr:to>
        <xdr:sp macro="" textlink="">
          <xdr:nvSpPr>
            <xdr:cNvPr id="1499" name="Object 475" hidden="1">
              <a:extLst>
                <a:ext uri="{63B3BB69-23CF-44E3-9099-C40C66FF867C}">
                  <a14:compatExt spid="_x0000_s14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374</xdr:col>
          <xdr:colOff>504825</xdr:colOff>
          <xdr:row>122</xdr:row>
          <xdr:rowOff>219075</xdr:rowOff>
        </xdr:from>
        <xdr:to>
          <xdr:col>380</xdr:col>
          <xdr:colOff>238125</xdr:colOff>
          <xdr:row>124</xdr:row>
          <xdr:rowOff>314325</xdr:rowOff>
        </xdr:to>
        <xdr:sp macro="" textlink="">
          <xdr:nvSpPr>
            <xdr:cNvPr id="1502" name="Object 478" hidden="1">
              <a:extLst>
                <a:ext uri="{63B3BB69-23CF-44E3-9099-C40C66FF867C}">
                  <a14:compatExt spid="_x0000_s15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471</xdr:col>
          <xdr:colOff>314325</xdr:colOff>
          <xdr:row>76</xdr:row>
          <xdr:rowOff>219075</xdr:rowOff>
        </xdr:from>
        <xdr:to>
          <xdr:col>474</xdr:col>
          <xdr:colOff>9525</xdr:colOff>
          <xdr:row>77</xdr:row>
          <xdr:rowOff>409575</xdr:rowOff>
        </xdr:to>
        <xdr:sp macro="" textlink="">
          <xdr:nvSpPr>
            <xdr:cNvPr id="1504" name="Object 480" hidden="1">
              <a:extLst>
                <a:ext uri="{63B3BB69-23CF-44E3-9099-C40C66FF867C}">
                  <a14:compatExt spid="_x0000_s15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471</xdr:col>
          <xdr:colOff>238125</xdr:colOff>
          <xdr:row>77</xdr:row>
          <xdr:rowOff>171450</xdr:rowOff>
        </xdr:from>
        <xdr:to>
          <xdr:col>474</xdr:col>
          <xdr:colOff>104775</xdr:colOff>
          <xdr:row>78</xdr:row>
          <xdr:rowOff>285750</xdr:rowOff>
        </xdr:to>
        <xdr:sp macro="" textlink="">
          <xdr:nvSpPr>
            <xdr:cNvPr id="1505" name="Object 481" hidden="1">
              <a:extLst>
                <a:ext uri="{63B3BB69-23CF-44E3-9099-C40C66FF867C}">
                  <a14:compatExt spid="_x0000_s15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471</xdr:col>
          <xdr:colOff>219075</xdr:colOff>
          <xdr:row>78</xdr:row>
          <xdr:rowOff>142875</xdr:rowOff>
        </xdr:from>
        <xdr:to>
          <xdr:col>473</xdr:col>
          <xdr:colOff>342900</xdr:colOff>
          <xdr:row>79</xdr:row>
          <xdr:rowOff>266700</xdr:rowOff>
        </xdr:to>
        <xdr:sp macro="" textlink="">
          <xdr:nvSpPr>
            <xdr:cNvPr id="1507" name="Object 483" hidden="1">
              <a:extLst>
                <a:ext uri="{63B3BB69-23CF-44E3-9099-C40C66FF867C}">
                  <a14:compatExt spid="_x0000_s15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471</xdr:col>
          <xdr:colOff>314325</xdr:colOff>
          <xdr:row>79</xdr:row>
          <xdr:rowOff>238125</xdr:rowOff>
        </xdr:from>
        <xdr:to>
          <xdr:col>477</xdr:col>
          <xdr:colOff>523875</xdr:colOff>
          <xdr:row>80</xdr:row>
          <xdr:rowOff>409575</xdr:rowOff>
        </xdr:to>
        <xdr:sp macro="" textlink="">
          <xdr:nvSpPr>
            <xdr:cNvPr id="1508" name="Object 484" hidden="1">
              <a:extLst>
                <a:ext uri="{63B3BB69-23CF-44E3-9099-C40C66FF867C}">
                  <a14:compatExt spid="_x0000_s15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543</xdr:col>
          <xdr:colOff>123825</xdr:colOff>
          <xdr:row>104</xdr:row>
          <xdr:rowOff>85725</xdr:rowOff>
        </xdr:from>
        <xdr:to>
          <xdr:col>551</xdr:col>
          <xdr:colOff>238125</xdr:colOff>
          <xdr:row>105</xdr:row>
          <xdr:rowOff>304800</xdr:rowOff>
        </xdr:to>
        <xdr:sp macro="" textlink="">
          <xdr:nvSpPr>
            <xdr:cNvPr id="1509" name="Object 485" hidden="1">
              <a:extLst>
                <a:ext uri="{63B3BB69-23CF-44E3-9099-C40C66FF867C}">
                  <a14:compatExt spid="_x0000_s15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543</xdr:col>
          <xdr:colOff>123825</xdr:colOff>
          <xdr:row>105</xdr:row>
          <xdr:rowOff>123825</xdr:rowOff>
        </xdr:from>
        <xdr:to>
          <xdr:col>551</xdr:col>
          <xdr:colOff>285750</xdr:colOff>
          <xdr:row>106</xdr:row>
          <xdr:rowOff>314325</xdr:rowOff>
        </xdr:to>
        <xdr:sp macro="" textlink="">
          <xdr:nvSpPr>
            <xdr:cNvPr id="1510" name="Object 486" hidden="1">
              <a:extLst>
                <a:ext uri="{63B3BB69-23CF-44E3-9099-C40C66FF867C}">
                  <a14:compatExt spid="_x0000_s15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543</xdr:col>
          <xdr:colOff>95250</xdr:colOff>
          <xdr:row>115</xdr:row>
          <xdr:rowOff>142875</xdr:rowOff>
        </xdr:from>
        <xdr:to>
          <xdr:col>551</xdr:col>
          <xdr:colOff>85725</xdr:colOff>
          <xdr:row>117</xdr:row>
          <xdr:rowOff>57150</xdr:rowOff>
        </xdr:to>
        <xdr:sp macro="" textlink="">
          <xdr:nvSpPr>
            <xdr:cNvPr id="1511" name="Object 487" hidden="1">
              <a:extLst>
                <a:ext uri="{63B3BB69-23CF-44E3-9099-C40C66FF867C}">
                  <a14:compatExt spid="_x0000_s151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543</xdr:col>
          <xdr:colOff>142875</xdr:colOff>
          <xdr:row>116</xdr:row>
          <xdr:rowOff>142875</xdr:rowOff>
        </xdr:from>
        <xdr:to>
          <xdr:col>546</xdr:col>
          <xdr:colOff>466725</xdr:colOff>
          <xdr:row>118</xdr:row>
          <xdr:rowOff>19050</xdr:rowOff>
        </xdr:to>
        <xdr:sp macro="" textlink="">
          <xdr:nvSpPr>
            <xdr:cNvPr id="1512" name="Object 488" hidden="1">
              <a:extLst>
                <a:ext uri="{63B3BB69-23CF-44E3-9099-C40C66FF867C}">
                  <a14:compatExt spid="_x0000_s15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543</xdr:col>
          <xdr:colOff>95250</xdr:colOff>
          <xdr:row>114</xdr:row>
          <xdr:rowOff>123825</xdr:rowOff>
        </xdr:from>
        <xdr:to>
          <xdr:col>550</xdr:col>
          <xdr:colOff>9525</xdr:colOff>
          <xdr:row>116</xdr:row>
          <xdr:rowOff>19050</xdr:rowOff>
        </xdr:to>
        <xdr:sp macro="" textlink="">
          <xdr:nvSpPr>
            <xdr:cNvPr id="1513" name="Object 489" hidden="1">
              <a:extLst>
                <a:ext uri="{63B3BB69-23CF-44E3-9099-C40C66FF867C}">
                  <a14:compatExt spid="_x0000_s15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543</xdr:col>
          <xdr:colOff>190500</xdr:colOff>
          <xdr:row>103</xdr:row>
          <xdr:rowOff>123825</xdr:rowOff>
        </xdr:from>
        <xdr:to>
          <xdr:col>544</xdr:col>
          <xdr:colOff>333375</xdr:colOff>
          <xdr:row>104</xdr:row>
          <xdr:rowOff>285750</xdr:rowOff>
        </xdr:to>
        <xdr:sp macro="" textlink="">
          <xdr:nvSpPr>
            <xdr:cNvPr id="1515" name="Object 491" hidden="1">
              <a:extLst>
                <a:ext uri="{63B3BB69-23CF-44E3-9099-C40C66FF867C}">
                  <a14:compatExt spid="_x0000_s151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547</xdr:col>
          <xdr:colOff>123825</xdr:colOff>
          <xdr:row>111</xdr:row>
          <xdr:rowOff>66675</xdr:rowOff>
        </xdr:from>
        <xdr:to>
          <xdr:col>547</xdr:col>
          <xdr:colOff>438150</xdr:colOff>
          <xdr:row>112</xdr:row>
          <xdr:rowOff>104775</xdr:rowOff>
        </xdr:to>
        <xdr:sp macro="" textlink="">
          <xdr:nvSpPr>
            <xdr:cNvPr id="1542" name="Object 518" hidden="1">
              <a:extLst>
                <a:ext uri="{63B3BB69-23CF-44E3-9099-C40C66FF867C}">
                  <a14:compatExt spid="_x0000_s154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350</xdr:col>
          <xdr:colOff>152400</xdr:colOff>
          <xdr:row>53</xdr:row>
          <xdr:rowOff>38100</xdr:rowOff>
        </xdr:from>
        <xdr:to>
          <xdr:col>351</xdr:col>
          <xdr:colOff>57150</xdr:colOff>
          <xdr:row>54</xdr:row>
          <xdr:rowOff>200025</xdr:rowOff>
        </xdr:to>
        <xdr:sp macro="" textlink="">
          <xdr:nvSpPr>
            <xdr:cNvPr id="1543" name="Object 519" hidden="1">
              <a:extLst>
                <a:ext uri="{63B3BB69-23CF-44E3-9099-C40C66FF867C}">
                  <a14:compatExt spid="_x0000_s154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164</xdr:col>
          <xdr:colOff>190500</xdr:colOff>
          <xdr:row>23</xdr:row>
          <xdr:rowOff>314325</xdr:rowOff>
        </xdr:from>
        <xdr:to>
          <xdr:col>168</xdr:col>
          <xdr:colOff>66675</xdr:colOff>
          <xdr:row>24</xdr:row>
          <xdr:rowOff>390525</xdr:rowOff>
        </xdr:to>
        <xdr:sp macro="" textlink="">
          <xdr:nvSpPr>
            <xdr:cNvPr id="1545" name="Object 521" hidden="1">
              <a:extLst>
                <a:ext uri="{63B3BB69-23CF-44E3-9099-C40C66FF867C}">
                  <a14:compatExt spid="_x0000_s15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543</xdr:col>
          <xdr:colOff>142875</xdr:colOff>
          <xdr:row>121</xdr:row>
          <xdr:rowOff>123825</xdr:rowOff>
        </xdr:from>
        <xdr:to>
          <xdr:col>550</xdr:col>
          <xdr:colOff>85725</xdr:colOff>
          <xdr:row>122</xdr:row>
          <xdr:rowOff>142875</xdr:rowOff>
        </xdr:to>
        <xdr:sp macro="" textlink="">
          <xdr:nvSpPr>
            <xdr:cNvPr id="1551" name="Object 527" hidden="1">
              <a:extLst>
                <a:ext uri="{63B3BB69-23CF-44E3-9099-C40C66FF867C}">
                  <a14:compatExt spid="_x0000_s15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545</xdr:col>
          <xdr:colOff>0</xdr:colOff>
          <xdr:row>126</xdr:row>
          <xdr:rowOff>333375</xdr:rowOff>
        </xdr:from>
        <xdr:to>
          <xdr:col>552</xdr:col>
          <xdr:colOff>304800</xdr:colOff>
          <xdr:row>127</xdr:row>
          <xdr:rowOff>161925</xdr:rowOff>
        </xdr:to>
        <xdr:sp macro="" textlink="">
          <xdr:nvSpPr>
            <xdr:cNvPr id="1552" name="Object 528" hidden="1">
              <a:extLst>
                <a:ext uri="{63B3BB69-23CF-44E3-9099-C40C66FF867C}">
                  <a14:compatExt spid="_x0000_s15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543</xdr:col>
          <xdr:colOff>104775</xdr:colOff>
          <xdr:row>138</xdr:row>
          <xdr:rowOff>104775</xdr:rowOff>
        </xdr:from>
        <xdr:to>
          <xdr:col>549</xdr:col>
          <xdr:colOff>390525</xdr:colOff>
          <xdr:row>139</xdr:row>
          <xdr:rowOff>114300</xdr:rowOff>
        </xdr:to>
        <xdr:sp macro="" textlink="">
          <xdr:nvSpPr>
            <xdr:cNvPr id="1553" name="Object 529" hidden="1">
              <a:extLst>
                <a:ext uri="{63B3BB69-23CF-44E3-9099-C40C66FF867C}">
                  <a14:compatExt spid="_x0000_s15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543</xdr:col>
          <xdr:colOff>123825</xdr:colOff>
          <xdr:row>133</xdr:row>
          <xdr:rowOff>209550</xdr:rowOff>
        </xdr:from>
        <xdr:to>
          <xdr:col>554</xdr:col>
          <xdr:colOff>561975</xdr:colOff>
          <xdr:row>134</xdr:row>
          <xdr:rowOff>104775</xdr:rowOff>
        </xdr:to>
        <xdr:sp macro="" textlink="">
          <xdr:nvSpPr>
            <xdr:cNvPr id="1558" name="Object 534" hidden="1">
              <a:extLst>
                <a:ext uri="{63B3BB69-23CF-44E3-9099-C40C66FF867C}">
                  <a14:compatExt spid="_x0000_s15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543</xdr:col>
          <xdr:colOff>152400</xdr:colOff>
          <xdr:row>137</xdr:row>
          <xdr:rowOff>142875</xdr:rowOff>
        </xdr:from>
        <xdr:to>
          <xdr:col>547</xdr:col>
          <xdr:colOff>523875</xdr:colOff>
          <xdr:row>138</xdr:row>
          <xdr:rowOff>161925</xdr:rowOff>
        </xdr:to>
        <xdr:sp macro="" textlink="">
          <xdr:nvSpPr>
            <xdr:cNvPr id="1559" name="Object 535" hidden="1">
              <a:extLst>
                <a:ext uri="{63B3BB69-23CF-44E3-9099-C40C66FF867C}">
                  <a14:compatExt spid="_x0000_s15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543</xdr:col>
          <xdr:colOff>123825</xdr:colOff>
          <xdr:row>151</xdr:row>
          <xdr:rowOff>104775</xdr:rowOff>
        </xdr:from>
        <xdr:to>
          <xdr:col>544</xdr:col>
          <xdr:colOff>542925</xdr:colOff>
          <xdr:row>152</xdr:row>
          <xdr:rowOff>285750</xdr:rowOff>
        </xdr:to>
        <xdr:sp macro="" textlink="">
          <xdr:nvSpPr>
            <xdr:cNvPr id="1560" name="Object 536" hidden="1">
              <a:extLst>
                <a:ext uri="{63B3BB69-23CF-44E3-9099-C40C66FF867C}">
                  <a14:compatExt spid="_x0000_s15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624</xdr:col>
          <xdr:colOff>104775</xdr:colOff>
          <xdr:row>142</xdr:row>
          <xdr:rowOff>104775</xdr:rowOff>
        </xdr:from>
        <xdr:to>
          <xdr:col>624</xdr:col>
          <xdr:colOff>514350</xdr:colOff>
          <xdr:row>143</xdr:row>
          <xdr:rowOff>266700</xdr:rowOff>
        </xdr:to>
        <xdr:sp macro="" textlink="">
          <xdr:nvSpPr>
            <xdr:cNvPr id="1562" name="Object 538" hidden="1">
              <a:extLst>
                <a:ext uri="{63B3BB69-23CF-44E3-9099-C40C66FF867C}">
                  <a14:compatExt spid="_x0000_s156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624</xdr:col>
          <xdr:colOff>190500</xdr:colOff>
          <xdr:row>148</xdr:row>
          <xdr:rowOff>123825</xdr:rowOff>
        </xdr:from>
        <xdr:to>
          <xdr:col>628</xdr:col>
          <xdr:colOff>76200</xdr:colOff>
          <xdr:row>148</xdr:row>
          <xdr:rowOff>476250</xdr:rowOff>
        </xdr:to>
        <xdr:sp macro="" textlink="">
          <xdr:nvSpPr>
            <xdr:cNvPr id="1563" name="Object 539" hidden="1">
              <a:extLst>
                <a:ext uri="{63B3BB69-23CF-44E3-9099-C40C66FF867C}">
                  <a14:compatExt spid="_x0000_s15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624</xdr:col>
          <xdr:colOff>123825</xdr:colOff>
          <xdr:row>178</xdr:row>
          <xdr:rowOff>85725</xdr:rowOff>
        </xdr:from>
        <xdr:to>
          <xdr:col>627</xdr:col>
          <xdr:colOff>276225</xdr:colOff>
          <xdr:row>179</xdr:row>
          <xdr:rowOff>266700</xdr:rowOff>
        </xdr:to>
        <xdr:sp macro="" textlink="">
          <xdr:nvSpPr>
            <xdr:cNvPr id="1564" name="Object 540" hidden="1">
              <a:extLst>
                <a:ext uri="{63B3BB69-23CF-44E3-9099-C40C66FF867C}">
                  <a14:compatExt spid="_x0000_s15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624</xdr:col>
          <xdr:colOff>228600</xdr:colOff>
          <xdr:row>192</xdr:row>
          <xdr:rowOff>85725</xdr:rowOff>
        </xdr:from>
        <xdr:to>
          <xdr:col>625</xdr:col>
          <xdr:colOff>133350</xdr:colOff>
          <xdr:row>193</xdr:row>
          <xdr:rowOff>133350</xdr:rowOff>
        </xdr:to>
        <xdr:sp macro="" textlink="">
          <xdr:nvSpPr>
            <xdr:cNvPr id="1567" name="Object 543" hidden="1">
              <a:extLst>
                <a:ext uri="{63B3BB69-23CF-44E3-9099-C40C66FF867C}">
                  <a14:compatExt spid="_x0000_s15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624</xdr:col>
          <xdr:colOff>171450</xdr:colOff>
          <xdr:row>191</xdr:row>
          <xdr:rowOff>57150</xdr:rowOff>
        </xdr:from>
        <xdr:to>
          <xdr:col>625</xdr:col>
          <xdr:colOff>95250</xdr:colOff>
          <xdr:row>192</xdr:row>
          <xdr:rowOff>66675</xdr:rowOff>
        </xdr:to>
        <xdr:sp macro="" textlink="">
          <xdr:nvSpPr>
            <xdr:cNvPr id="1570" name="Object 546" hidden="1">
              <a:extLst>
                <a:ext uri="{63B3BB69-23CF-44E3-9099-C40C66FF867C}">
                  <a14:compatExt spid="_x0000_s15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620</xdr:col>
          <xdr:colOff>171450</xdr:colOff>
          <xdr:row>166</xdr:row>
          <xdr:rowOff>123825</xdr:rowOff>
        </xdr:from>
        <xdr:to>
          <xdr:col>642</xdr:col>
          <xdr:colOff>66675</xdr:colOff>
          <xdr:row>167</xdr:row>
          <xdr:rowOff>238125</xdr:rowOff>
        </xdr:to>
        <xdr:sp macro="" textlink="">
          <xdr:nvSpPr>
            <xdr:cNvPr id="1572" name="Object 548" hidden="1">
              <a:extLst>
                <a:ext uri="{63B3BB69-23CF-44E3-9099-C40C66FF867C}">
                  <a14:compatExt spid="_x0000_s15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621</xdr:col>
          <xdr:colOff>0</xdr:colOff>
          <xdr:row>162</xdr:row>
          <xdr:rowOff>66675</xdr:rowOff>
        </xdr:from>
        <xdr:to>
          <xdr:col>636</xdr:col>
          <xdr:colOff>552450</xdr:colOff>
          <xdr:row>163</xdr:row>
          <xdr:rowOff>504825</xdr:rowOff>
        </xdr:to>
        <xdr:sp macro="" textlink="">
          <xdr:nvSpPr>
            <xdr:cNvPr id="1573" name="Object 549" hidden="1">
              <a:extLst>
                <a:ext uri="{63B3BB69-23CF-44E3-9099-C40C66FF867C}">
                  <a14:compatExt spid="_x0000_s15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201</xdr:col>
          <xdr:colOff>152400</xdr:colOff>
          <xdr:row>119</xdr:row>
          <xdr:rowOff>361950</xdr:rowOff>
        </xdr:from>
        <xdr:to>
          <xdr:col>204</xdr:col>
          <xdr:colOff>476250</xdr:colOff>
          <xdr:row>120</xdr:row>
          <xdr:rowOff>285750</xdr:rowOff>
        </xdr:to>
        <xdr:sp macro="" textlink="">
          <xdr:nvSpPr>
            <xdr:cNvPr id="1580" name="Object 556" hidden="1">
              <a:extLst>
                <a:ext uri="{63B3BB69-23CF-44E3-9099-C40C66FF867C}">
                  <a14:compatExt spid="_x0000_s15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376</xdr:col>
          <xdr:colOff>57150</xdr:colOff>
          <xdr:row>111</xdr:row>
          <xdr:rowOff>9525</xdr:rowOff>
        </xdr:from>
        <xdr:to>
          <xdr:col>380</xdr:col>
          <xdr:colOff>38100</xdr:colOff>
          <xdr:row>112</xdr:row>
          <xdr:rowOff>47625</xdr:rowOff>
        </xdr:to>
        <xdr:sp macro="" textlink="">
          <xdr:nvSpPr>
            <xdr:cNvPr id="1581" name="Object 557" hidden="1">
              <a:extLst>
                <a:ext uri="{63B3BB69-23CF-44E3-9099-C40C66FF867C}">
                  <a14:compatExt spid="_x0000_s15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47</xdr:col>
          <xdr:colOff>266700</xdr:colOff>
          <xdr:row>11</xdr:row>
          <xdr:rowOff>161925</xdr:rowOff>
        </xdr:from>
        <xdr:to>
          <xdr:col>49</xdr:col>
          <xdr:colOff>190500</xdr:colOff>
          <xdr:row>12</xdr:row>
          <xdr:rowOff>381000</xdr:rowOff>
        </xdr:to>
        <xdr:sp macro="" textlink="">
          <xdr:nvSpPr>
            <xdr:cNvPr id="1593" name="Object 569" hidden="1">
              <a:extLst>
                <a:ext uri="{63B3BB69-23CF-44E3-9099-C40C66FF867C}">
                  <a14:compatExt spid="_x0000_s15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47</xdr:col>
          <xdr:colOff>295275</xdr:colOff>
          <xdr:row>31</xdr:row>
          <xdr:rowOff>333375</xdr:rowOff>
        </xdr:from>
        <xdr:to>
          <xdr:col>50</xdr:col>
          <xdr:colOff>285750</xdr:colOff>
          <xdr:row>32</xdr:row>
          <xdr:rowOff>257175</xdr:rowOff>
        </xdr:to>
        <xdr:sp macro="" textlink="">
          <xdr:nvSpPr>
            <xdr:cNvPr id="1594" name="Object 570" hidden="1">
              <a:extLst>
                <a:ext uri="{63B3BB69-23CF-44E3-9099-C40C66FF867C}">
                  <a14:compatExt spid="_x0000_s15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47</xdr:col>
          <xdr:colOff>457200</xdr:colOff>
          <xdr:row>35</xdr:row>
          <xdr:rowOff>104775</xdr:rowOff>
        </xdr:from>
        <xdr:to>
          <xdr:col>50</xdr:col>
          <xdr:colOff>47625</xdr:colOff>
          <xdr:row>36</xdr:row>
          <xdr:rowOff>495300</xdr:rowOff>
        </xdr:to>
        <xdr:sp macro="" textlink="">
          <xdr:nvSpPr>
            <xdr:cNvPr id="1596" name="Object 572" hidden="1">
              <a:extLst>
                <a:ext uri="{63B3BB69-23CF-44E3-9099-C40C66FF867C}">
                  <a14:compatExt spid="_x0000_s15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47</xdr:col>
          <xdr:colOff>257175</xdr:colOff>
          <xdr:row>39</xdr:row>
          <xdr:rowOff>104775</xdr:rowOff>
        </xdr:from>
        <xdr:to>
          <xdr:col>51</xdr:col>
          <xdr:colOff>333375</xdr:colOff>
          <xdr:row>40</xdr:row>
          <xdr:rowOff>447675</xdr:rowOff>
        </xdr:to>
        <xdr:sp macro="" textlink="">
          <xdr:nvSpPr>
            <xdr:cNvPr id="1597" name="Object 573" hidden="1">
              <a:extLst>
                <a:ext uri="{63B3BB69-23CF-44E3-9099-C40C66FF867C}">
                  <a14:compatExt spid="_x0000_s15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xdr:col>
          <xdr:colOff>142875</xdr:colOff>
          <xdr:row>72</xdr:row>
          <xdr:rowOff>142875</xdr:rowOff>
        </xdr:from>
        <xdr:to>
          <xdr:col>50</xdr:col>
          <xdr:colOff>476250</xdr:colOff>
          <xdr:row>73</xdr:row>
          <xdr:rowOff>371475</xdr:rowOff>
        </xdr:to>
        <xdr:sp macro="" textlink="">
          <xdr:nvSpPr>
            <xdr:cNvPr id="1599" name="Object 575" hidden="1">
              <a:extLst>
                <a:ext uri="{63B3BB69-23CF-44E3-9099-C40C66FF867C}">
                  <a14:compatExt spid="_x0000_s15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47</xdr:col>
          <xdr:colOff>400050</xdr:colOff>
          <xdr:row>80</xdr:row>
          <xdr:rowOff>66675</xdr:rowOff>
        </xdr:from>
        <xdr:to>
          <xdr:col>49</xdr:col>
          <xdr:colOff>276225</xdr:colOff>
          <xdr:row>81</xdr:row>
          <xdr:rowOff>495300</xdr:rowOff>
        </xdr:to>
        <xdr:sp macro="" textlink="">
          <xdr:nvSpPr>
            <xdr:cNvPr id="1601" name="Object 577" hidden="1">
              <a:extLst>
                <a:ext uri="{63B3BB69-23CF-44E3-9099-C40C66FF867C}">
                  <a14:compatExt spid="_x0000_s16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88</xdr:col>
          <xdr:colOff>323850</xdr:colOff>
          <xdr:row>23</xdr:row>
          <xdr:rowOff>114300</xdr:rowOff>
        </xdr:from>
        <xdr:to>
          <xdr:col>91</xdr:col>
          <xdr:colOff>295275</xdr:colOff>
          <xdr:row>24</xdr:row>
          <xdr:rowOff>495300</xdr:rowOff>
        </xdr:to>
        <xdr:sp macro="" textlink="">
          <xdr:nvSpPr>
            <xdr:cNvPr id="1603" name="Object 579" hidden="1">
              <a:extLst>
                <a:ext uri="{63B3BB69-23CF-44E3-9099-C40C66FF867C}">
                  <a14:compatExt spid="_x0000_s16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88</xdr:col>
          <xdr:colOff>361950</xdr:colOff>
          <xdr:row>47</xdr:row>
          <xdr:rowOff>142875</xdr:rowOff>
        </xdr:from>
        <xdr:to>
          <xdr:col>93</xdr:col>
          <xdr:colOff>304800</xdr:colOff>
          <xdr:row>48</xdr:row>
          <xdr:rowOff>447675</xdr:rowOff>
        </xdr:to>
        <xdr:sp macro="" textlink="">
          <xdr:nvSpPr>
            <xdr:cNvPr id="1607" name="Object 583" hidden="1">
              <a:extLst>
                <a:ext uri="{63B3BB69-23CF-44E3-9099-C40C66FF867C}">
                  <a14:compatExt spid="_x0000_s16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95</xdr:col>
          <xdr:colOff>123825</xdr:colOff>
          <xdr:row>111</xdr:row>
          <xdr:rowOff>228600</xdr:rowOff>
        </xdr:from>
        <xdr:to>
          <xdr:col>98</xdr:col>
          <xdr:colOff>476250</xdr:colOff>
          <xdr:row>112</xdr:row>
          <xdr:rowOff>219075</xdr:rowOff>
        </xdr:to>
        <xdr:sp macro="" textlink="">
          <xdr:nvSpPr>
            <xdr:cNvPr id="1614" name="Object 590" hidden="1">
              <a:extLst>
                <a:ext uri="{63B3BB69-23CF-44E3-9099-C40C66FF867C}">
                  <a14:compatExt spid="_x0000_s161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200</xdr:col>
          <xdr:colOff>523875</xdr:colOff>
          <xdr:row>59</xdr:row>
          <xdr:rowOff>314325</xdr:rowOff>
        </xdr:from>
        <xdr:to>
          <xdr:col>206</xdr:col>
          <xdr:colOff>428625</xdr:colOff>
          <xdr:row>60</xdr:row>
          <xdr:rowOff>342900</xdr:rowOff>
        </xdr:to>
        <xdr:sp macro="" textlink="">
          <xdr:nvSpPr>
            <xdr:cNvPr id="1617" name="Object 593" hidden="1">
              <a:extLst>
                <a:ext uri="{63B3BB69-23CF-44E3-9099-C40C66FF867C}">
                  <a14:compatExt spid="_x0000_s1617"/>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6</xdr:col>
      <xdr:colOff>470191</xdr:colOff>
      <xdr:row>100</xdr:row>
      <xdr:rowOff>132909</xdr:rowOff>
    </xdr:from>
    <xdr:to>
      <xdr:col>24</xdr:col>
      <xdr:colOff>117764</xdr:colOff>
      <xdr:row>128</xdr:row>
      <xdr:rowOff>8283</xdr:rowOff>
    </xdr:to>
    <xdr:pic>
      <xdr:nvPicPr>
        <xdr:cNvPr id="3" name="Picture 291"/>
        <xdr:cNvPicPr>
          <a:picLocks noChangeAspect="1" noChangeArrowheads="1"/>
        </xdr:cNvPicPr>
      </xdr:nvPicPr>
      <xdr:blipFill>
        <a:blip xmlns:r="http://schemas.openxmlformats.org/officeDocument/2006/relationships" r:embed="rId1" cstate="print"/>
        <a:srcRect/>
        <a:stretch>
          <a:fillRect/>
        </a:stretch>
      </xdr:blipFill>
      <xdr:spPr bwMode="auto">
        <a:xfrm>
          <a:off x="7137691" y="26110182"/>
          <a:ext cx="10558028" cy="7149010"/>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1</xdr:col>
      <xdr:colOff>199467</xdr:colOff>
      <xdr:row>12</xdr:row>
      <xdr:rowOff>142439</xdr:rowOff>
    </xdr:from>
    <xdr:to>
      <xdr:col>19</xdr:col>
      <xdr:colOff>270640</xdr:colOff>
      <xdr:row>36</xdr:row>
      <xdr:rowOff>151781</xdr:rowOff>
    </xdr:to>
    <xdr:pic>
      <xdr:nvPicPr>
        <xdr:cNvPr id="2051"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818592" y="3285689"/>
          <a:ext cx="14249290" cy="6295842"/>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36</xdr:col>
      <xdr:colOff>114735</xdr:colOff>
      <xdr:row>5</xdr:row>
      <xdr:rowOff>136380</xdr:rowOff>
    </xdr:from>
    <xdr:to>
      <xdr:col>41</xdr:col>
      <xdr:colOff>519545</xdr:colOff>
      <xdr:row>26</xdr:row>
      <xdr:rowOff>26193</xdr:rowOff>
    </xdr:to>
    <xdr:pic>
      <xdr:nvPicPr>
        <xdr:cNvPr id="2049" name="Picture 1" descr="статор а)"/>
        <xdr:cNvPicPr>
          <a:picLocks noChangeAspect="1" noChangeArrowheads="1"/>
        </xdr:cNvPicPr>
      </xdr:nvPicPr>
      <xdr:blipFill>
        <a:blip xmlns:r="http://schemas.openxmlformats.org/officeDocument/2006/relationships" r:embed="rId3" cstate="print"/>
        <a:srcRect/>
        <a:stretch>
          <a:fillRect/>
        </a:stretch>
      </xdr:blipFill>
      <xdr:spPr bwMode="auto">
        <a:xfrm>
          <a:off x="9864871" y="1435244"/>
          <a:ext cx="3435492" cy="5345040"/>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36</xdr:col>
      <xdr:colOff>207386</xdr:colOff>
      <xdr:row>55</xdr:row>
      <xdr:rowOff>151967</xdr:rowOff>
    </xdr:from>
    <xdr:to>
      <xdr:col>41</xdr:col>
      <xdr:colOff>415637</xdr:colOff>
      <xdr:row>76</xdr:row>
      <xdr:rowOff>98796</xdr:rowOff>
    </xdr:to>
    <xdr:pic>
      <xdr:nvPicPr>
        <xdr:cNvPr id="2050" name="Picture 2" descr="статор б)"/>
        <xdr:cNvPicPr>
          <a:picLocks noChangeAspect="1" noChangeArrowheads="1"/>
        </xdr:cNvPicPr>
      </xdr:nvPicPr>
      <xdr:blipFill>
        <a:blip xmlns:r="http://schemas.openxmlformats.org/officeDocument/2006/relationships" r:embed="rId4" cstate="print"/>
        <a:srcRect/>
        <a:stretch>
          <a:fillRect/>
        </a:stretch>
      </xdr:blipFill>
      <xdr:spPr bwMode="auto">
        <a:xfrm>
          <a:off x="26912022" y="14439467"/>
          <a:ext cx="3238933" cy="5402056"/>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49</xdr:col>
      <xdr:colOff>192232</xdr:colOff>
      <xdr:row>5</xdr:row>
      <xdr:rowOff>138982</xdr:rowOff>
    </xdr:from>
    <xdr:to>
      <xdr:col>54</xdr:col>
      <xdr:colOff>359322</xdr:colOff>
      <xdr:row>25</xdr:row>
      <xdr:rowOff>138982</xdr:rowOff>
    </xdr:to>
    <xdr:pic>
      <xdr:nvPicPr>
        <xdr:cNvPr id="2052" name="Picture 4" descr="статор в)"/>
        <xdr:cNvPicPr>
          <a:picLocks noChangeAspect="1" noChangeArrowheads="1"/>
        </xdr:cNvPicPr>
      </xdr:nvPicPr>
      <xdr:blipFill>
        <a:blip xmlns:r="http://schemas.openxmlformats.org/officeDocument/2006/relationships" r:embed="rId5" cstate="print"/>
        <a:srcRect/>
        <a:stretch>
          <a:fillRect/>
        </a:stretch>
      </xdr:blipFill>
      <xdr:spPr bwMode="auto">
        <a:xfrm>
          <a:off x="19075545" y="1448670"/>
          <a:ext cx="3262715" cy="5238750"/>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49</xdr:col>
      <xdr:colOff>133782</xdr:colOff>
      <xdr:row>55</xdr:row>
      <xdr:rowOff>173614</xdr:rowOff>
    </xdr:from>
    <xdr:to>
      <xdr:col>54</xdr:col>
      <xdr:colOff>376671</xdr:colOff>
      <xdr:row>76</xdr:row>
      <xdr:rowOff>154239</xdr:rowOff>
    </xdr:to>
    <xdr:pic>
      <xdr:nvPicPr>
        <xdr:cNvPr id="2053" name="Picture 5" descr="статор г)"/>
        <xdr:cNvPicPr>
          <a:picLocks noChangeAspect="1" noChangeArrowheads="1"/>
        </xdr:cNvPicPr>
      </xdr:nvPicPr>
      <xdr:blipFill>
        <a:blip xmlns:r="http://schemas.openxmlformats.org/officeDocument/2006/relationships" r:embed="rId6" cstate="print"/>
        <a:srcRect/>
        <a:stretch>
          <a:fillRect/>
        </a:stretch>
      </xdr:blipFill>
      <xdr:spPr bwMode="auto">
        <a:xfrm>
          <a:off x="19017095" y="14580177"/>
          <a:ext cx="3338514" cy="5481312"/>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62</xdr:col>
      <xdr:colOff>88322</xdr:colOff>
      <xdr:row>5</xdr:row>
      <xdr:rowOff>128154</xdr:rowOff>
    </xdr:from>
    <xdr:to>
      <xdr:col>67</xdr:col>
      <xdr:colOff>484909</xdr:colOff>
      <xdr:row>26</xdr:row>
      <xdr:rowOff>155864</xdr:rowOff>
    </xdr:to>
    <xdr:pic>
      <xdr:nvPicPr>
        <xdr:cNvPr id="2057" name="Picture 9" descr="статор д)"/>
        <xdr:cNvPicPr>
          <a:picLocks noChangeAspect="1" noChangeArrowheads="1"/>
        </xdr:cNvPicPr>
      </xdr:nvPicPr>
      <xdr:blipFill>
        <a:blip xmlns:r="http://schemas.openxmlformats.org/officeDocument/2006/relationships" r:embed="rId7" cstate="print"/>
        <a:srcRect/>
        <a:stretch>
          <a:fillRect/>
        </a:stretch>
      </xdr:blipFill>
      <xdr:spPr bwMode="auto">
        <a:xfrm>
          <a:off x="27433731" y="1427018"/>
          <a:ext cx="3427269" cy="5482937"/>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62</xdr:col>
      <xdr:colOff>432090</xdr:colOff>
      <xdr:row>30</xdr:row>
      <xdr:rowOff>139841</xdr:rowOff>
    </xdr:from>
    <xdr:to>
      <xdr:col>67</xdr:col>
      <xdr:colOff>348373</xdr:colOff>
      <xdr:row>50</xdr:row>
      <xdr:rowOff>203052</xdr:rowOff>
    </xdr:to>
    <xdr:pic>
      <xdr:nvPicPr>
        <xdr:cNvPr id="2059" name="Picture 11" descr="статор е)"/>
        <xdr:cNvPicPr>
          <a:picLocks noChangeAspect="1" noChangeArrowheads="1"/>
        </xdr:cNvPicPr>
      </xdr:nvPicPr>
      <xdr:blipFill>
        <a:blip xmlns:r="http://schemas.openxmlformats.org/officeDocument/2006/relationships" r:embed="rId8" cstate="print"/>
        <a:srcRect/>
        <a:stretch>
          <a:fillRect/>
        </a:stretch>
      </xdr:blipFill>
      <xdr:spPr bwMode="auto">
        <a:xfrm>
          <a:off x="28268903" y="7997966"/>
          <a:ext cx="3011908" cy="5301961"/>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62</xdr:col>
      <xdr:colOff>248952</xdr:colOff>
      <xdr:row>55</xdr:row>
      <xdr:rowOff>133783</xdr:rowOff>
    </xdr:from>
    <xdr:to>
      <xdr:col>67</xdr:col>
      <xdr:colOff>395120</xdr:colOff>
      <xdr:row>75</xdr:row>
      <xdr:rowOff>109969</xdr:rowOff>
    </xdr:to>
    <xdr:pic>
      <xdr:nvPicPr>
        <xdr:cNvPr id="2060" name="Picture 12" descr="статор ж)"/>
        <xdr:cNvPicPr>
          <a:picLocks noChangeAspect="1" noChangeArrowheads="1"/>
        </xdr:cNvPicPr>
      </xdr:nvPicPr>
      <xdr:blipFill>
        <a:blip xmlns:r="http://schemas.openxmlformats.org/officeDocument/2006/relationships" r:embed="rId9" cstate="print"/>
        <a:srcRect/>
        <a:stretch>
          <a:fillRect/>
        </a:stretch>
      </xdr:blipFill>
      <xdr:spPr bwMode="auto">
        <a:xfrm>
          <a:off x="28085765" y="14540346"/>
          <a:ext cx="3241793" cy="5214936"/>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76</xdr:col>
      <xdr:colOff>332943</xdr:colOff>
      <xdr:row>6</xdr:row>
      <xdr:rowOff>242891</xdr:rowOff>
    </xdr:from>
    <xdr:to>
      <xdr:col>80</xdr:col>
      <xdr:colOff>593221</xdr:colOff>
      <xdr:row>26</xdr:row>
      <xdr:rowOff>236396</xdr:rowOff>
    </xdr:to>
    <xdr:pic>
      <xdr:nvPicPr>
        <xdr:cNvPr id="2062" name="Picture 14" descr="статор з)"/>
        <xdr:cNvPicPr>
          <a:picLocks noChangeAspect="1" noChangeArrowheads="1"/>
        </xdr:cNvPicPr>
      </xdr:nvPicPr>
      <xdr:blipFill>
        <a:blip xmlns:r="http://schemas.openxmlformats.org/officeDocument/2006/relationships" r:embed="rId10" cstate="print"/>
        <a:srcRect/>
        <a:stretch>
          <a:fillRect/>
        </a:stretch>
      </xdr:blipFill>
      <xdr:spPr bwMode="auto">
        <a:xfrm>
          <a:off x="38075756" y="1814516"/>
          <a:ext cx="2736778" cy="5232255"/>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76</xdr:col>
      <xdr:colOff>514782</xdr:colOff>
      <xdr:row>30</xdr:row>
      <xdr:rowOff>153702</xdr:rowOff>
    </xdr:from>
    <xdr:to>
      <xdr:col>81</xdr:col>
      <xdr:colOff>131268</xdr:colOff>
      <xdr:row>50</xdr:row>
      <xdr:rowOff>181842</xdr:rowOff>
    </xdr:to>
    <xdr:pic>
      <xdr:nvPicPr>
        <xdr:cNvPr id="2064" name="Picture 16" descr="статор и)"/>
        <xdr:cNvPicPr>
          <a:picLocks noChangeAspect="1" noChangeArrowheads="1"/>
        </xdr:cNvPicPr>
      </xdr:nvPicPr>
      <xdr:blipFill>
        <a:blip xmlns:r="http://schemas.openxmlformats.org/officeDocument/2006/relationships" r:embed="rId11" cstate="print"/>
        <a:srcRect/>
        <a:stretch>
          <a:fillRect/>
        </a:stretch>
      </xdr:blipFill>
      <xdr:spPr bwMode="auto">
        <a:xfrm>
          <a:off x="38257595" y="8273765"/>
          <a:ext cx="2712111" cy="5266890"/>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36</xdr:col>
      <xdr:colOff>86596</xdr:colOff>
      <xdr:row>30</xdr:row>
      <xdr:rowOff>225137</xdr:rowOff>
    </xdr:from>
    <xdr:to>
      <xdr:col>41</xdr:col>
      <xdr:colOff>487205</xdr:colOff>
      <xdr:row>51</xdr:row>
      <xdr:rowOff>69272</xdr:rowOff>
    </xdr:to>
    <xdr:pic>
      <xdr:nvPicPr>
        <xdr:cNvPr id="2068" name="Picture 20" descr="статор а) однослойная"/>
        <xdr:cNvPicPr>
          <a:picLocks noChangeAspect="1" noChangeArrowheads="1"/>
        </xdr:cNvPicPr>
      </xdr:nvPicPr>
      <xdr:blipFill>
        <a:blip xmlns:r="http://schemas.openxmlformats.org/officeDocument/2006/relationships" r:embed="rId12" cstate="print"/>
        <a:srcRect/>
        <a:stretch>
          <a:fillRect/>
        </a:stretch>
      </xdr:blipFill>
      <xdr:spPr bwMode="auto">
        <a:xfrm>
          <a:off x="9836732" y="8018319"/>
          <a:ext cx="3431291" cy="5299362"/>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36</xdr:col>
      <xdr:colOff>86596</xdr:colOff>
      <xdr:row>30</xdr:row>
      <xdr:rowOff>225137</xdr:rowOff>
    </xdr:from>
    <xdr:to>
      <xdr:col>41</xdr:col>
      <xdr:colOff>487205</xdr:colOff>
      <xdr:row>51</xdr:row>
      <xdr:rowOff>69272</xdr:rowOff>
    </xdr:to>
    <xdr:pic>
      <xdr:nvPicPr>
        <xdr:cNvPr id="98" name="Picture 20" descr="статор а) однослойная"/>
        <xdr:cNvPicPr>
          <a:picLocks noChangeAspect="1" noChangeArrowheads="1"/>
        </xdr:cNvPicPr>
      </xdr:nvPicPr>
      <xdr:blipFill>
        <a:blip xmlns:r="http://schemas.openxmlformats.org/officeDocument/2006/relationships" r:embed="rId12" cstate="print"/>
        <a:srcRect/>
        <a:stretch>
          <a:fillRect/>
        </a:stretch>
      </xdr:blipFill>
      <xdr:spPr bwMode="auto">
        <a:xfrm>
          <a:off x="9836732" y="8018319"/>
          <a:ext cx="3431291" cy="5299362"/>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36</xdr:col>
      <xdr:colOff>114735</xdr:colOff>
      <xdr:row>5</xdr:row>
      <xdr:rowOff>136380</xdr:rowOff>
    </xdr:from>
    <xdr:to>
      <xdr:col>41</xdr:col>
      <xdr:colOff>519545</xdr:colOff>
      <xdr:row>26</xdr:row>
      <xdr:rowOff>26193</xdr:rowOff>
    </xdr:to>
    <xdr:pic>
      <xdr:nvPicPr>
        <xdr:cNvPr id="99" name="Picture 1" descr="статор а)"/>
        <xdr:cNvPicPr>
          <a:picLocks noChangeAspect="1" noChangeArrowheads="1"/>
        </xdr:cNvPicPr>
      </xdr:nvPicPr>
      <xdr:blipFill>
        <a:blip xmlns:r="http://schemas.openxmlformats.org/officeDocument/2006/relationships" r:embed="rId3" cstate="print"/>
        <a:srcRect/>
        <a:stretch>
          <a:fillRect/>
        </a:stretch>
      </xdr:blipFill>
      <xdr:spPr bwMode="auto">
        <a:xfrm>
          <a:off x="9864871" y="1435244"/>
          <a:ext cx="3435492" cy="5345040"/>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36</xdr:col>
      <xdr:colOff>114735</xdr:colOff>
      <xdr:row>5</xdr:row>
      <xdr:rowOff>136380</xdr:rowOff>
    </xdr:from>
    <xdr:to>
      <xdr:col>41</xdr:col>
      <xdr:colOff>519545</xdr:colOff>
      <xdr:row>26</xdr:row>
      <xdr:rowOff>26193</xdr:rowOff>
    </xdr:to>
    <xdr:pic>
      <xdr:nvPicPr>
        <xdr:cNvPr id="100" name="Picture 1" descr="статор а)"/>
        <xdr:cNvPicPr>
          <a:picLocks noChangeAspect="1" noChangeArrowheads="1"/>
        </xdr:cNvPicPr>
      </xdr:nvPicPr>
      <xdr:blipFill>
        <a:blip xmlns:r="http://schemas.openxmlformats.org/officeDocument/2006/relationships" r:embed="rId3" cstate="print"/>
        <a:srcRect/>
        <a:stretch>
          <a:fillRect/>
        </a:stretch>
      </xdr:blipFill>
      <xdr:spPr bwMode="auto">
        <a:xfrm>
          <a:off x="9864871" y="1435244"/>
          <a:ext cx="3435492" cy="5345040"/>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36</xdr:col>
      <xdr:colOff>114735</xdr:colOff>
      <xdr:row>5</xdr:row>
      <xdr:rowOff>136380</xdr:rowOff>
    </xdr:from>
    <xdr:to>
      <xdr:col>41</xdr:col>
      <xdr:colOff>519545</xdr:colOff>
      <xdr:row>26</xdr:row>
      <xdr:rowOff>26193</xdr:rowOff>
    </xdr:to>
    <xdr:pic>
      <xdr:nvPicPr>
        <xdr:cNvPr id="101" name="Picture 1" descr="статор а)"/>
        <xdr:cNvPicPr>
          <a:picLocks noChangeAspect="1" noChangeArrowheads="1"/>
        </xdr:cNvPicPr>
      </xdr:nvPicPr>
      <xdr:blipFill>
        <a:blip xmlns:r="http://schemas.openxmlformats.org/officeDocument/2006/relationships" r:embed="rId3" cstate="print"/>
        <a:srcRect/>
        <a:stretch>
          <a:fillRect/>
        </a:stretch>
      </xdr:blipFill>
      <xdr:spPr bwMode="auto">
        <a:xfrm>
          <a:off x="9864871" y="1435244"/>
          <a:ext cx="3435492" cy="5345040"/>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32</xdr:col>
      <xdr:colOff>445003</xdr:colOff>
      <xdr:row>17</xdr:row>
      <xdr:rowOff>86590</xdr:rowOff>
    </xdr:from>
    <xdr:to>
      <xdr:col>34</xdr:col>
      <xdr:colOff>87530</xdr:colOff>
      <xdr:row>22</xdr:row>
      <xdr:rowOff>34638</xdr:rowOff>
    </xdr:to>
    <xdr:sp macro="" textlink="">
      <xdr:nvSpPr>
        <xdr:cNvPr id="116" name="Стрелка вправо 115"/>
        <xdr:cNvSpPr/>
      </xdr:nvSpPr>
      <xdr:spPr>
        <a:xfrm>
          <a:off x="6207628" y="4539528"/>
          <a:ext cx="2547652" cy="1257735"/>
        </a:xfrm>
        <a:prstGeom prst="rightArrow">
          <a:avLst/>
        </a:prstGeom>
        <a:solidFill>
          <a:srgbClr val="92D050"/>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ru-RU" sz="1100"/>
        </a:p>
      </xdr:txBody>
    </xdr:sp>
    <xdr:clientData/>
  </xdr:twoCellAnchor>
  <xdr:twoCellAnchor>
    <xdr:from>
      <xdr:col>32</xdr:col>
      <xdr:colOff>621216</xdr:colOff>
      <xdr:row>41</xdr:row>
      <xdr:rowOff>215178</xdr:rowOff>
    </xdr:from>
    <xdr:to>
      <xdr:col>34</xdr:col>
      <xdr:colOff>263743</xdr:colOff>
      <xdr:row>46</xdr:row>
      <xdr:rowOff>163226</xdr:rowOff>
    </xdr:to>
    <xdr:sp macro="" textlink="">
      <xdr:nvSpPr>
        <xdr:cNvPr id="117" name="Стрелка вправо 116"/>
        <xdr:cNvSpPr/>
      </xdr:nvSpPr>
      <xdr:spPr>
        <a:xfrm>
          <a:off x="6383841" y="10954616"/>
          <a:ext cx="2547652" cy="1257735"/>
        </a:xfrm>
        <a:prstGeom prst="rightArrow">
          <a:avLst/>
        </a:prstGeom>
        <a:solidFill>
          <a:srgbClr val="92D050"/>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ru-RU" sz="1100"/>
        </a:p>
      </xdr:txBody>
    </xdr:sp>
    <xdr:clientData/>
  </xdr:twoCellAnchor>
  <xdr:twoCellAnchor>
    <xdr:from>
      <xdr:col>32</xdr:col>
      <xdr:colOff>678366</xdr:colOff>
      <xdr:row>67</xdr:row>
      <xdr:rowOff>10390</xdr:rowOff>
    </xdr:from>
    <xdr:to>
      <xdr:col>34</xdr:col>
      <xdr:colOff>320893</xdr:colOff>
      <xdr:row>71</xdr:row>
      <xdr:rowOff>220375</xdr:rowOff>
    </xdr:to>
    <xdr:sp macro="" textlink="">
      <xdr:nvSpPr>
        <xdr:cNvPr id="119" name="Стрелка вправо 118"/>
        <xdr:cNvSpPr/>
      </xdr:nvSpPr>
      <xdr:spPr>
        <a:xfrm>
          <a:off x="6440991" y="17560203"/>
          <a:ext cx="2547652" cy="1257735"/>
        </a:xfrm>
        <a:prstGeom prst="rightArrow">
          <a:avLst/>
        </a:prstGeom>
        <a:solidFill>
          <a:srgbClr val="92D050"/>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ru-RU" sz="1100"/>
        </a:p>
      </xdr:txBody>
    </xdr:sp>
    <xdr:clientData/>
  </xdr:twoCellAnchor>
  <xdr:twoCellAnchor>
    <xdr:from>
      <xdr:col>49</xdr:col>
      <xdr:colOff>142874</xdr:colOff>
      <xdr:row>30</xdr:row>
      <xdr:rowOff>142875</xdr:rowOff>
    </xdr:from>
    <xdr:to>
      <xdr:col>54</xdr:col>
      <xdr:colOff>462608</xdr:colOff>
      <xdr:row>51</xdr:row>
      <xdr:rowOff>95250</xdr:rowOff>
    </xdr:to>
    <xdr:pic>
      <xdr:nvPicPr>
        <xdr:cNvPr id="2070" name="Picture 22" descr="статор в)однослойная"/>
        <xdr:cNvPicPr>
          <a:picLocks noChangeAspect="1" noChangeArrowheads="1"/>
        </xdr:cNvPicPr>
      </xdr:nvPicPr>
      <xdr:blipFill>
        <a:blip xmlns:r="http://schemas.openxmlformats.org/officeDocument/2006/relationships" r:embed="rId13" cstate="print"/>
        <a:srcRect/>
        <a:stretch>
          <a:fillRect/>
        </a:stretch>
      </xdr:blipFill>
      <xdr:spPr bwMode="auto">
        <a:xfrm>
          <a:off x="19026187" y="8001000"/>
          <a:ext cx="3415359" cy="5453063"/>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61</xdr:col>
      <xdr:colOff>604900</xdr:colOff>
      <xdr:row>54</xdr:row>
      <xdr:rowOff>257299</xdr:rowOff>
    </xdr:from>
    <xdr:to>
      <xdr:col>68</xdr:col>
      <xdr:colOff>0</xdr:colOff>
      <xdr:row>77</xdr:row>
      <xdr:rowOff>17318</xdr:rowOff>
    </xdr:to>
    <xdr:sp macro="" textlink="">
      <xdr:nvSpPr>
        <xdr:cNvPr id="55" name="Прямоугольник 54"/>
        <xdr:cNvSpPr/>
      </xdr:nvSpPr>
      <xdr:spPr>
        <a:xfrm>
          <a:off x="41891445" y="14285026"/>
          <a:ext cx="3638055" cy="5734792"/>
        </a:xfrm>
        <a:prstGeom prst="rect">
          <a:avLst/>
        </a:prstGeom>
        <a:solidFill>
          <a:srgbClr val="92D050">
            <a:alpha val="50000"/>
          </a:srgbClr>
        </a:solidFill>
        <a:ln w="44450">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ru-RU" sz="1100"/>
        </a:p>
      </xdr:txBody>
    </xdr:sp>
    <xdr:clientData/>
  </xdr:twoCellAnchor>
  <xdr:twoCellAnchor>
    <xdr:from>
      <xdr:col>36</xdr:col>
      <xdr:colOff>12060</xdr:colOff>
      <xdr:row>4</xdr:row>
      <xdr:rowOff>242454</xdr:rowOff>
    </xdr:from>
    <xdr:to>
      <xdr:col>42</xdr:col>
      <xdr:colOff>26285</xdr:colOff>
      <xdr:row>27</xdr:row>
      <xdr:rowOff>5875</xdr:rowOff>
    </xdr:to>
    <xdr:sp macro="" textlink="">
      <xdr:nvSpPr>
        <xdr:cNvPr id="56" name="Прямоугольник 55"/>
        <xdr:cNvSpPr/>
      </xdr:nvSpPr>
      <xdr:spPr>
        <a:xfrm>
          <a:off x="24518524" y="1276597"/>
          <a:ext cx="3688154" cy="5709742"/>
        </a:xfrm>
        <a:prstGeom prst="rect">
          <a:avLst/>
        </a:prstGeom>
        <a:solidFill>
          <a:srgbClr val="FF0000">
            <a:alpha val="50000"/>
          </a:srgbClr>
        </a:solidFill>
        <a:ln w="44450">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ru-RU" sz="1100"/>
        </a:p>
      </xdr:txBody>
    </xdr:sp>
    <xdr:clientData/>
  </xdr:twoCellAnchor>
  <xdr:twoCellAnchor>
    <xdr:from>
      <xdr:col>35</xdr:col>
      <xdr:colOff>586282</xdr:colOff>
      <xdr:row>30</xdr:row>
      <xdr:rowOff>3648</xdr:rowOff>
    </xdr:from>
    <xdr:to>
      <xdr:col>41</xdr:col>
      <xdr:colOff>600508</xdr:colOff>
      <xdr:row>52</xdr:row>
      <xdr:rowOff>25605</xdr:rowOff>
    </xdr:to>
    <xdr:sp macro="" textlink="">
      <xdr:nvSpPr>
        <xdr:cNvPr id="57" name="Прямоугольник 56"/>
        <xdr:cNvSpPr/>
      </xdr:nvSpPr>
      <xdr:spPr>
        <a:xfrm>
          <a:off x="27089595" y="7861773"/>
          <a:ext cx="3728976" cy="5784582"/>
        </a:xfrm>
        <a:prstGeom prst="rect">
          <a:avLst/>
        </a:prstGeom>
        <a:solidFill>
          <a:srgbClr val="FF0000">
            <a:alpha val="50000"/>
          </a:srgbClr>
        </a:solidFill>
        <a:ln w="44450">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ru-RU" sz="1100"/>
        </a:p>
      </xdr:txBody>
    </xdr:sp>
    <xdr:clientData/>
  </xdr:twoCellAnchor>
  <xdr:twoCellAnchor>
    <xdr:from>
      <xdr:col>48</xdr:col>
      <xdr:colOff>610773</xdr:colOff>
      <xdr:row>4</xdr:row>
      <xdr:rowOff>222043</xdr:rowOff>
    </xdr:from>
    <xdr:to>
      <xdr:col>55</xdr:col>
      <xdr:colOff>5873</xdr:colOff>
      <xdr:row>26</xdr:row>
      <xdr:rowOff>247402</xdr:rowOff>
    </xdr:to>
    <xdr:sp macro="" textlink="">
      <xdr:nvSpPr>
        <xdr:cNvPr id="59" name="Прямоугольник 58"/>
        <xdr:cNvSpPr/>
      </xdr:nvSpPr>
      <xdr:spPr>
        <a:xfrm>
          <a:off x="33390380" y="1256186"/>
          <a:ext cx="3681350" cy="5713145"/>
        </a:xfrm>
        <a:prstGeom prst="rect">
          <a:avLst/>
        </a:prstGeom>
        <a:solidFill>
          <a:srgbClr val="FF0000">
            <a:alpha val="50000"/>
          </a:srgbClr>
        </a:solidFill>
        <a:ln w="44450">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ru-RU" sz="1100"/>
        </a:p>
      </xdr:txBody>
    </xdr:sp>
    <xdr:clientData/>
  </xdr:twoCellAnchor>
  <xdr:twoCellAnchor>
    <xdr:from>
      <xdr:col>48</xdr:col>
      <xdr:colOff>568098</xdr:colOff>
      <xdr:row>29</xdr:row>
      <xdr:rowOff>224518</xdr:rowOff>
    </xdr:from>
    <xdr:to>
      <xdr:col>54</xdr:col>
      <xdr:colOff>582323</xdr:colOff>
      <xdr:row>51</xdr:row>
      <xdr:rowOff>249878</xdr:rowOff>
    </xdr:to>
    <xdr:sp macro="" textlink="">
      <xdr:nvSpPr>
        <xdr:cNvPr id="60" name="Прямоугольник 59"/>
        <xdr:cNvSpPr/>
      </xdr:nvSpPr>
      <xdr:spPr>
        <a:xfrm>
          <a:off x="33347705" y="7722054"/>
          <a:ext cx="3688154" cy="5713145"/>
        </a:xfrm>
        <a:prstGeom prst="rect">
          <a:avLst/>
        </a:prstGeom>
        <a:solidFill>
          <a:srgbClr val="FF0000">
            <a:alpha val="50000"/>
          </a:srgbClr>
        </a:solidFill>
        <a:ln w="44450">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ru-RU" sz="1100"/>
        </a:p>
      </xdr:txBody>
    </xdr:sp>
    <xdr:clientData/>
  </xdr:twoCellAnchor>
  <xdr:twoCellAnchor>
    <xdr:from>
      <xdr:col>35</xdr:col>
      <xdr:colOff>571500</xdr:colOff>
      <xdr:row>54</xdr:row>
      <xdr:rowOff>225137</xdr:rowOff>
    </xdr:from>
    <xdr:to>
      <xdr:col>41</xdr:col>
      <xdr:colOff>585725</xdr:colOff>
      <xdr:row>76</xdr:row>
      <xdr:rowOff>248331</xdr:rowOff>
    </xdr:to>
    <xdr:sp macro="" textlink="">
      <xdr:nvSpPr>
        <xdr:cNvPr id="61" name="Прямоугольник 60"/>
        <xdr:cNvSpPr/>
      </xdr:nvSpPr>
      <xdr:spPr>
        <a:xfrm>
          <a:off x="27074813" y="14369762"/>
          <a:ext cx="3728975" cy="5785819"/>
        </a:xfrm>
        <a:prstGeom prst="rect">
          <a:avLst/>
        </a:prstGeom>
        <a:solidFill>
          <a:srgbClr val="FF0000">
            <a:alpha val="50000"/>
          </a:srgbClr>
        </a:solidFill>
        <a:ln w="44450">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ru-RU" sz="1100"/>
        </a:p>
      </xdr:txBody>
    </xdr:sp>
    <xdr:clientData/>
  </xdr:twoCellAnchor>
  <xdr:twoCellAnchor>
    <xdr:from>
      <xdr:col>36</xdr:col>
      <xdr:colOff>523876</xdr:colOff>
      <xdr:row>115</xdr:row>
      <xdr:rowOff>142877</xdr:rowOff>
    </xdr:from>
    <xdr:to>
      <xdr:col>41</xdr:col>
      <xdr:colOff>196810</xdr:colOff>
      <xdr:row>136</xdr:row>
      <xdr:rowOff>23814</xdr:rowOff>
    </xdr:to>
    <xdr:pic>
      <xdr:nvPicPr>
        <xdr:cNvPr id="2" name="Picture 1" descr="ротор а)"/>
        <xdr:cNvPicPr>
          <a:picLocks noChangeAspect="1" noChangeArrowheads="1"/>
        </xdr:cNvPicPr>
      </xdr:nvPicPr>
      <xdr:blipFill>
        <a:blip xmlns:r="http://schemas.openxmlformats.org/officeDocument/2006/relationships" r:embed="rId14" cstate="print"/>
        <a:srcRect/>
        <a:stretch>
          <a:fillRect/>
        </a:stretch>
      </xdr:blipFill>
      <xdr:spPr bwMode="auto">
        <a:xfrm>
          <a:off x="25288876" y="30265690"/>
          <a:ext cx="2768559" cy="5381624"/>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36</xdr:col>
      <xdr:colOff>477981</xdr:colOff>
      <xdr:row>140</xdr:row>
      <xdr:rowOff>121229</xdr:rowOff>
    </xdr:from>
    <xdr:to>
      <xdr:col>40</xdr:col>
      <xdr:colOff>311726</xdr:colOff>
      <xdr:row>161</xdr:row>
      <xdr:rowOff>26844</xdr:rowOff>
    </xdr:to>
    <xdr:pic>
      <xdr:nvPicPr>
        <xdr:cNvPr id="4" name="Picture 2" descr="ротор б)"/>
        <xdr:cNvPicPr>
          <a:picLocks noChangeAspect="1" noChangeArrowheads="1"/>
        </xdr:cNvPicPr>
      </xdr:nvPicPr>
      <xdr:blipFill>
        <a:blip xmlns:r="http://schemas.openxmlformats.org/officeDocument/2006/relationships" r:embed="rId15" cstate="print"/>
        <a:srcRect/>
        <a:stretch>
          <a:fillRect/>
        </a:stretch>
      </xdr:blipFill>
      <xdr:spPr bwMode="auto">
        <a:xfrm>
          <a:off x="24775390" y="36489411"/>
          <a:ext cx="2258291" cy="5360842"/>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36</xdr:col>
      <xdr:colOff>450271</xdr:colOff>
      <xdr:row>165</xdr:row>
      <xdr:rowOff>86590</xdr:rowOff>
    </xdr:from>
    <xdr:to>
      <xdr:col>40</xdr:col>
      <xdr:colOff>198716</xdr:colOff>
      <xdr:row>186</xdr:row>
      <xdr:rowOff>51954</xdr:rowOff>
    </xdr:to>
    <xdr:pic>
      <xdr:nvPicPr>
        <xdr:cNvPr id="5" name="Picture 3" descr="ротор в)"/>
        <xdr:cNvPicPr>
          <a:picLocks noChangeAspect="1" noChangeArrowheads="1"/>
        </xdr:cNvPicPr>
      </xdr:nvPicPr>
      <xdr:blipFill>
        <a:blip xmlns:r="http://schemas.openxmlformats.org/officeDocument/2006/relationships" r:embed="rId16" cstate="print"/>
        <a:srcRect/>
        <a:stretch>
          <a:fillRect/>
        </a:stretch>
      </xdr:blipFill>
      <xdr:spPr bwMode="auto">
        <a:xfrm>
          <a:off x="24747680" y="42949090"/>
          <a:ext cx="2172991" cy="5420591"/>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49</xdr:col>
      <xdr:colOff>294409</xdr:colOff>
      <xdr:row>115</xdr:row>
      <xdr:rowOff>86593</xdr:rowOff>
    </xdr:from>
    <xdr:to>
      <xdr:col>53</xdr:col>
      <xdr:colOff>242456</xdr:colOff>
      <xdr:row>136</xdr:row>
      <xdr:rowOff>86499</xdr:rowOff>
    </xdr:to>
    <xdr:pic>
      <xdr:nvPicPr>
        <xdr:cNvPr id="6" name="Picture 4" descr="ротор г)"/>
        <xdr:cNvPicPr>
          <a:picLocks noChangeAspect="1" noChangeArrowheads="1"/>
        </xdr:cNvPicPr>
      </xdr:nvPicPr>
      <xdr:blipFill>
        <a:blip xmlns:r="http://schemas.openxmlformats.org/officeDocument/2006/relationships" r:embed="rId17" cstate="print"/>
        <a:srcRect/>
        <a:stretch>
          <a:fillRect/>
        </a:stretch>
      </xdr:blipFill>
      <xdr:spPr bwMode="auto">
        <a:xfrm>
          <a:off x="33406773" y="29960457"/>
          <a:ext cx="2372592" cy="5455133"/>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49</xdr:col>
      <xdr:colOff>363683</xdr:colOff>
      <xdr:row>140</xdr:row>
      <xdr:rowOff>121227</xdr:rowOff>
    </xdr:from>
    <xdr:to>
      <xdr:col>53</xdr:col>
      <xdr:colOff>189036</xdr:colOff>
      <xdr:row>161</xdr:row>
      <xdr:rowOff>86592</xdr:rowOff>
    </xdr:to>
    <xdr:pic>
      <xdr:nvPicPr>
        <xdr:cNvPr id="7" name="Picture 5" descr="ротор д)"/>
        <xdr:cNvPicPr>
          <a:picLocks noChangeAspect="1" noChangeArrowheads="1"/>
        </xdr:cNvPicPr>
      </xdr:nvPicPr>
      <xdr:blipFill>
        <a:blip xmlns:r="http://schemas.openxmlformats.org/officeDocument/2006/relationships" r:embed="rId18" cstate="print"/>
        <a:srcRect/>
        <a:stretch>
          <a:fillRect/>
        </a:stretch>
      </xdr:blipFill>
      <xdr:spPr bwMode="auto">
        <a:xfrm>
          <a:off x="33476047" y="36489409"/>
          <a:ext cx="2249898" cy="5420592"/>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49</xdr:col>
      <xdr:colOff>207817</xdr:colOff>
      <xdr:row>165</xdr:row>
      <xdr:rowOff>138546</xdr:rowOff>
    </xdr:from>
    <xdr:to>
      <xdr:col>54</xdr:col>
      <xdr:colOff>484909</xdr:colOff>
      <xdr:row>186</xdr:row>
      <xdr:rowOff>82300</xdr:rowOff>
    </xdr:to>
    <xdr:pic>
      <xdr:nvPicPr>
        <xdr:cNvPr id="2054" name="Picture 6" descr="ротор е)"/>
        <xdr:cNvPicPr>
          <a:picLocks noChangeAspect="1" noChangeArrowheads="1"/>
        </xdr:cNvPicPr>
      </xdr:nvPicPr>
      <xdr:blipFill>
        <a:blip xmlns:r="http://schemas.openxmlformats.org/officeDocument/2006/relationships" r:embed="rId19" cstate="print"/>
        <a:srcRect/>
        <a:stretch>
          <a:fillRect/>
        </a:stretch>
      </xdr:blipFill>
      <xdr:spPr bwMode="auto">
        <a:xfrm>
          <a:off x="33320181" y="43001046"/>
          <a:ext cx="3307773" cy="5398981"/>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62</xdr:col>
      <xdr:colOff>166687</xdr:colOff>
      <xdr:row>117</xdr:row>
      <xdr:rowOff>238126</xdr:rowOff>
    </xdr:from>
    <xdr:to>
      <xdr:col>67</xdr:col>
      <xdr:colOff>384167</xdr:colOff>
      <xdr:row>130</xdr:row>
      <xdr:rowOff>142877</xdr:rowOff>
    </xdr:to>
    <xdr:pic>
      <xdr:nvPicPr>
        <xdr:cNvPr id="2056" name="Picture 8" descr="ротор ж)"/>
        <xdr:cNvPicPr>
          <a:picLocks noChangeAspect="1" noChangeArrowheads="1"/>
        </xdr:cNvPicPr>
      </xdr:nvPicPr>
      <xdr:blipFill>
        <a:blip xmlns:r="http://schemas.openxmlformats.org/officeDocument/2006/relationships" r:embed="rId20" cstate="print"/>
        <a:srcRect/>
        <a:stretch>
          <a:fillRect/>
        </a:stretch>
      </xdr:blipFill>
      <xdr:spPr bwMode="auto">
        <a:xfrm>
          <a:off x="42862500" y="30884814"/>
          <a:ext cx="3313105" cy="3309938"/>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62</xdr:col>
      <xdr:colOff>261938</xdr:colOff>
      <xdr:row>141</xdr:row>
      <xdr:rowOff>190500</xdr:rowOff>
    </xdr:from>
    <xdr:to>
      <xdr:col>67</xdr:col>
      <xdr:colOff>438058</xdr:colOff>
      <xdr:row>153</xdr:row>
      <xdr:rowOff>142876</xdr:rowOff>
    </xdr:to>
    <xdr:pic>
      <xdr:nvPicPr>
        <xdr:cNvPr id="8" name="Picture 9" descr="ротор з)"/>
        <xdr:cNvPicPr>
          <a:picLocks noChangeAspect="1" noChangeArrowheads="1"/>
        </xdr:cNvPicPr>
      </xdr:nvPicPr>
      <xdr:blipFill>
        <a:blip xmlns:r="http://schemas.openxmlformats.org/officeDocument/2006/relationships" r:embed="rId21" cstate="print"/>
        <a:srcRect/>
        <a:stretch>
          <a:fillRect/>
        </a:stretch>
      </xdr:blipFill>
      <xdr:spPr bwMode="auto">
        <a:xfrm>
          <a:off x="42957751" y="37123688"/>
          <a:ext cx="3271745" cy="3095626"/>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62</xdr:col>
      <xdr:colOff>190500</xdr:colOff>
      <xdr:row>166</xdr:row>
      <xdr:rowOff>142875</xdr:rowOff>
    </xdr:from>
    <xdr:to>
      <xdr:col>67</xdr:col>
      <xdr:colOff>322169</xdr:colOff>
      <xdr:row>179</xdr:row>
      <xdr:rowOff>238124</xdr:rowOff>
    </xdr:to>
    <xdr:pic>
      <xdr:nvPicPr>
        <xdr:cNvPr id="9" name="Picture 11" descr="ротор и)"/>
        <xdr:cNvPicPr>
          <a:picLocks noChangeAspect="1" noChangeArrowheads="1"/>
        </xdr:cNvPicPr>
      </xdr:nvPicPr>
      <xdr:blipFill>
        <a:blip xmlns:r="http://schemas.openxmlformats.org/officeDocument/2006/relationships" r:embed="rId22" cstate="print"/>
        <a:srcRect/>
        <a:stretch>
          <a:fillRect/>
        </a:stretch>
      </xdr:blipFill>
      <xdr:spPr bwMode="auto">
        <a:xfrm>
          <a:off x="42886313" y="43624500"/>
          <a:ext cx="3227294" cy="3500437"/>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32</xdr:col>
      <xdr:colOff>368803</xdr:colOff>
      <xdr:row>126</xdr:row>
      <xdr:rowOff>48490</xdr:rowOff>
    </xdr:from>
    <xdr:to>
      <xdr:col>33</xdr:col>
      <xdr:colOff>592355</xdr:colOff>
      <xdr:row>130</xdr:row>
      <xdr:rowOff>263238</xdr:rowOff>
    </xdr:to>
    <xdr:sp macro="" textlink="">
      <xdr:nvSpPr>
        <xdr:cNvPr id="110" name="Стрелка вправо 109"/>
        <xdr:cNvSpPr/>
      </xdr:nvSpPr>
      <xdr:spPr>
        <a:xfrm>
          <a:off x="20676103" y="33652690"/>
          <a:ext cx="2509552" cy="1281548"/>
        </a:xfrm>
        <a:prstGeom prst="rightArrow">
          <a:avLst/>
        </a:prstGeom>
        <a:solidFill>
          <a:srgbClr val="92D050"/>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ru-RU" sz="1100"/>
        </a:p>
      </xdr:txBody>
    </xdr:sp>
    <xdr:clientData/>
  </xdr:twoCellAnchor>
  <xdr:twoCellAnchor>
    <xdr:from>
      <xdr:col>32</xdr:col>
      <xdr:colOff>102103</xdr:colOff>
      <xdr:row>152</xdr:row>
      <xdr:rowOff>162790</xdr:rowOff>
    </xdr:from>
    <xdr:to>
      <xdr:col>33</xdr:col>
      <xdr:colOff>354230</xdr:colOff>
      <xdr:row>157</xdr:row>
      <xdr:rowOff>101313</xdr:rowOff>
    </xdr:to>
    <xdr:sp macro="" textlink="">
      <xdr:nvSpPr>
        <xdr:cNvPr id="111" name="Стрелка вправо 110"/>
        <xdr:cNvSpPr/>
      </xdr:nvSpPr>
      <xdr:spPr>
        <a:xfrm>
          <a:off x="20409403" y="40701190"/>
          <a:ext cx="2538127" cy="1272023"/>
        </a:xfrm>
        <a:prstGeom prst="rightArrow">
          <a:avLst/>
        </a:prstGeom>
        <a:solidFill>
          <a:srgbClr val="92D050"/>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ru-RU" sz="1100"/>
        </a:p>
      </xdr:txBody>
    </xdr:sp>
    <xdr:clientData/>
  </xdr:twoCellAnchor>
  <xdr:twoCellAnchor>
    <xdr:from>
      <xdr:col>32</xdr:col>
      <xdr:colOff>219075</xdr:colOff>
      <xdr:row>176</xdr:row>
      <xdr:rowOff>85725</xdr:rowOff>
    </xdr:from>
    <xdr:to>
      <xdr:col>33</xdr:col>
      <xdr:colOff>480727</xdr:colOff>
      <xdr:row>181</xdr:row>
      <xdr:rowOff>38535</xdr:rowOff>
    </xdr:to>
    <xdr:sp macro="" textlink="">
      <xdr:nvSpPr>
        <xdr:cNvPr id="112" name="Стрелка вправо 111"/>
        <xdr:cNvSpPr/>
      </xdr:nvSpPr>
      <xdr:spPr>
        <a:xfrm>
          <a:off x="20840700" y="46186725"/>
          <a:ext cx="2547652" cy="1262498"/>
        </a:xfrm>
        <a:prstGeom prst="rightArrow">
          <a:avLst/>
        </a:prstGeom>
        <a:solidFill>
          <a:srgbClr val="92D050"/>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ru-RU" sz="1100"/>
        </a:p>
      </xdr:txBody>
    </xdr:sp>
    <xdr:clientData/>
  </xdr:twoCellAnchor>
  <xdr:twoCellAnchor editAs="oneCell">
    <xdr:from>
      <xdr:col>70</xdr:col>
      <xdr:colOff>57582</xdr:colOff>
      <xdr:row>54</xdr:row>
      <xdr:rowOff>12554</xdr:rowOff>
    </xdr:from>
    <xdr:to>
      <xdr:col>83</xdr:col>
      <xdr:colOff>214313</xdr:colOff>
      <xdr:row>110</xdr:row>
      <xdr:rowOff>141086</xdr:rowOff>
    </xdr:to>
    <xdr:pic>
      <xdr:nvPicPr>
        <xdr:cNvPr id="10" name="Picture 1"/>
        <xdr:cNvPicPr>
          <a:picLocks noChangeAspect="1" noChangeArrowheads="1"/>
        </xdr:cNvPicPr>
      </xdr:nvPicPr>
      <xdr:blipFill>
        <a:blip xmlns:r="http://schemas.openxmlformats.org/officeDocument/2006/relationships" r:embed="rId23" cstate="print"/>
        <a:srcRect/>
        <a:stretch>
          <a:fillRect/>
        </a:stretch>
      </xdr:blipFill>
      <xdr:spPr bwMode="auto">
        <a:xfrm>
          <a:off x="50082882" y="14414354"/>
          <a:ext cx="9338831" cy="15063732"/>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49</xdr:col>
      <xdr:colOff>21647</xdr:colOff>
      <xdr:row>114</xdr:row>
      <xdr:rowOff>227302</xdr:rowOff>
    </xdr:from>
    <xdr:to>
      <xdr:col>55</xdr:col>
      <xdr:colOff>35872</xdr:colOff>
      <xdr:row>136</xdr:row>
      <xdr:rowOff>250496</xdr:rowOff>
    </xdr:to>
    <xdr:sp macro="" textlink="">
      <xdr:nvSpPr>
        <xdr:cNvPr id="48" name="Прямоугольник 47"/>
        <xdr:cNvSpPr/>
      </xdr:nvSpPr>
      <xdr:spPr>
        <a:xfrm>
          <a:off x="36335710" y="30088177"/>
          <a:ext cx="3728975" cy="5785819"/>
        </a:xfrm>
        <a:prstGeom prst="rect">
          <a:avLst/>
        </a:prstGeom>
        <a:solidFill>
          <a:srgbClr val="FF0000">
            <a:alpha val="50000"/>
          </a:srgbClr>
        </a:solidFill>
        <a:ln w="44450">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ru-RU" sz="1100"/>
        </a:p>
      </xdr:txBody>
    </xdr:sp>
    <xdr:clientData/>
  </xdr:twoCellAnchor>
  <xdr:twoCellAnchor>
    <xdr:from>
      <xdr:col>36</xdr:col>
      <xdr:colOff>7359</xdr:colOff>
      <xdr:row>139</xdr:row>
      <xdr:rowOff>260639</xdr:rowOff>
    </xdr:from>
    <xdr:to>
      <xdr:col>42</xdr:col>
      <xdr:colOff>21584</xdr:colOff>
      <xdr:row>162</xdr:row>
      <xdr:rowOff>21896</xdr:rowOff>
    </xdr:to>
    <xdr:sp macro="" textlink="">
      <xdr:nvSpPr>
        <xdr:cNvPr id="49" name="Прямоугольник 48"/>
        <xdr:cNvSpPr/>
      </xdr:nvSpPr>
      <xdr:spPr>
        <a:xfrm>
          <a:off x="27129797" y="36669952"/>
          <a:ext cx="3728975" cy="5785819"/>
        </a:xfrm>
        <a:prstGeom prst="rect">
          <a:avLst/>
        </a:prstGeom>
        <a:solidFill>
          <a:srgbClr val="FF0000">
            <a:alpha val="50000"/>
          </a:srgbClr>
        </a:solidFill>
        <a:ln w="44450">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ru-RU" sz="1100"/>
        </a:p>
      </xdr:txBody>
    </xdr:sp>
    <xdr:clientData/>
  </xdr:twoCellAnchor>
  <xdr:twoCellAnchor>
    <xdr:from>
      <xdr:col>49</xdr:col>
      <xdr:colOff>16884</xdr:colOff>
      <xdr:row>140</xdr:row>
      <xdr:rowOff>55852</xdr:rowOff>
    </xdr:from>
    <xdr:to>
      <xdr:col>55</xdr:col>
      <xdr:colOff>31109</xdr:colOff>
      <xdr:row>162</xdr:row>
      <xdr:rowOff>79046</xdr:rowOff>
    </xdr:to>
    <xdr:sp macro="" textlink="">
      <xdr:nvSpPr>
        <xdr:cNvPr id="50" name="Прямоугольник 49"/>
        <xdr:cNvSpPr/>
      </xdr:nvSpPr>
      <xdr:spPr>
        <a:xfrm>
          <a:off x="36330947" y="36727102"/>
          <a:ext cx="3728975" cy="5785819"/>
        </a:xfrm>
        <a:prstGeom prst="rect">
          <a:avLst/>
        </a:prstGeom>
        <a:solidFill>
          <a:srgbClr val="FF0000">
            <a:alpha val="50000"/>
          </a:srgbClr>
        </a:solidFill>
        <a:ln w="44450">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ru-RU" sz="1100"/>
        </a:p>
      </xdr:txBody>
    </xdr:sp>
    <xdr:clientData/>
  </xdr:twoCellAnchor>
  <xdr:twoCellAnchor>
    <xdr:from>
      <xdr:col>36</xdr:col>
      <xdr:colOff>3996</xdr:colOff>
      <xdr:row>164</xdr:row>
      <xdr:rowOff>254477</xdr:rowOff>
    </xdr:from>
    <xdr:to>
      <xdr:col>42</xdr:col>
      <xdr:colOff>18221</xdr:colOff>
      <xdr:row>186</xdr:row>
      <xdr:rowOff>244053</xdr:rowOff>
    </xdr:to>
    <xdr:sp macro="" textlink="">
      <xdr:nvSpPr>
        <xdr:cNvPr id="51" name="Прямоугольник 50"/>
        <xdr:cNvSpPr/>
      </xdr:nvSpPr>
      <xdr:spPr>
        <a:xfrm>
          <a:off x="26685202" y="42523065"/>
          <a:ext cx="3644931" cy="5895076"/>
        </a:xfrm>
        <a:prstGeom prst="rect">
          <a:avLst/>
        </a:prstGeom>
        <a:solidFill>
          <a:srgbClr val="FF0000">
            <a:alpha val="50000"/>
          </a:srgbClr>
        </a:solidFill>
        <a:ln w="44450">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ru-RU" sz="1100"/>
        </a:p>
      </xdr:txBody>
    </xdr:sp>
    <xdr:clientData/>
  </xdr:twoCellAnchor>
  <xdr:twoCellAnchor>
    <xdr:from>
      <xdr:col>49</xdr:col>
      <xdr:colOff>12120</xdr:colOff>
      <xdr:row>164</xdr:row>
      <xdr:rowOff>241590</xdr:rowOff>
    </xdr:from>
    <xdr:to>
      <xdr:col>55</xdr:col>
      <xdr:colOff>26345</xdr:colOff>
      <xdr:row>187</xdr:row>
      <xdr:rowOff>2846</xdr:rowOff>
    </xdr:to>
    <xdr:sp macro="" textlink="">
      <xdr:nvSpPr>
        <xdr:cNvPr id="52" name="Прямоугольник 51"/>
        <xdr:cNvSpPr/>
      </xdr:nvSpPr>
      <xdr:spPr>
        <a:xfrm>
          <a:off x="36326183" y="43199340"/>
          <a:ext cx="3728975" cy="5785819"/>
        </a:xfrm>
        <a:prstGeom prst="rect">
          <a:avLst/>
        </a:prstGeom>
        <a:solidFill>
          <a:srgbClr val="FF0000">
            <a:alpha val="50000"/>
          </a:srgbClr>
        </a:solidFill>
        <a:ln w="44450">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ru-RU" sz="1100"/>
        </a:p>
      </xdr:txBody>
    </xdr:sp>
    <xdr:clientData/>
  </xdr:twoCellAnchor>
  <xdr:twoCellAnchor>
    <xdr:from>
      <xdr:col>61</xdr:col>
      <xdr:colOff>593145</xdr:colOff>
      <xdr:row>114</xdr:row>
      <xdr:rowOff>227303</xdr:rowOff>
    </xdr:from>
    <xdr:to>
      <xdr:col>67</xdr:col>
      <xdr:colOff>607370</xdr:colOff>
      <xdr:row>136</xdr:row>
      <xdr:rowOff>250497</xdr:rowOff>
    </xdr:to>
    <xdr:sp macro="" textlink="">
      <xdr:nvSpPr>
        <xdr:cNvPr id="53" name="Прямоугольник 52"/>
        <xdr:cNvSpPr/>
      </xdr:nvSpPr>
      <xdr:spPr>
        <a:xfrm>
          <a:off x="45741645" y="30088178"/>
          <a:ext cx="3728975" cy="5785819"/>
        </a:xfrm>
        <a:prstGeom prst="rect">
          <a:avLst/>
        </a:prstGeom>
        <a:solidFill>
          <a:srgbClr val="FF0000">
            <a:alpha val="50000"/>
          </a:srgbClr>
        </a:solidFill>
        <a:ln w="44450">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ru-RU" sz="1100"/>
        </a:p>
      </xdr:txBody>
    </xdr:sp>
    <xdr:clientData/>
  </xdr:twoCellAnchor>
  <xdr:twoCellAnchor>
    <xdr:from>
      <xdr:col>62</xdr:col>
      <xdr:colOff>31170</xdr:colOff>
      <xdr:row>140</xdr:row>
      <xdr:rowOff>22516</xdr:rowOff>
    </xdr:from>
    <xdr:to>
      <xdr:col>68</xdr:col>
      <xdr:colOff>45395</xdr:colOff>
      <xdr:row>162</xdr:row>
      <xdr:rowOff>45710</xdr:rowOff>
    </xdr:to>
    <xdr:sp macro="" textlink="">
      <xdr:nvSpPr>
        <xdr:cNvPr id="54" name="Прямоугольник 53"/>
        <xdr:cNvSpPr/>
      </xdr:nvSpPr>
      <xdr:spPr>
        <a:xfrm>
          <a:off x="45798795" y="36693766"/>
          <a:ext cx="3728975" cy="5785819"/>
        </a:xfrm>
        <a:prstGeom prst="rect">
          <a:avLst/>
        </a:prstGeom>
        <a:solidFill>
          <a:srgbClr val="FF0000">
            <a:alpha val="50000"/>
          </a:srgbClr>
        </a:solidFill>
        <a:ln w="44450">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ru-RU" sz="1100"/>
        </a:p>
      </xdr:txBody>
    </xdr:sp>
    <xdr:clientData/>
  </xdr:twoCellAnchor>
  <xdr:twoCellAnchor>
    <xdr:from>
      <xdr:col>62</xdr:col>
      <xdr:colOff>16882</xdr:colOff>
      <xdr:row>165</xdr:row>
      <xdr:rowOff>8228</xdr:rowOff>
    </xdr:from>
    <xdr:to>
      <xdr:col>68</xdr:col>
      <xdr:colOff>31107</xdr:colOff>
      <xdr:row>187</xdr:row>
      <xdr:rowOff>31422</xdr:rowOff>
    </xdr:to>
    <xdr:sp macro="" textlink="">
      <xdr:nvSpPr>
        <xdr:cNvPr id="58" name="Прямоугольник 57"/>
        <xdr:cNvSpPr/>
      </xdr:nvSpPr>
      <xdr:spPr>
        <a:xfrm>
          <a:off x="45784507" y="43227916"/>
          <a:ext cx="3728975" cy="5785819"/>
        </a:xfrm>
        <a:prstGeom prst="rect">
          <a:avLst/>
        </a:prstGeom>
        <a:solidFill>
          <a:srgbClr val="FF0000">
            <a:alpha val="50000"/>
          </a:srgbClr>
        </a:solidFill>
        <a:ln w="44450">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ru-RU" sz="1100"/>
        </a:p>
      </xdr:txBody>
    </xdr:sp>
    <xdr:clientData/>
  </xdr:twoCellAnchor>
  <xdr:twoCellAnchor>
    <xdr:from>
      <xdr:col>36</xdr:col>
      <xdr:colOff>23009</xdr:colOff>
      <xdr:row>115</xdr:row>
      <xdr:rowOff>2289</xdr:rowOff>
    </xdr:from>
    <xdr:to>
      <xdr:col>42</xdr:col>
      <xdr:colOff>46759</xdr:colOff>
      <xdr:row>137</xdr:row>
      <xdr:rowOff>29008</xdr:rowOff>
    </xdr:to>
    <xdr:sp macro="" textlink="">
      <xdr:nvSpPr>
        <xdr:cNvPr id="69" name="Прямоугольник 68"/>
        <xdr:cNvSpPr/>
      </xdr:nvSpPr>
      <xdr:spPr>
        <a:xfrm>
          <a:off x="26727645" y="29876153"/>
          <a:ext cx="3660569" cy="5741719"/>
        </a:xfrm>
        <a:prstGeom prst="rect">
          <a:avLst/>
        </a:prstGeom>
        <a:solidFill>
          <a:srgbClr val="92D050">
            <a:alpha val="50000"/>
          </a:srgbClr>
        </a:solidFill>
        <a:ln w="44450">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ru-RU" sz="1100"/>
        </a:p>
      </xdr:txBody>
    </xdr:sp>
    <xdr:clientData/>
  </xdr:twoCellAnchor>
  <xdr:twoCellAnchor>
    <xdr:from>
      <xdr:col>49</xdr:col>
      <xdr:colOff>10205</xdr:colOff>
      <xdr:row>55</xdr:row>
      <xdr:rowOff>30616</xdr:rowOff>
    </xdr:from>
    <xdr:to>
      <xdr:col>55</xdr:col>
      <xdr:colOff>24430</xdr:colOff>
      <xdr:row>77</xdr:row>
      <xdr:rowOff>55976</xdr:rowOff>
    </xdr:to>
    <xdr:sp macro="" textlink="">
      <xdr:nvSpPr>
        <xdr:cNvPr id="70" name="Прямоугольник 69"/>
        <xdr:cNvSpPr/>
      </xdr:nvSpPr>
      <xdr:spPr>
        <a:xfrm>
          <a:off x="36324268" y="14437179"/>
          <a:ext cx="3728975" cy="5787985"/>
        </a:xfrm>
        <a:prstGeom prst="rect">
          <a:avLst/>
        </a:prstGeom>
        <a:solidFill>
          <a:srgbClr val="FF0000">
            <a:alpha val="50000"/>
          </a:srgbClr>
        </a:solidFill>
        <a:ln w="44450">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ru-RU" sz="1100"/>
        </a:p>
      </xdr:txBody>
    </xdr:sp>
    <xdr:clientData/>
  </xdr:twoCellAnchor>
  <xdr:twoCellAnchor>
    <xdr:from>
      <xdr:col>62</xdr:col>
      <xdr:colOff>34018</xdr:colOff>
      <xdr:row>30</xdr:row>
      <xdr:rowOff>6804</xdr:rowOff>
    </xdr:from>
    <xdr:to>
      <xdr:col>68</xdr:col>
      <xdr:colOff>48243</xdr:colOff>
      <xdr:row>52</xdr:row>
      <xdr:rowOff>32164</xdr:rowOff>
    </xdr:to>
    <xdr:sp macro="" textlink="">
      <xdr:nvSpPr>
        <xdr:cNvPr id="71" name="Прямоугольник 70"/>
        <xdr:cNvSpPr/>
      </xdr:nvSpPr>
      <xdr:spPr>
        <a:xfrm>
          <a:off x="45801643" y="7864929"/>
          <a:ext cx="3728975" cy="5787985"/>
        </a:xfrm>
        <a:prstGeom prst="rect">
          <a:avLst/>
        </a:prstGeom>
        <a:solidFill>
          <a:srgbClr val="FF0000">
            <a:alpha val="50000"/>
          </a:srgbClr>
        </a:solidFill>
        <a:ln w="44450">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ru-RU" sz="1100"/>
        </a:p>
      </xdr:txBody>
    </xdr:sp>
    <xdr:clientData/>
  </xdr:twoCellAnchor>
  <xdr:twoCellAnchor>
    <xdr:from>
      <xdr:col>61</xdr:col>
      <xdr:colOff>615044</xdr:colOff>
      <xdr:row>4</xdr:row>
      <xdr:rowOff>230642</xdr:rowOff>
    </xdr:from>
    <xdr:to>
      <xdr:col>68</xdr:col>
      <xdr:colOff>10144</xdr:colOff>
      <xdr:row>26</xdr:row>
      <xdr:rowOff>256002</xdr:rowOff>
    </xdr:to>
    <xdr:sp macro="" textlink="">
      <xdr:nvSpPr>
        <xdr:cNvPr id="72" name="Прямоугольник 71"/>
        <xdr:cNvSpPr/>
      </xdr:nvSpPr>
      <xdr:spPr>
        <a:xfrm>
          <a:off x="45763544" y="1278392"/>
          <a:ext cx="3728975" cy="5787985"/>
        </a:xfrm>
        <a:prstGeom prst="rect">
          <a:avLst/>
        </a:prstGeom>
        <a:solidFill>
          <a:srgbClr val="FF0000">
            <a:alpha val="50000"/>
          </a:srgbClr>
        </a:solidFill>
        <a:ln w="44450">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ru-RU" sz="1100"/>
        </a:p>
      </xdr:txBody>
    </xdr:sp>
    <xdr:clientData/>
  </xdr:twoCellAnchor>
  <xdr:twoCellAnchor>
    <xdr:from>
      <xdr:col>76</xdr:col>
      <xdr:colOff>43543</xdr:colOff>
      <xdr:row>30</xdr:row>
      <xdr:rowOff>16329</xdr:rowOff>
    </xdr:from>
    <xdr:to>
      <xdr:col>82</xdr:col>
      <xdr:colOff>57768</xdr:colOff>
      <xdr:row>52</xdr:row>
      <xdr:rowOff>41689</xdr:rowOff>
    </xdr:to>
    <xdr:sp macro="" textlink="">
      <xdr:nvSpPr>
        <xdr:cNvPr id="73" name="Прямоугольник 72"/>
        <xdr:cNvSpPr/>
      </xdr:nvSpPr>
      <xdr:spPr>
        <a:xfrm>
          <a:off x="55717168" y="7874454"/>
          <a:ext cx="3728975" cy="5787985"/>
        </a:xfrm>
        <a:prstGeom prst="rect">
          <a:avLst/>
        </a:prstGeom>
        <a:solidFill>
          <a:srgbClr val="FF0000">
            <a:alpha val="50000"/>
          </a:srgbClr>
        </a:solidFill>
        <a:ln w="44450">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ru-RU" sz="1100"/>
        </a:p>
      </xdr:txBody>
    </xdr:sp>
    <xdr:clientData/>
  </xdr:twoCellAnchor>
  <xdr:twoCellAnchor>
    <xdr:from>
      <xdr:col>75</xdr:col>
      <xdr:colOff>595313</xdr:colOff>
      <xdr:row>5</xdr:row>
      <xdr:rowOff>214312</xdr:rowOff>
    </xdr:from>
    <xdr:to>
      <xdr:col>81</xdr:col>
      <xdr:colOff>609538</xdr:colOff>
      <xdr:row>27</xdr:row>
      <xdr:rowOff>239672</xdr:rowOff>
    </xdr:to>
    <xdr:sp macro="" textlink="">
      <xdr:nvSpPr>
        <xdr:cNvPr id="74" name="Прямоугольник 73"/>
        <xdr:cNvSpPr/>
      </xdr:nvSpPr>
      <xdr:spPr>
        <a:xfrm>
          <a:off x="55649813" y="1524000"/>
          <a:ext cx="3728975" cy="5787985"/>
        </a:xfrm>
        <a:prstGeom prst="rect">
          <a:avLst/>
        </a:prstGeom>
        <a:solidFill>
          <a:srgbClr val="FF0000">
            <a:alpha val="50000"/>
          </a:srgbClr>
        </a:solidFill>
        <a:ln w="44450">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ru-RU"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78441</xdr:colOff>
      <xdr:row>21</xdr:row>
      <xdr:rowOff>67234</xdr:rowOff>
    </xdr:from>
    <xdr:to>
      <xdr:col>8</xdr:col>
      <xdr:colOff>559119</xdr:colOff>
      <xdr:row>33</xdr:row>
      <xdr:rowOff>768678</xdr:rowOff>
    </xdr:to>
    <xdr:pic>
      <xdr:nvPicPr>
        <xdr:cNvPr id="2" name="Picture 306"/>
        <xdr:cNvPicPr>
          <a:picLocks noChangeAspect="1" noChangeArrowheads="1"/>
        </xdr:cNvPicPr>
      </xdr:nvPicPr>
      <xdr:blipFill>
        <a:blip xmlns:r="http://schemas.openxmlformats.org/officeDocument/2006/relationships" r:embed="rId1" cstate="print"/>
        <a:srcRect/>
        <a:stretch>
          <a:fillRect/>
        </a:stretch>
      </xdr:blipFill>
      <xdr:spPr bwMode="auto">
        <a:xfrm>
          <a:off x="683559" y="4997822"/>
          <a:ext cx="5803472" cy="7839591"/>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mc:AlternateContent xmlns:mc="http://schemas.openxmlformats.org/markup-compatibility/2006">
    <mc:Choice xmlns:a14="http://schemas.microsoft.com/office/drawing/2010/main" Requires="a14">
      <xdr:twoCellAnchor editAs="oneCell">
        <xdr:from>
          <xdr:col>1</xdr:col>
          <xdr:colOff>142875</xdr:colOff>
          <xdr:row>10</xdr:row>
          <xdr:rowOff>133350</xdr:rowOff>
        </xdr:from>
        <xdr:to>
          <xdr:col>1</xdr:col>
          <xdr:colOff>552450</xdr:colOff>
          <xdr:row>10</xdr:row>
          <xdr:rowOff>485775</xdr:rowOff>
        </xdr:to>
        <xdr:sp macro="" textlink="">
          <xdr:nvSpPr>
            <xdr:cNvPr id="2049" name="Object 1" hidden="1">
              <a:extLst>
                <a:ext uri="{63B3BB69-23CF-44E3-9099-C40C66FF867C}">
                  <a14:compatExt spid="_x0000_s20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85725</xdr:colOff>
          <xdr:row>10</xdr:row>
          <xdr:rowOff>114300</xdr:rowOff>
        </xdr:from>
        <xdr:to>
          <xdr:col>2</xdr:col>
          <xdr:colOff>533400</xdr:colOff>
          <xdr:row>10</xdr:row>
          <xdr:rowOff>466725</xdr:rowOff>
        </xdr:to>
        <xdr:sp macro="" textlink="">
          <xdr:nvSpPr>
            <xdr:cNvPr id="2050" name="Object 2" hidden="1">
              <a:extLst>
                <a:ext uri="{63B3BB69-23CF-44E3-9099-C40C66FF867C}">
                  <a14:compatExt spid="_x0000_s20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76200</xdr:colOff>
          <xdr:row>10</xdr:row>
          <xdr:rowOff>133350</xdr:rowOff>
        </xdr:from>
        <xdr:to>
          <xdr:col>3</xdr:col>
          <xdr:colOff>447675</xdr:colOff>
          <xdr:row>10</xdr:row>
          <xdr:rowOff>485775</xdr:rowOff>
        </xdr:to>
        <xdr:sp macro="" textlink="">
          <xdr:nvSpPr>
            <xdr:cNvPr id="2051" name="Object 3" hidden="1">
              <a:extLst>
                <a:ext uri="{63B3BB69-23CF-44E3-9099-C40C66FF867C}">
                  <a14:compatExt spid="_x0000_s20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123825</xdr:colOff>
          <xdr:row>10</xdr:row>
          <xdr:rowOff>161925</xdr:rowOff>
        </xdr:from>
        <xdr:to>
          <xdr:col>4</xdr:col>
          <xdr:colOff>495300</xdr:colOff>
          <xdr:row>10</xdr:row>
          <xdr:rowOff>504825</xdr:rowOff>
        </xdr:to>
        <xdr:sp macro="" textlink="">
          <xdr:nvSpPr>
            <xdr:cNvPr id="2052" name="Object 4" hidden="1">
              <a:extLst>
                <a:ext uri="{63B3BB69-23CF-44E3-9099-C40C66FF867C}">
                  <a14:compatExt spid="_x0000_s20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142875</xdr:colOff>
          <xdr:row>10</xdr:row>
          <xdr:rowOff>57150</xdr:rowOff>
        </xdr:from>
        <xdr:to>
          <xdr:col>5</xdr:col>
          <xdr:colOff>971550</xdr:colOff>
          <xdr:row>10</xdr:row>
          <xdr:rowOff>619125</xdr:rowOff>
        </xdr:to>
        <xdr:sp macro="" textlink="">
          <xdr:nvSpPr>
            <xdr:cNvPr id="2054" name="Object 6" hidden="1">
              <a:extLst>
                <a:ext uri="{63B3BB69-23CF-44E3-9099-C40C66FF867C}">
                  <a14:compatExt spid="_x0000_s20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142875</xdr:colOff>
          <xdr:row>10</xdr:row>
          <xdr:rowOff>95250</xdr:rowOff>
        </xdr:from>
        <xdr:to>
          <xdr:col>6</xdr:col>
          <xdr:colOff>476250</xdr:colOff>
          <xdr:row>10</xdr:row>
          <xdr:rowOff>447675</xdr:rowOff>
        </xdr:to>
        <xdr:sp macro="" textlink="">
          <xdr:nvSpPr>
            <xdr:cNvPr id="2055" name="Object 7" hidden="1">
              <a:extLst>
                <a:ext uri="{63B3BB69-23CF-44E3-9099-C40C66FF867C}">
                  <a14:compatExt spid="_x0000_s20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38100</xdr:colOff>
          <xdr:row>10</xdr:row>
          <xdr:rowOff>104775</xdr:rowOff>
        </xdr:from>
        <xdr:to>
          <xdr:col>7</xdr:col>
          <xdr:colOff>857250</xdr:colOff>
          <xdr:row>10</xdr:row>
          <xdr:rowOff>476250</xdr:rowOff>
        </xdr:to>
        <xdr:sp macro="" textlink="">
          <xdr:nvSpPr>
            <xdr:cNvPr id="2056" name="Object 8" hidden="1">
              <a:extLst>
                <a:ext uri="{63B3BB69-23CF-44E3-9099-C40C66FF867C}">
                  <a14:compatExt spid="_x0000_s20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171450</xdr:colOff>
          <xdr:row>14</xdr:row>
          <xdr:rowOff>47625</xdr:rowOff>
        </xdr:from>
        <xdr:to>
          <xdr:col>1</xdr:col>
          <xdr:colOff>390525</xdr:colOff>
          <xdr:row>14</xdr:row>
          <xdr:rowOff>409575</xdr:rowOff>
        </xdr:to>
        <xdr:sp macro="" textlink="">
          <xdr:nvSpPr>
            <xdr:cNvPr id="2057" name="Object 9" hidden="1">
              <a:extLst>
                <a:ext uri="{63B3BB69-23CF-44E3-9099-C40C66FF867C}">
                  <a14:compatExt spid="_x0000_s20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57150</xdr:colOff>
          <xdr:row>14</xdr:row>
          <xdr:rowOff>38100</xdr:rowOff>
        </xdr:from>
        <xdr:to>
          <xdr:col>2</xdr:col>
          <xdr:colOff>304800</xdr:colOff>
          <xdr:row>14</xdr:row>
          <xdr:rowOff>419100</xdr:rowOff>
        </xdr:to>
        <xdr:sp macro="" textlink="">
          <xdr:nvSpPr>
            <xdr:cNvPr id="2058" name="Object 10" hidden="1">
              <a:extLst>
                <a:ext uri="{63B3BB69-23CF-44E3-9099-C40C66FF867C}">
                  <a14:compatExt spid="_x0000_s20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171450</xdr:colOff>
          <xdr:row>14</xdr:row>
          <xdr:rowOff>57150</xdr:rowOff>
        </xdr:from>
        <xdr:to>
          <xdr:col>3</xdr:col>
          <xdr:colOff>400050</xdr:colOff>
          <xdr:row>14</xdr:row>
          <xdr:rowOff>419100</xdr:rowOff>
        </xdr:to>
        <xdr:sp macro="" textlink="">
          <xdr:nvSpPr>
            <xdr:cNvPr id="2059" name="Object 11" hidden="1">
              <a:extLst>
                <a:ext uri="{63B3BB69-23CF-44E3-9099-C40C66FF867C}">
                  <a14:compatExt spid="_x0000_s20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171450</xdr:colOff>
          <xdr:row>14</xdr:row>
          <xdr:rowOff>66675</xdr:rowOff>
        </xdr:from>
        <xdr:to>
          <xdr:col>4</xdr:col>
          <xdr:colOff>438150</xdr:colOff>
          <xdr:row>14</xdr:row>
          <xdr:rowOff>400050</xdr:rowOff>
        </xdr:to>
        <xdr:sp macro="" textlink="">
          <xdr:nvSpPr>
            <xdr:cNvPr id="2060" name="Object 12" hidden="1">
              <a:extLst>
                <a:ext uri="{63B3BB69-23CF-44E3-9099-C40C66FF867C}">
                  <a14:compatExt spid="_x0000_s20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466725</xdr:colOff>
          <xdr:row>14</xdr:row>
          <xdr:rowOff>104775</xdr:rowOff>
        </xdr:from>
        <xdr:to>
          <xdr:col>5</xdr:col>
          <xdr:colOff>733425</xdr:colOff>
          <xdr:row>14</xdr:row>
          <xdr:rowOff>390525</xdr:rowOff>
        </xdr:to>
        <xdr:sp macro="" textlink="">
          <xdr:nvSpPr>
            <xdr:cNvPr id="2061" name="Object 13" hidden="1">
              <a:extLst>
                <a:ext uri="{63B3BB69-23CF-44E3-9099-C40C66FF867C}">
                  <a14:compatExt spid="_x0000_s206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133350</xdr:colOff>
          <xdr:row>14</xdr:row>
          <xdr:rowOff>38100</xdr:rowOff>
        </xdr:from>
        <xdr:to>
          <xdr:col>6</xdr:col>
          <xdr:colOff>400050</xdr:colOff>
          <xdr:row>14</xdr:row>
          <xdr:rowOff>371475</xdr:rowOff>
        </xdr:to>
        <xdr:sp macro="" textlink="">
          <xdr:nvSpPr>
            <xdr:cNvPr id="2062" name="Object 14" hidden="1">
              <a:extLst>
                <a:ext uri="{63B3BB69-23CF-44E3-9099-C40C66FF867C}">
                  <a14:compatExt spid="_x0000_s206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304800</xdr:colOff>
          <xdr:row>14</xdr:row>
          <xdr:rowOff>47625</xdr:rowOff>
        </xdr:from>
        <xdr:to>
          <xdr:col>7</xdr:col>
          <xdr:colOff>495300</xdr:colOff>
          <xdr:row>14</xdr:row>
          <xdr:rowOff>342900</xdr:rowOff>
        </xdr:to>
        <xdr:sp macro="" textlink="">
          <xdr:nvSpPr>
            <xdr:cNvPr id="2063" name="Object 15" hidden="1">
              <a:extLst>
                <a:ext uri="{63B3BB69-23CF-44E3-9099-C40C66FF867C}">
                  <a14:compatExt spid="_x0000_s20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22</xdr:row>
          <xdr:rowOff>66675</xdr:rowOff>
        </xdr:from>
        <xdr:to>
          <xdr:col>10</xdr:col>
          <xdr:colOff>1657350</xdr:colOff>
          <xdr:row>22</xdr:row>
          <xdr:rowOff>485775</xdr:rowOff>
        </xdr:to>
        <xdr:sp macro="" textlink="">
          <xdr:nvSpPr>
            <xdr:cNvPr id="2064" name="Object 16" hidden="1">
              <a:extLst>
                <a:ext uri="{63B3BB69-23CF-44E3-9099-C40C66FF867C}">
                  <a14:compatExt spid="_x0000_s20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123825</xdr:colOff>
          <xdr:row>23</xdr:row>
          <xdr:rowOff>85725</xdr:rowOff>
        </xdr:from>
        <xdr:to>
          <xdr:col>10</xdr:col>
          <xdr:colOff>1352550</xdr:colOff>
          <xdr:row>23</xdr:row>
          <xdr:rowOff>428625</xdr:rowOff>
        </xdr:to>
        <xdr:sp macro="" textlink="">
          <xdr:nvSpPr>
            <xdr:cNvPr id="2065" name="Object 17" hidden="1">
              <a:extLst>
                <a:ext uri="{63B3BB69-23CF-44E3-9099-C40C66FF867C}">
                  <a14:compatExt spid="_x0000_s20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123825</xdr:colOff>
          <xdr:row>38</xdr:row>
          <xdr:rowOff>114300</xdr:rowOff>
        </xdr:from>
        <xdr:to>
          <xdr:col>13</xdr:col>
          <xdr:colOff>1352550</xdr:colOff>
          <xdr:row>41</xdr:row>
          <xdr:rowOff>47625</xdr:rowOff>
        </xdr:to>
        <xdr:sp macro="" textlink="">
          <xdr:nvSpPr>
            <xdr:cNvPr id="2066" name="Object 18" hidden="1">
              <a:extLst>
                <a:ext uri="{63B3BB69-23CF-44E3-9099-C40C66FF867C}">
                  <a14:compatExt spid="_x0000_s206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409575</xdr:colOff>
          <xdr:row>4</xdr:row>
          <xdr:rowOff>142875</xdr:rowOff>
        </xdr:from>
        <xdr:to>
          <xdr:col>7</xdr:col>
          <xdr:colOff>295275</xdr:colOff>
          <xdr:row>8</xdr:row>
          <xdr:rowOff>114300</xdr:rowOff>
        </xdr:to>
        <xdr:sp macro="" textlink="">
          <xdr:nvSpPr>
            <xdr:cNvPr id="2068" name="Object 20" hidden="1">
              <a:extLst>
                <a:ext uri="{63B3BB69-23CF-44E3-9099-C40C66FF867C}">
                  <a14:compatExt spid="_x0000_s20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95250</xdr:colOff>
          <xdr:row>18</xdr:row>
          <xdr:rowOff>76200</xdr:rowOff>
        </xdr:from>
        <xdr:to>
          <xdr:col>14</xdr:col>
          <xdr:colOff>133350</xdr:colOff>
          <xdr:row>20</xdr:row>
          <xdr:rowOff>57150</xdr:rowOff>
        </xdr:to>
        <xdr:sp macro="" textlink="">
          <xdr:nvSpPr>
            <xdr:cNvPr id="2069" name="Object 21" hidden="1">
              <a:extLst>
                <a:ext uri="{63B3BB69-23CF-44E3-9099-C40C66FF867C}">
                  <a14:compatExt spid="_x0000_s206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133350</xdr:colOff>
          <xdr:row>34</xdr:row>
          <xdr:rowOff>57150</xdr:rowOff>
        </xdr:from>
        <xdr:to>
          <xdr:col>10</xdr:col>
          <xdr:colOff>1704975</xdr:colOff>
          <xdr:row>34</xdr:row>
          <xdr:rowOff>390525</xdr:rowOff>
        </xdr:to>
        <xdr:sp macro="" textlink="">
          <xdr:nvSpPr>
            <xdr:cNvPr id="2080" name="Object 32" hidden="1">
              <a:extLst>
                <a:ext uri="{63B3BB69-23CF-44E3-9099-C40C66FF867C}">
                  <a14:compatExt spid="_x0000_s20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123825</xdr:colOff>
          <xdr:row>35</xdr:row>
          <xdr:rowOff>47625</xdr:rowOff>
        </xdr:from>
        <xdr:to>
          <xdr:col>10</xdr:col>
          <xdr:colOff>1724025</xdr:colOff>
          <xdr:row>35</xdr:row>
          <xdr:rowOff>742950</xdr:rowOff>
        </xdr:to>
        <xdr:sp macro="" textlink="">
          <xdr:nvSpPr>
            <xdr:cNvPr id="2081" name="Object 33" hidden="1">
              <a:extLst>
                <a:ext uri="{63B3BB69-23CF-44E3-9099-C40C66FF867C}">
                  <a14:compatExt spid="_x0000_s20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76200</xdr:colOff>
          <xdr:row>36</xdr:row>
          <xdr:rowOff>133350</xdr:rowOff>
        </xdr:from>
        <xdr:to>
          <xdr:col>10</xdr:col>
          <xdr:colOff>2371725</xdr:colOff>
          <xdr:row>36</xdr:row>
          <xdr:rowOff>762000</xdr:rowOff>
        </xdr:to>
        <xdr:sp macro="" textlink="">
          <xdr:nvSpPr>
            <xdr:cNvPr id="2082" name="Object 34" hidden="1">
              <a:extLst>
                <a:ext uri="{63B3BB69-23CF-44E3-9099-C40C66FF867C}">
                  <a14:compatExt spid="_x0000_s20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47625</xdr:colOff>
          <xdr:row>43</xdr:row>
          <xdr:rowOff>76200</xdr:rowOff>
        </xdr:from>
        <xdr:to>
          <xdr:col>10</xdr:col>
          <xdr:colOff>581025</xdr:colOff>
          <xdr:row>43</xdr:row>
          <xdr:rowOff>314325</xdr:rowOff>
        </xdr:to>
        <xdr:sp macro="" textlink="">
          <xdr:nvSpPr>
            <xdr:cNvPr id="2083" name="Object 35" hidden="1">
              <a:extLst>
                <a:ext uri="{63B3BB69-23CF-44E3-9099-C40C66FF867C}">
                  <a14:compatExt spid="_x0000_s20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76200</xdr:colOff>
          <xdr:row>44</xdr:row>
          <xdr:rowOff>76200</xdr:rowOff>
        </xdr:from>
        <xdr:to>
          <xdr:col>10</xdr:col>
          <xdr:colOff>619125</xdr:colOff>
          <xdr:row>44</xdr:row>
          <xdr:rowOff>314325</xdr:rowOff>
        </xdr:to>
        <xdr:sp macro="" textlink="">
          <xdr:nvSpPr>
            <xdr:cNvPr id="2084" name="Object 36" hidden="1">
              <a:extLst>
                <a:ext uri="{63B3BB69-23CF-44E3-9099-C40C66FF867C}">
                  <a14:compatExt spid="_x0000_s20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85725</xdr:colOff>
          <xdr:row>46</xdr:row>
          <xdr:rowOff>76200</xdr:rowOff>
        </xdr:from>
        <xdr:to>
          <xdr:col>10</xdr:col>
          <xdr:colOff>1123950</xdr:colOff>
          <xdr:row>46</xdr:row>
          <xdr:rowOff>314325</xdr:rowOff>
        </xdr:to>
        <xdr:sp macro="" textlink="">
          <xdr:nvSpPr>
            <xdr:cNvPr id="2085" name="Object 37" hidden="1">
              <a:extLst>
                <a:ext uri="{63B3BB69-23CF-44E3-9099-C40C66FF867C}">
                  <a14:compatExt spid="_x0000_s20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85725</xdr:colOff>
          <xdr:row>47</xdr:row>
          <xdr:rowOff>47625</xdr:rowOff>
        </xdr:from>
        <xdr:to>
          <xdr:col>10</xdr:col>
          <xdr:colOff>1123950</xdr:colOff>
          <xdr:row>47</xdr:row>
          <xdr:rowOff>314325</xdr:rowOff>
        </xdr:to>
        <xdr:sp macro="" textlink="">
          <xdr:nvSpPr>
            <xdr:cNvPr id="2086" name="Object 38" hidden="1">
              <a:extLst>
                <a:ext uri="{63B3BB69-23CF-44E3-9099-C40C66FF867C}">
                  <a14:compatExt spid="_x0000_s20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76200</xdr:colOff>
          <xdr:row>48</xdr:row>
          <xdr:rowOff>47625</xdr:rowOff>
        </xdr:from>
        <xdr:to>
          <xdr:col>10</xdr:col>
          <xdr:colOff>942975</xdr:colOff>
          <xdr:row>48</xdr:row>
          <xdr:rowOff>285750</xdr:rowOff>
        </xdr:to>
        <xdr:sp macro="" textlink="">
          <xdr:nvSpPr>
            <xdr:cNvPr id="2087" name="Object 39" hidden="1">
              <a:extLst>
                <a:ext uri="{63B3BB69-23CF-44E3-9099-C40C66FF867C}">
                  <a14:compatExt spid="_x0000_s20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85725</xdr:colOff>
          <xdr:row>49</xdr:row>
          <xdr:rowOff>66675</xdr:rowOff>
        </xdr:from>
        <xdr:to>
          <xdr:col>10</xdr:col>
          <xdr:colOff>1066800</xdr:colOff>
          <xdr:row>49</xdr:row>
          <xdr:rowOff>304800</xdr:rowOff>
        </xdr:to>
        <xdr:sp macro="" textlink="">
          <xdr:nvSpPr>
            <xdr:cNvPr id="2088" name="Object 40" hidden="1">
              <a:extLst>
                <a:ext uri="{63B3BB69-23CF-44E3-9099-C40C66FF867C}">
                  <a14:compatExt spid="_x0000_s20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85725</xdr:colOff>
          <xdr:row>50</xdr:row>
          <xdr:rowOff>47625</xdr:rowOff>
        </xdr:from>
        <xdr:to>
          <xdr:col>10</xdr:col>
          <xdr:colOff>1066800</xdr:colOff>
          <xdr:row>50</xdr:row>
          <xdr:rowOff>285750</xdr:rowOff>
        </xdr:to>
        <xdr:sp macro="" textlink="">
          <xdr:nvSpPr>
            <xdr:cNvPr id="2089" name="Object 41" hidden="1">
              <a:extLst>
                <a:ext uri="{63B3BB69-23CF-44E3-9099-C40C66FF867C}">
                  <a14:compatExt spid="_x0000_s20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57150</xdr:colOff>
          <xdr:row>51</xdr:row>
          <xdr:rowOff>47625</xdr:rowOff>
        </xdr:from>
        <xdr:to>
          <xdr:col>10</xdr:col>
          <xdr:colOff>1381125</xdr:colOff>
          <xdr:row>51</xdr:row>
          <xdr:rowOff>285750</xdr:rowOff>
        </xdr:to>
        <xdr:sp macro="" textlink="">
          <xdr:nvSpPr>
            <xdr:cNvPr id="2090" name="Object 42" hidden="1">
              <a:extLst>
                <a:ext uri="{63B3BB69-23CF-44E3-9099-C40C66FF867C}">
                  <a14:compatExt spid="_x0000_s209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57150</xdr:colOff>
          <xdr:row>52</xdr:row>
          <xdr:rowOff>66675</xdr:rowOff>
        </xdr:from>
        <xdr:to>
          <xdr:col>10</xdr:col>
          <xdr:colOff>1428750</xdr:colOff>
          <xdr:row>52</xdr:row>
          <xdr:rowOff>304800</xdr:rowOff>
        </xdr:to>
        <xdr:sp macro="" textlink="">
          <xdr:nvSpPr>
            <xdr:cNvPr id="2091" name="Object 43" hidden="1">
              <a:extLst>
                <a:ext uri="{63B3BB69-23CF-44E3-9099-C40C66FF867C}">
                  <a14:compatExt spid="_x0000_s20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57150</xdr:colOff>
          <xdr:row>53</xdr:row>
          <xdr:rowOff>38100</xdr:rowOff>
        </xdr:from>
        <xdr:to>
          <xdr:col>10</xdr:col>
          <xdr:colOff>1152525</xdr:colOff>
          <xdr:row>53</xdr:row>
          <xdr:rowOff>333375</xdr:rowOff>
        </xdr:to>
        <xdr:sp macro="" textlink="">
          <xdr:nvSpPr>
            <xdr:cNvPr id="2092" name="Object 44" hidden="1">
              <a:extLst>
                <a:ext uri="{63B3BB69-23CF-44E3-9099-C40C66FF867C}">
                  <a14:compatExt spid="_x0000_s20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57150</xdr:colOff>
          <xdr:row>54</xdr:row>
          <xdr:rowOff>38100</xdr:rowOff>
        </xdr:from>
        <xdr:to>
          <xdr:col>10</xdr:col>
          <xdr:colOff>781050</xdr:colOff>
          <xdr:row>54</xdr:row>
          <xdr:rowOff>276225</xdr:rowOff>
        </xdr:to>
        <xdr:sp macro="" textlink="">
          <xdr:nvSpPr>
            <xdr:cNvPr id="2093" name="Object 45" hidden="1">
              <a:extLst>
                <a:ext uri="{63B3BB69-23CF-44E3-9099-C40C66FF867C}">
                  <a14:compatExt spid="_x0000_s20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38100</xdr:colOff>
          <xdr:row>55</xdr:row>
          <xdr:rowOff>76200</xdr:rowOff>
        </xdr:from>
        <xdr:to>
          <xdr:col>10</xdr:col>
          <xdr:colOff>1323975</xdr:colOff>
          <xdr:row>55</xdr:row>
          <xdr:rowOff>314325</xdr:rowOff>
        </xdr:to>
        <xdr:sp macro="" textlink="">
          <xdr:nvSpPr>
            <xdr:cNvPr id="2094" name="Object 46" hidden="1">
              <a:extLst>
                <a:ext uri="{63B3BB69-23CF-44E3-9099-C40C66FF867C}">
                  <a14:compatExt spid="_x0000_s20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57150</xdr:colOff>
          <xdr:row>56</xdr:row>
          <xdr:rowOff>76200</xdr:rowOff>
        </xdr:from>
        <xdr:to>
          <xdr:col>10</xdr:col>
          <xdr:colOff>1228725</xdr:colOff>
          <xdr:row>56</xdr:row>
          <xdr:rowOff>314325</xdr:rowOff>
        </xdr:to>
        <xdr:sp macro="" textlink="">
          <xdr:nvSpPr>
            <xdr:cNvPr id="2095" name="Object 47" hidden="1">
              <a:extLst>
                <a:ext uri="{63B3BB69-23CF-44E3-9099-C40C66FF867C}">
                  <a14:compatExt spid="_x0000_s20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76200</xdr:colOff>
          <xdr:row>57</xdr:row>
          <xdr:rowOff>76200</xdr:rowOff>
        </xdr:from>
        <xdr:to>
          <xdr:col>10</xdr:col>
          <xdr:colOff>1295400</xdr:colOff>
          <xdr:row>57</xdr:row>
          <xdr:rowOff>314325</xdr:rowOff>
        </xdr:to>
        <xdr:sp macro="" textlink="">
          <xdr:nvSpPr>
            <xdr:cNvPr id="2096" name="Object 48" hidden="1">
              <a:extLst>
                <a:ext uri="{63B3BB69-23CF-44E3-9099-C40C66FF867C}">
                  <a14:compatExt spid="_x0000_s20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66675</xdr:colOff>
          <xdr:row>58</xdr:row>
          <xdr:rowOff>66675</xdr:rowOff>
        </xdr:from>
        <xdr:to>
          <xdr:col>10</xdr:col>
          <xdr:colOff>1866900</xdr:colOff>
          <xdr:row>58</xdr:row>
          <xdr:rowOff>571500</xdr:rowOff>
        </xdr:to>
        <xdr:sp macro="" textlink="">
          <xdr:nvSpPr>
            <xdr:cNvPr id="2097" name="Object 49" hidden="1">
              <a:extLst>
                <a:ext uri="{63B3BB69-23CF-44E3-9099-C40C66FF867C}">
                  <a14:compatExt spid="_x0000_s20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85725</xdr:colOff>
          <xdr:row>60</xdr:row>
          <xdr:rowOff>85725</xdr:rowOff>
        </xdr:from>
        <xdr:to>
          <xdr:col>10</xdr:col>
          <xdr:colOff>1200150</xdr:colOff>
          <xdr:row>60</xdr:row>
          <xdr:rowOff>342900</xdr:rowOff>
        </xdr:to>
        <xdr:sp macro="" textlink="">
          <xdr:nvSpPr>
            <xdr:cNvPr id="2100" name="Object 52" hidden="1">
              <a:extLst>
                <a:ext uri="{63B3BB69-23CF-44E3-9099-C40C66FF867C}">
                  <a14:compatExt spid="_x0000_s21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85725</xdr:colOff>
          <xdr:row>61</xdr:row>
          <xdr:rowOff>85725</xdr:rowOff>
        </xdr:from>
        <xdr:to>
          <xdr:col>10</xdr:col>
          <xdr:colOff>1343025</xdr:colOff>
          <xdr:row>61</xdr:row>
          <xdr:rowOff>361950</xdr:rowOff>
        </xdr:to>
        <xdr:sp macro="" textlink="">
          <xdr:nvSpPr>
            <xdr:cNvPr id="2101" name="Object 53" hidden="1">
              <a:extLst>
                <a:ext uri="{63B3BB69-23CF-44E3-9099-C40C66FF867C}">
                  <a14:compatExt spid="_x0000_s21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95250</xdr:colOff>
          <xdr:row>62</xdr:row>
          <xdr:rowOff>95250</xdr:rowOff>
        </xdr:from>
        <xdr:to>
          <xdr:col>10</xdr:col>
          <xdr:colOff>1190625</xdr:colOff>
          <xdr:row>62</xdr:row>
          <xdr:rowOff>323850</xdr:rowOff>
        </xdr:to>
        <xdr:sp macro="" textlink="">
          <xdr:nvSpPr>
            <xdr:cNvPr id="2102" name="Object 54" hidden="1">
              <a:extLst>
                <a:ext uri="{63B3BB69-23CF-44E3-9099-C40C66FF867C}">
                  <a14:compatExt spid="_x0000_s21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161925</xdr:colOff>
          <xdr:row>25</xdr:row>
          <xdr:rowOff>57150</xdr:rowOff>
        </xdr:from>
        <xdr:to>
          <xdr:col>10</xdr:col>
          <xdr:colOff>1095375</xdr:colOff>
          <xdr:row>25</xdr:row>
          <xdr:rowOff>571500</xdr:rowOff>
        </xdr:to>
        <xdr:sp macro="" textlink="">
          <xdr:nvSpPr>
            <xdr:cNvPr id="2103" name="Object 55" hidden="1">
              <a:extLst>
                <a:ext uri="{63B3BB69-23CF-44E3-9099-C40C66FF867C}">
                  <a14:compatExt spid="_x0000_s21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27</xdr:row>
          <xdr:rowOff>95250</xdr:rowOff>
        </xdr:from>
        <xdr:to>
          <xdr:col>10</xdr:col>
          <xdr:colOff>1695450</xdr:colOff>
          <xdr:row>27</xdr:row>
          <xdr:rowOff>619125</xdr:rowOff>
        </xdr:to>
        <xdr:sp macro="" textlink="">
          <xdr:nvSpPr>
            <xdr:cNvPr id="2105" name="Object 57" hidden="1">
              <a:extLst>
                <a:ext uri="{63B3BB69-23CF-44E3-9099-C40C66FF867C}">
                  <a14:compatExt spid="_x0000_s21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152400</xdr:colOff>
          <xdr:row>28</xdr:row>
          <xdr:rowOff>76200</xdr:rowOff>
        </xdr:from>
        <xdr:to>
          <xdr:col>10</xdr:col>
          <xdr:colOff>1143000</xdr:colOff>
          <xdr:row>28</xdr:row>
          <xdr:rowOff>409575</xdr:rowOff>
        </xdr:to>
        <xdr:sp macro="" textlink="">
          <xdr:nvSpPr>
            <xdr:cNvPr id="2106" name="Object 58" hidden="1">
              <a:extLst>
                <a:ext uri="{63B3BB69-23CF-44E3-9099-C40C66FF867C}">
                  <a14:compatExt spid="_x0000_s21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152400</xdr:colOff>
          <xdr:row>29</xdr:row>
          <xdr:rowOff>47625</xdr:rowOff>
        </xdr:from>
        <xdr:to>
          <xdr:col>10</xdr:col>
          <xdr:colOff>1257300</xdr:colOff>
          <xdr:row>29</xdr:row>
          <xdr:rowOff>400050</xdr:rowOff>
        </xdr:to>
        <xdr:sp macro="" textlink="">
          <xdr:nvSpPr>
            <xdr:cNvPr id="2107" name="Object 59" hidden="1">
              <a:extLst>
                <a:ext uri="{63B3BB69-23CF-44E3-9099-C40C66FF867C}">
                  <a14:compatExt spid="_x0000_s21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152400</xdr:colOff>
          <xdr:row>31</xdr:row>
          <xdr:rowOff>95250</xdr:rowOff>
        </xdr:from>
        <xdr:to>
          <xdr:col>10</xdr:col>
          <xdr:colOff>1466850</xdr:colOff>
          <xdr:row>31</xdr:row>
          <xdr:rowOff>733425</xdr:rowOff>
        </xdr:to>
        <xdr:sp macro="" textlink="">
          <xdr:nvSpPr>
            <xdr:cNvPr id="2109" name="Object 61" hidden="1">
              <a:extLst>
                <a:ext uri="{63B3BB69-23CF-44E3-9099-C40C66FF867C}">
                  <a14:compatExt spid="_x0000_s21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161925</xdr:colOff>
          <xdr:row>32</xdr:row>
          <xdr:rowOff>57150</xdr:rowOff>
        </xdr:from>
        <xdr:to>
          <xdr:col>10</xdr:col>
          <xdr:colOff>1162050</xdr:colOff>
          <xdr:row>32</xdr:row>
          <xdr:rowOff>361950</xdr:rowOff>
        </xdr:to>
        <xdr:sp macro="" textlink="">
          <xdr:nvSpPr>
            <xdr:cNvPr id="2110" name="Object 62" hidden="1">
              <a:extLst>
                <a:ext uri="{63B3BB69-23CF-44E3-9099-C40C66FF867C}">
                  <a14:compatExt spid="_x0000_s21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142875</xdr:colOff>
          <xdr:row>33</xdr:row>
          <xdr:rowOff>76200</xdr:rowOff>
        </xdr:from>
        <xdr:to>
          <xdr:col>10</xdr:col>
          <xdr:colOff>1676400</xdr:colOff>
          <xdr:row>33</xdr:row>
          <xdr:rowOff>628650</xdr:rowOff>
        </xdr:to>
        <xdr:sp macro="" textlink="">
          <xdr:nvSpPr>
            <xdr:cNvPr id="2111" name="Object 63" hidden="1">
              <a:extLst>
                <a:ext uri="{63B3BB69-23CF-44E3-9099-C40C66FF867C}">
                  <a14:compatExt spid="_x0000_s211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26</xdr:row>
          <xdr:rowOff>85725</xdr:rowOff>
        </xdr:from>
        <xdr:to>
          <xdr:col>10</xdr:col>
          <xdr:colOff>2381250</xdr:colOff>
          <xdr:row>26</xdr:row>
          <xdr:rowOff>762000</xdr:rowOff>
        </xdr:to>
        <xdr:sp macro="" textlink="">
          <xdr:nvSpPr>
            <xdr:cNvPr id="2114" name="Object 66" hidden="1">
              <a:extLst>
                <a:ext uri="{63B3BB69-23CF-44E3-9099-C40C66FF867C}">
                  <a14:compatExt spid="_x0000_s211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142875</xdr:colOff>
          <xdr:row>24</xdr:row>
          <xdr:rowOff>66675</xdr:rowOff>
        </xdr:from>
        <xdr:to>
          <xdr:col>10</xdr:col>
          <xdr:colOff>647700</xdr:colOff>
          <xdr:row>24</xdr:row>
          <xdr:rowOff>409575</xdr:rowOff>
        </xdr:to>
        <xdr:sp macro="" textlink="">
          <xdr:nvSpPr>
            <xdr:cNvPr id="2115" name="Object 67" hidden="1">
              <a:extLst>
                <a:ext uri="{63B3BB69-23CF-44E3-9099-C40C66FF867C}">
                  <a14:compatExt spid="_x0000_s211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171450</xdr:colOff>
          <xdr:row>30</xdr:row>
          <xdr:rowOff>57150</xdr:rowOff>
        </xdr:from>
        <xdr:to>
          <xdr:col>10</xdr:col>
          <xdr:colOff>2028825</xdr:colOff>
          <xdr:row>30</xdr:row>
          <xdr:rowOff>371475</xdr:rowOff>
        </xdr:to>
        <xdr:sp macro="" textlink="">
          <xdr:nvSpPr>
            <xdr:cNvPr id="2116" name="Object 68" hidden="1">
              <a:extLst>
                <a:ext uri="{63B3BB69-23CF-44E3-9099-C40C66FF867C}">
                  <a14:compatExt spid="_x0000_s211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66675</xdr:colOff>
          <xdr:row>45</xdr:row>
          <xdr:rowOff>38100</xdr:rowOff>
        </xdr:from>
        <xdr:to>
          <xdr:col>10</xdr:col>
          <xdr:colOff>1085850</xdr:colOff>
          <xdr:row>45</xdr:row>
          <xdr:rowOff>276225</xdr:rowOff>
        </xdr:to>
        <xdr:sp macro="" textlink="">
          <xdr:nvSpPr>
            <xdr:cNvPr id="2117" name="Object 69" hidden="1">
              <a:extLst>
                <a:ext uri="{63B3BB69-23CF-44E3-9099-C40C66FF867C}">
                  <a14:compatExt spid="_x0000_s21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66675</xdr:colOff>
          <xdr:row>10</xdr:row>
          <xdr:rowOff>76200</xdr:rowOff>
        </xdr:from>
        <xdr:to>
          <xdr:col>8</xdr:col>
          <xdr:colOff>514350</xdr:colOff>
          <xdr:row>10</xdr:row>
          <xdr:rowOff>428625</xdr:rowOff>
        </xdr:to>
        <xdr:sp macro="" textlink="">
          <xdr:nvSpPr>
            <xdr:cNvPr id="2118" name="Object 70" hidden="1">
              <a:extLst>
                <a:ext uri="{63B3BB69-23CF-44E3-9099-C40C66FF867C}">
                  <a14:compatExt spid="_x0000_s21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104775</xdr:colOff>
          <xdr:row>10</xdr:row>
          <xdr:rowOff>76200</xdr:rowOff>
        </xdr:from>
        <xdr:to>
          <xdr:col>9</xdr:col>
          <xdr:colOff>476250</xdr:colOff>
          <xdr:row>10</xdr:row>
          <xdr:rowOff>428625</xdr:rowOff>
        </xdr:to>
        <xdr:sp macro="" textlink="">
          <xdr:nvSpPr>
            <xdr:cNvPr id="2119" name="Object 71" hidden="1">
              <a:extLst>
                <a:ext uri="{63B3BB69-23CF-44E3-9099-C40C66FF867C}">
                  <a14:compatExt spid="_x0000_s21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85725</xdr:colOff>
          <xdr:row>59</xdr:row>
          <xdr:rowOff>57150</xdr:rowOff>
        </xdr:from>
        <xdr:to>
          <xdr:col>10</xdr:col>
          <xdr:colOff>1809750</xdr:colOff>
          <xdr:row>59</xdr:row>
          <xdr:rowOff>714375</xdr:rowOff>
        </xdr:to>
        <xdr:sp macro="" textlink="">
          <xdr:nvSpPr>
            <xdr:cNvPr id="2125" name="Object 77" hidden="1">
              <a:extLst>
                <a:ext uri="{63B3BB69-23CF-44E3-9099-C40C66FF867C}">
                  <a14:compatExt spid="_x0000_s2125"/>
                </a:ext>
              </a:extLst>
            </xdr:cNvPr>
            <xdr:cNvSpPr/>
          </xdr:nvSpPr>
          <xdr:spPr>
            <a:xfrm>
              <a:off x="0" y="0"/>
              <a:ext cx="0" cy="0"/>
            </a:xfrm>
            <a:prstGeom prst="rect">
              <a:avLst/>
            </a:prstGeom>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7</xdr:col>
      <xdr:colOff>80681</xdr:colOff>
      <xdr:row>4</xdr:row>
      <xdr:rowOff>17291</xdr:rowOff>
    </xdr:from>
    <xdr:to>
      <xdr:col>12</xdr:col>
      <xdr:colOff>139489</xdr:colOff>
      <xdr:row>19</xdr:row>
      <xdr:rowOff>55391</xdr:rowOff>
    </xdr:to>
    <xdr:pic>
      <xdr:nvPicPr>
        <xdr:cNvPr id="3073" name="Picture 1" descr="9,7"/>
        <xdr:cNvPicPr>
          <a:picLocks noChangeAspect="1" noChangeArrowheads="1"/>
        </xdr:cNvPicPr>
      </xdr:nvPicPr>
      <xdr:blipFill>
        <a:blip xmlns:r="http://schemas.openxmlformats.org/officeDocument/2006/relationships" r:embed="rId1" cstate="print"/>
        <a:srcRect/>
        <a:stretch>
          <a:fillRect/>
        </a:stretch>
      </xdr:blipFill>
      <xdr:spPr bwMode="auto">
        <a:xfrm>
          <a:off x="5754860" y="779291"/>
          <a:ext cx="3120415" cy="2895600"/>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xdr:col>
      <xdr:colOff>181538</xdr:colOff>
      <xdr:row>3</xdr:row>
      <xdr:rowOff>167287</xdr:rowOff>
    </xdr:from>
    <xdr:to>
      <xdr:col>6</xdr:col>
      <xdr:colOff>176893</xdr:colOff>
      <xdr:row>39</xdr:row>
      <xdr:rowOff>5362</xdr:rowOff>
    </xdr:to>
    <xdr:pic>
      <xdr:nvPicPr>
        <xdr:cNvPr id="3074" name="Picture 2" descr="319стр"/>
        <xdr:cNvPicPr>
          <a:picLocks noChangeAspect="1" noChangeArrowheads="1"/>
        </xdr:cNvPicPr>
      </xdr:nvPicPr>
      <xdr:blipFill>
        <a:blip xmlns:r="http://schemas.openxmlformats.org/officeDocument/2006/relationships" r:embed="rId2" cstate="print"/>
        <a:srcRect/>
        <a:stretch>
          <a:fillRect/>
        </a:stretch>
      </xdr:blipFill>
      <xdr:spPr bwMode="auto">
        <a:xfrm>
          <a:off x="793859" y="738787"/>
          <a:ext cx="4444891" cy="6696075"/>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23</xdr:col>
      <xdr:colOff>72277</xdr:colOff>
      <xdr:row>4</xdr:row>
      <xdr:rowOff>43142</xdr:rowOff>
    </xdr:from>
    <xdr:to>
      <xdr:col>28</xdr:col>
      <xdr:colOff>177053</xdr:colOff>
      <xdr:row>20</xdr:row>
      <xdr:rowOff>147917</xdr:rowOff>
    </xdr:to>
    <xdr:pic>
      <xdr:nvPicPr>
        <xdr:cNvPr id="3075" name="Picture 3" descr="9,8"/>
        <xdr:cNvPicPr>
          <a:picLocks noChangeAspect="1" noChangeArrowheads="1"/>
        </xdr:cNvPicPr>
      </xdr:nvPicPr>
      <xdr:blipFill>
        <a:blip xmlns:r="http://schemas.openxmlformats.org/officeDocument/2006/relationships" r:embed="rId3" cstate="print"/>
        <a:srcRect/>
        <a:stretch>
          <a:fillRect/>
        </a:stretch>
      </xdr:blipFill>
      <xdr:spPr bwMode="auto">
        <a:xfrm>
          <a:off x="13989983" y="805142"/>
          <a:ext cx="3130364" cy="3152775"/>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14</xdr:col>
      <xdr:colOff>103910</xdr:colOff>
      <xdr:row>4</xdr:row>
      <xdr:rowOff>69274</xdr:rowOff>
    </xdr:from>
    <xdr:to>
      <xdr:col>22</xdr:col>
      <xdr:colOff>336657</xdr:colOff>
      <xdr:row>39</xdr:row>
      <xdr:rowOff>100853</xdr:rowOff>
    </xdr:to>
    <xdr:pic>
      <xdr:nvPicPr>
        <xdr:cNvPr id="3078" name="Picture 6" descr="321стр"/>
        <xdr:cNvPicPr>
          <a:picLocks noChangeAspect="1" noChangeArrowheads="1"/>
        </xdr:cNvPicPr>
      </xdr:nvPicPr>
      <xdr:blipFill>
        <a:blip xmlns:r="http://schemas.openxmlformats.org/officeDocument/2006/relationships" r:embed="rId4" cstate="print"/>
        <a:srcRect/>
        <a:stretch>
          <a:fillRect/>
        </a:stretch>
      </xdr:blipFill>
      <xdr:spPr bwMode="auto">
        <a:xfrm>
          <a:off x="8575557" y="831274"/>
          <a:ext cx="5073688" cy="6699079"/>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17</xdr:col>
      <xdr:colOff>222042</xdr:colOff>
      <xdr:row>41</xdr:row>
      <xdr:rowOff>78240</xdr:rowOff>
    </xdr:from>
    <xdr:to>
      <xdr:col>27</xdr:col>
      <xdr:colOff>74404</xdr:colOff>
      <xdr:row>63</xdr:row>
      <xdr:rowOff>29749</xdr:rowOff>
    </xdr:to>
    <xdr:pic>
      <xdr:nvPicPr>
        <xdr:cNvPr id="3084" name="Picture 12" descr="Двигатель серии 4А степень защиты IP44 корпус"/>
        <xdr:cNvPicPr>
          <a:picLocks noChangeAspect="1" noChangeArrowheads="1"/>
        </xdr:cNvPicPr>
      </xdr:nvPicPr>
      <xdr:blipFill>
        <a:blip xmlns:r="http://schemas.openxmlformats.org/officeDocument/2006/relationships" r:embed="rId5" cstate="print"/>
        <a:srcRect/>
        <a:stretch>
          <a:fillRect/>
        </a:stretch>
      </xdr:blipFill>
      <xdr:spPr bwMode="auto">
        <a:xfrm>
          <a:off x="10937667" y="7888740"/>
          <a:ext cx="6162675" cy="4142509"/>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32</xdr:col>
      <xdr:colOff>504139</xdr:colOff>
      <xdr:row>125</xdr:row>
      <xdr:rowOff>47626</xdr:rowOff>
    </xdr:from>
    <xdr:to>
      <xdr:col>60</xdr:col>
      <xdr:colOff>75510</xdr:colOff>
      <xdr:row>163</xdr:row>
      <xdr:rowOff>47625</xdr:rowOff>
    </xdr:to>
    <xdr:pic>
      <xdr:nvPicPr>
        <xdr:cNvPr id="2" name="Picture 12" descr="Image27_0"/>
        <xdr:cNvPicPr>
          <a:picLocks noChangeAspect="1" noChangeArrowheads="1"/>
        </xdr:cNvPicPr>
      </xdr:nvPicPr>
      <xdr:blipFill>
        <a:blip xmlns:r="http://schemas.openxmlformats.org/officeDocument/2006/relationships" r:embed="rId6" cstate="print"/>
        <a:srcRect/>
        <a:stretch>
          <a:fillRect/>
        </a:stretch>
      </xdr:blipFill>
      <xdr:spPr bwMode="auto">
        <a:xfrm>
          <a:off x="21649639" y="28908376"/>
          <a:ext cx="17859371" cy="7238999"/>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xdr:col>
      <xdr:colOff>169141</xdr:colOff>
      <xdr:row>126</xdr:row>
      <xdr:rowOff>65821</xdr:rowOff>
    </xdr:from>
    <xdr:to>
      <xdr:col>25</xdr:col>
      <xdr:colOff>485777</xdr:colOff>
      <xdr:row>164</xdr:row>
      <xdr:rowOff>49661</xdr:rowOff>
    </xdr:to>
    <xdr:pic>
      <xdr:nvPicPr>
        <xdr:cNvPr id="3085" name="Picture 13" descr="Image26_0"/>
        <xdr:cNvPicPr>
          <a:picLocks noChangeAspect="1" noChangeArrowheads="1"/>
        </xdr:cNvPicPr>
      </xdr:nvPicPr>
      <xdr:blipFill>
        <a:blip xmlns:r="http://schemas.openxmlformats.org/officeDocument/2006/relationships" r:embed="rId7" cstate="print"/>
        <a:srcRect/>
        <a:stretch>
          <a:fillRect/>
        </a:stretch>
      </xdr:blipFill>
      <xdr:spPr bwMode="auto">
        <a:xfrm>
          <a:off x="788266" y="28236009"/>
          <a:ext cx="15509011" cy="7222840"/>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72</xdr:col>
      <xdr:colOff>282304</xdr:colOff>
      <xdr:row>126</xdr:row>
      <xdr:rowOff>80962</xdr:rowOff>
    </xdr:from>
    <xdr:to>
      <xdr:col>97</xdr:col>
      <xdr:colOff>339710</xdr:colOff>
      <xdr:row>164</xdr:row>
      <xdr:rowOff>95250</xdr:rowOff>
    </xdr:to>
    <xdr:pic>
      <xdr:nvPicPr>
        <xdr:cNvPr id="3086" name="Picture 14" descr="Image32_0"/>
        <xdr:cNvPicPr>
          <a:picLocks noChangeAspect="1" noChangeArrowheads="1"/>
        </xdr:cNvPicPr>
      </xdr:nvPicPr>
      <xdr:blipFill>
        <a:blip xmlns:r="http://schemas.openxmlformats.org/officeDocument/2006/relationships" r:embed="rId8" cstate="print">
          <a:lum contrast="16000"/>
        </a:blip>
        <a:srcRect/>
        <a:stretch>
          <a:fillRect/>
        </a:stretch>
      </xdr:blipFill>
      <xdr:spPr bwMode="auto">
        <a:xfrm>
          <a:off x="46573804" y="29132212"/>
          <a:ext cx="14344906" cy="7253288"/>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mc:AlternateContent xmlns:mc="http://schemas.openxmlformats.org/markup-compatibility/2006">
    <mc:Choice xmlns:a14="http://schemas.microsoft.com/office/drawing/2010/main" Requires="a14">
      <xdr:twoCellAnchor editAs="oneCell">
        <xdr:from>
          <xdr:col>7</xdr:col>
          <xdr:colOff>180975</xdr:colOff>
          <xdr:row>20</xdr:row>
          <xdr:rowOff>123825</xdr:rowOff>
        </xdr:from>
        <xdr:to>
          <xdr:col>12</xdr:col>
          <xdr:colOff>571500</xdr:colOff>
          <xdr:row>26</xdr:row>
          <xdr:rowOff>152400</xdr:rowOff>
        </xdr:to>
        <xdr:sp macro="" textlink="">
          <xdr:nvSpPr>
            <xdr:cNvPr id="3081" name="Object 9" hidden="1">
              <a:extLst>
                <a:ext uri="{63B3BB69-23CF-44E3-9099-C40C66FF867C}">
                  <a14:compatExt spid="_x0000_s30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95250</xdr:colOff>
          <xdr:row>22</xdr:row>
          <xdr:rowOff>57150</xdr:rowOff>
        </xdr:from>
        <xdr:to>
          <xdr:col>28</xdr:col>
          <xdr:colOff>561975</xdr:colOff>
          <xdr:row>28</xdr:row>
          <xdr:rowOff>76200</xdr:rowOff>
        </xdr:to>
        <xdr:sp macro="" textlink="">
          <xdr:nvSpPr>
            <xdr:cNvPr id="3083" name="Object 11" hidden="1">
              <a:extLst>
                <a:ext uri="{63B3BB69-23CF-44E3-9099-C40C66FF867C}">
                  <a14:compatExt spid="_x0000_s3083"/>
                </a:ext>
              </a:extLst>
            </xdr:cNvPr>
            <xdr:cNvSpPr/>
          </xdr:nvSpPr>
          <xdr:spPr>
            <a:xfrm>
              <a:off x="0" y="0"/>
              <a:ext cx="0" cy="0"/>
            </a:xfrm>
            <a:prstGeom prst="rect">
              <a:avLst/>
            </a:prstGeom>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xdr:col>
      <xdr:colOff>360365</xdr:colOff>
      <xdr:row>202</xdr:row>
      <xdr:rowOff>243165</xdr:rowOff>
    </xdr:from>
    <xdr:to>
      <xdr:col>2</xdr:col>
      <xdr:colOff>882530</xdr:colOff>
      <xdr:row>207</xdr:row>
      <xdr:rowOff>41892</xdr:rowOff>
    </xdr:to>
    <xdr:pic>
      <xdr:nvPicPr>
        <xdr:cNvPr id="11" name="image115.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0683" y="71316983"/>
          <a:ext cx="1682483" cy="2916000"/>
        </a:xfrm>
        <a:prstGeom prst="rect">
          <a:avLst/>
        </a:prstGeom>
        <a:ln w="15875" cap="sq">
          <a:no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484909</xdr:colOff>
      <xdr:row>211</xdr:row>
      <xdr:rowOff>173184</xdr:rowOff>
    </xdr:from>
    <xdr:to>
      <xdr:col>2</xdr:col>
      <xdr:colOff>851544</xdr:colOff>
      <xdr:row>215</xdr:row>
      <xdr:rowOff>595366</xdr:rowOff>
    </xdr:to>
    <xdr:pic>
      <xdr:nvPicPr>
        <xdr:cNvPr id="12" name="image116.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45227" y="76858093"/>
          <a:ext cx="1526953" cy="291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508504</xdr:colOff>
      <xdr:row>1</xdr:row>
      <xdr:rowOff>452437</xdr:rowOff>
    </xdr:from>
    <xdr:to>
      <xdr:col>28</xdr:col>
      <xdr:colOff>913223</xdr:colOff>
      <xdr:row>11</xdr:row>
      <xdr:rowOff>36830</xdr:rowOff>
    </xdr:to>
    <xdr:pic>
      <xdr:nvPicPr>
        <xdr:cNvPr id="13" name="image1.jpeg"/>
        <xdr:cNvPicPr/>
      </xdr:nvPicPr>
      <xdr:blipFill>
        <a:blip xmlns:r="http://schemas.openxmlformats.org/officeDocument/2006/relationships" r:embed="rId3" cstate="print"/>
        <a:stretch>
          <a:fillRect/>
        </a:stretch>
      </xdr:blipFill>
      <xdr:spPr>
        <a:xfrm>
          <a:off x="22296942" y="1071562"/>
          <a:ext cx="11479149" cy="5858469"/>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17</xdr:col>
      <xdr:colOff>1047750</xdr:colOff>
      <xdr:row>11</xdr:row>
      <xdr:rowOff>478620</xdr:rowOff>
    </xdr:from>
    <xdr:to>
      <xdr:col>29</xdr:col>
      <xdr:colOff>80588</xdr:colOff>
      <xdr:row>25</xdr:row>
      <xdr:rowOff>208813</xdr:rowOff>
    </xdr:to>
    <xdr:pic>
      <xdr:nvPicPr>
        <xdr:cNvPr id="14" name="Рисунок 13" descr="Таблица мощностей 4А 1"/>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098000" y="7288995"/>
          <a:ext cx="13891838" cy="8397943"/>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962803</xdr:colOff>
      <xdr:row>25</xdr:row>
      <xdr:rowOff>475816</xdr:rowOff>
    </xdr:from>
    <xdr:to>
      <xdr:col>29</xdr:col>
      <xdr:colOff>4696</xdr:colOff>
      <xdr:row>34</xdr:row>
      <xdr:rowOff>376677</xdr:rowOff>
    </xdr:to>
    <xdr:pic>
      <xdr:nvPicPr>
        <xdr:cNvPr id="15" name="Рисунок 14" descr="Таблица мощностей 4А 2"/>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865848" y="16062180"/>
          <a:ext cx="13796984" cy="5511952"/>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4</xdr:col>
          <xdr:colOff>0</xdr:colOff>
          <xdr:row>352</xdr:row>
          <xdr:rowOff>0</xdr:rowOff>
        </xdr:from>
        <xdr:to>
          <xdr:col>4</xdr:col>
          <xdr:colOff>114300</xdr:colOff>
          <xdr:row>352</xdr:row>
          <xdr:rowOff>219075</xdr:rowOff>
        </xdr:to>
        <xdr:sp macro="" textlink="">
          <xdr:nvSpPr>
            <xdr:cNvPr id="7187" name="Object 19" hidden="1">
              <a:extLst>
                <a:ext uri="{63B3BB69-23CF-44E3-9099-C40C66FF867C}">
                  <a14:compatExt spid="_x0000_s71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676275</xdr:colOff>
          <xdr:row>348</xdr:row>
          <xdr:rowOff>361950</xdr:rowOff>
        </xdr:from>
        <xdr:to>
          <xdr:col>8</xdr:col>
          <xdr:colOff>1104900</xdr:colOff>
          <xdr:row>350</xdr:row>
          <xdr:rowOff>285750</xdr:rowOff>
        </xdr:to>
        <xdr:sp macro="" textlink="">
          <xdr:nvSpPr>
            <xdr:cNvPr id="7203" name="Object 35" hidden="1">
              <a:extLst>
                <a:ext uri="{63B3BB69-23CF-44E3-9099-C40C66FF867C}">
                  <a14:compatExt spid="_x0000_s72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609600</xdr:colOff>
          <xdr:row>354</xdr:row>
          <xdr:rowOff>333375</xdr:rowOff>
        </xdr:from>
        <xdr:to>
          <xdr:col>10</xdr:col>
          <xdr:colOff>247650</xdr:colOff>
          <xdr:row>356</xdr:row>
          <xdr:rowOff>238125</xdr:rowOff>
        </xdr:to>
        <xdr:sp macro="" textlink="">
          <xdr:nvSpPr>
            <xdr:cNvPr id="7204" name="Object 36" hidden="1">
              <a:extLst>
                <a:ext uri="{63B3BB69-23CF-44E3-9099-C40C66FF867C}">
                  <a14:compatExt spid="_x0000_s72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552450</xdr:colOff>
          <xdr:row>351</xdr:row>
          <xdr:rowOff>314325</xdr:rowOff>
        </xdr:from>
        <xdr:to>
          <xdr:col>7</xdr:col>
          <xdr:colOff>1000125</xdr:colOff>
          <xdr:row>353</xdr:row>
          <xdr:rowOff>257175</xdr:rowOff>
        </xdr:to>
        <xdr:sp macro="" textlink="">
          <xdr:nvSpPr>
            <xdr:cNvPr id="7205" name="Object 37" hidden="1">
              <a:extLst>
                <a:ext uri="{63B3BB69-23CF-44E3-9099-C40C66FF867C}">
                  <a14:compatExt spid="_x0000_s72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819150</xdr:colOff>
          <xdr:row>357</xdr:row>
          <xdr:rowOff>304800</xdr:rowOff>
        </xdr:from>
        <xdr:to>
          <xdr:col>9</xdr:col>
          <xdr:colOff>942975</xdr:colOff>
          <xdr:row>359</xdr:row>
          <xdr:rowOff>304800</xdr:rowOff>
        </xdr:to>
        <xdr:sp macro="" textlink="">
          <xdr:nvSpPr>
            <xdr:cNvPr id="7206" name="Object 38" hidden="1">
              <a:extLst>
                <a:ext uri="{63B3BB69-23CF-44E3-9099-C40C66FF867C}">
                  <a14:compatExt spid="_x0000_s72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1104900</xdr:colOff>
          <xdr:row>360</xdr:row>
          <xdr:rowOff>276225</xdr:rowOff>
        </xdr:from>
        <xdr:to>
          <xdr:col>9</xdr:col>
          <xdr:colOff>647700</xdr:colOff>
          <xdr:row>362</xdr:row>
          <xdr:rowOff>257175</xdr:rowOff>
        </xdr:to>
        <xdr:sp macro="" textlink="">
          <xdr:nvSpPr>
            <xdr:cNvPr id="7207" name="Object 39" hidden="1">
              <a:extLst>
                <a:ext uri="{63B3BB69-23CF-44E3-9099-C40C66FF867C}">
                  <a14:compatExt spid="_x0000_s72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485775</xdr:colOff>
          <xdr:row>363</xdr:row>
          <xdr:rowOff>285750</xdr:rowOff>
        </xdr:from>
        <xdr:to>
          <xdr:col>10</xdr:col>
          <xdr:colOff>133350</xdr:colOff>
          <xdr:row>365</xdr:row>
          <xdr:rowOff>200025</xdr:rowOff>
        </xdr:to>
        <xdr:sp macro="" textlink="">
          <xdr:nvSpPr>
            <xdr:cNvPr id="7208" name="Object 40" hidden="1">
              <a:extLst>
                <a:ext uri="{63B3BB69-23CF-44E3-9099-C40C66FF867C}">
                  <a14:compatExt spid="_x0000_s7208"/>
                </a:ext>
              </a:extLst>
            </xdr:cNvPr>
            <xdr:cNvSpPr/>
          </xdr:nvSpPr>
          <xdr:spPr>
            <a:xfrm>
              <a:off x="0" y="0"/>
              <a:ext cx="0" cy="0"/>
            </a:xfrm>
            <a:prstGeom prst="rect">
              <a:avLst/>
            </a:prstGeom>
          </xdr:spPr>
        </xdr:sp>
        <xdr:clientData/>
      </xdr:twoCellAnchor>
    </mc:Choice>
    <mc:Fallback/>
  </mc:AlternateContent>
  <xdr:twoCellAnchor>
    <xdr:from>
      <xdr:col>1</xdr:col>
      <xdr:colOff>519548</xdr:colOff>
      <xdr:row>328</xdr:row>
      <xdr:rowOff>181841</xdr:rowOff>
    </xdr:from>
    <xdr:to>
      <xdr:col>9</xdr:col>
      <xdr:colOff>381001</xdr:colOff>
      <xdr:row>338</xdr:row>
      <xdr:rowOff>207416</xdr:rowOff>
    </xdr:to>
    <xdr:pic>
      <xdr:nvPicPr>
        <xdr:cNvPr id="38" name="Рисунок 37" descr="9,5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757798" y="203254841"/>
          <a:ext cx="9767453" cy="6216825"/>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14</xdr:col>
          <xdr:colOff>800100</xdr:colOff>
          <xdr:row>347</xdr:row>
          <xdr:rowOff>123825</xdr:rowOff>
        </xdr:from>
        <xdr:to>
          <xdr:col>18</xdr:col>
          <xdr:colOff>1047750</xdr:colOff>
          <xdr:row>348</xdr:row>
          <xdr:rowOff>485775</xdr:rowOff>
        </xdr:to>
        <xdr:sp macro="" textlink="">
          <xdr:nvSpPr>
            <xdr:cNvPr id="7246" name="Object 78" hidden="1">
              <a:extLst>
                <a:ext uri="{63B3BB69-23CF-44E3-9099-C40C66FF867C}">
                  <a14:compatExt spid="_x0000_s724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123825</xdr:colOff>
          <xdr:row>349</xdr:row>
          <xdr:rowOff>133350</xdr:rowOff>
        </xdr:from>
        <xdr:to>
          <xdr:col>18</xdr:col>
          <xdr:colOff>95250</xdr:colOff>
          <xdr:row>350</xdr:row>
          <xdr:rowOff>381000</xdr:rowOff>
        </xdr:to>
        <xdr:sp macro="" textlink="">
          <xdr:nvSpPr>
            <xdr:cNvPr id="7245" name="Object 77" hidden="1">
              <a:extLst>
                <a:ext uri="{63B3BB69-23CF-44E3-9099-C40C66FF867C}">
                  <a14:compatExt spid="_x0000_s72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590550</xdr:colOff>
          <xdr:row>351</xdr:row>
          <xdr:rowOff>152400</xdr:rowOff>
        </xdr:from>
        <xdr:to>
          <xdr:col>17</xdr:col>
          <xdr:colOff>123825</xdr:colOff>
          <xdr:row>352</xdr:row>
          <xdr:rowOff>447675</xdr:rowOff>
        </xdr:to>
        <xdr:sp macro="" textlink="">
          <xdr:nvSpPr>
            <xdr:cNvPr id="7244" name="Object 76" hidden="1">
              <a:extLst>
                <a:ext uri="{63B3BB69-23CF-44E3-9099-C40C66FF867C}">
                  <a14:compatExt spid="_x0000_s724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14</xdr:col>
          <xdr:colOff>676275</xdr:colOff>
          <xdr:row>353</xdr:row>
          <xdr:rowOff>85725</xdr:rowOff>
        </xdr:from>
        <xdr:to>
          <xdr:col>18</xdr:col>
          <xdr:colOff>1095375</xdr:colOff>
          <xdr:row>354</xdr:row>
          <xdr:rowOff>485775</xdr:rowOff>
        </xdr:to>
        <xdr:sp macro="" textlink="">
          <xdr:nvSpPr>
            <xdr:cNvPr id="7243" name="Object 75" hidden="1">
              <a:extLst>
                <a:ext uri="{63B3BB69-23CF-44E3-9099-C40C66FF867C}">
                  <a14:compatExt spid="_x0000_s724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419100</xdr:colOff>
          <xdr:row>355</xdr:row>
          <xdr:rowOff>142875</xdr:rowOff>
        </xdr:from>
        <xdr:to>
          <xdr:col>18</xdr:col>
          <xdr:colOff>76200</xdr:colOff>
          <xdr:row>356</xdr:row>
          <xdr:rowOff>447675</xdr:rowOff>
        </xdr:to>
        <xdr:sp macro="" textlink="">
          <xdr:nvSpPr>
            <xdr:cNvPr id="7242" name="Object 74" hidden="1">
              <a:extLst>
                <a:ext uri="{63B3BB69-23CF-44E3-9099-C40C66FF867C}">
                  <a14:compatExt spid="_x0000_s7242"/>
                </a:ext>
              </a:extLst>
            </xdr:cNvPr>
            <xdr:cNvSpPr/>
          </xdr:nvSpPr>
          <xdr:spPr>
            <a:xfrm>
              <a:off x="0" y="0"/>
              <a:ext cx="0" cy="0"/>
            </a:xfrm>
            <a:prstGeom prst="rect">
              <a:avLst/>
            </a:prstGeom>
          </xdr:spPr>
        </xdr:sp>
        <xdr:clientData/>
      </xdr:twoCellAnchor>
    </mc:Choice>
    <mc:Fallback/>
  </mc:AlternateContent>
  <xdr:twoCellAnchor>
    <xdr:from>
      <xdr:col>12</xdr:col>
      <xdr:colOff>290512</xdr:colOff>
      <xdr:row>328</xdr:row>
      <xdr:rowOff>182705</xdr:rowOff>
    </xdr:from>
    <xdr:to>
      <xdr:col>18</xdr:col>
      <xdr:colOff>597480</xdr:colOff>
      <xdr:row>337</xdr:row>
      <xdr:rowOff>415635</xdr:rowOff>
    </xdr:to>
    <xdr:pic>
      <xdr:nvPicPr>
        <xdr:cNvPr id="74" name="Рисунок 73" descr="9,52"/>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6275194" y="132978523"/>
          <a:ext cx="7684513" cy="5844021"/>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24</xdr:col>
          <xdr:colOff>762000</xdr:colOff>
          <xdr:row>351</xdr:row>
          <xdr:rowOff>247650</xdr:rowOff>
        </xdr:from>
        <xdr:to>
          <xdr:col>28</xdr:col>
          <xdr:colOff>295275</xdr:colOff>
          <xdr:row>353</xdr:row>
          <xdr:rowOff>323850</xdr:rowOff>
        </xdr:to>
        <xdr:sp macro="" textlink="">
          <xdr:nvSpPr>
            <xdr:cNvPr id="7250" name="Object 82" hidden="1">
              <a:extLst>
                <a:ext uri="{63B3BB69-23CF-44E3-9099-C40C66FF867C}">
                  <a14:compatExt spid="_x0000_s72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885825</xdr:colOff>
          <xdr:row>354</xdr:row>
          <xdr:rowOff>247650</xdr:rowOff>
        </xdr:from>
        <xdr:to>
          <xdr:col>28</xdr:col>
          <xdr:colOff>419100</xdr:colOff>
          <xdr:row>356</xdr:row>
          <xdr:rowOff>323850</xdr:rowOff>
        </xdr:to>
        <xdr:sp macro="" textlink="">
          <xdr:nvSpPr>
            <xdr:cNvPr id="7252" name="Object 84" hidden="1">
              <a:extLst>
                <a:ext uri="{63B3BB69-23CF-44E3-9099-C40C66FF867C}">
                  <a14:compatExt spid="_x0000_s72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885825</xdr:colOff>
          <xdr:row>357</xdr:row>
          <xdr:rowOff>323850</xdr:rowOff>
        </xdr:from>
        <xdr:to>
          <xdr:col>28</xdr:col>
          <xdr:colOff>419100</xdr:colOff>
          <xdr:row>359</xdr:row>
          <xdr:rowOff>400050</xdr:rowOff>
        </xdr:to>
        <xdr:sp macro="" textlink="">
          <xdr:nvSpPr>
            <xdr:cNvPr id="7253" name="Object 85" hidden="1">
              <a:extLst>
                <a:ext uri="{63B3BB69-23CF-44E3-9099-C40C66FF867C}">
                  <a14:compatExt spid="_x0000_s72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30</xdr:col>
          <xdr:colOff>495300</xdr:colOff>
          <xdr:row>354</xdr:row>
          <xdr:rowOff>209550</xdr:rowOff>
        </xdr:from>
        <xdr:to>
          <xdr:col>35</xdr:col>
          <xdr:colOff>609600</xdr:colOff>
          <xdr:row>356</xdr:row>
          <xdr:rowOff>428625</xdr:rowOff>
        </xdr:to>
        <xdr:sp macro="" textlink="">
          <xdr:nvSpPr>
            <xdr:cNvPr id="7257" name="Object 89" hidden="1">
              <a:extLst>
                <a:ext uri="{63B3BB69-23CF-44E3-9099-C40C66FF867C}">
                  <a14:compatExt spid="_x0000_s72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30</xdr:col>
          <xdr:colOff>333375</xdr:colOff>
          <xdr:row>357</xdr:row>
          <xdr:rowOff>190500</xdr:rowOff>
        </xdr:from>
        <xdr:to>
          <xdr:col>35</xdr:col>
          <xdr:colOff>542925</xdr:colOff>
          <xdr:row>359</xdr:row>
          <xdr:rowOff>428625</xdr:rowOff>
        </xdr:to>
        <xdr:sp macro="" textlink="">
          <xdr:nvSpPr>
            <xdr:cNvPr id="7258" name="Object 90" hidden="1">
              <a:extLst>
                <a:ext uri="{63B3BB69-23CF-44E3-9099-C40C66FF867C}">
                  <a14:compatExt spid="_x0000_s72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31</xdr:col>
          <xdr:colOff>76200</xdr:colOff>
          <xdr:row>360</xdr:row>
          <xdr:rowOff>361950</xdr:rowOff>
        </xdr:from>
        <xdr:to>
          <xdr:col>33</xdr:col>
          <xdr:colOff>819150</xdr:colOff>
          <xdr:row>362</xdr:row>
          <xdr:rowOff>314325</xdr:rowOff>
        </xdr:to>
        <xdr:sp macro="" textlink="">
          <xdr:nvSpPr>
            <xdr:cNvPr id="7259" name="Object 91" hidden="1">
              <a:extLst>
                <a:ext uri="{63B3BB69-23CF-44E3-9099-C40C66FF867C}">
                  <a14:compatExt spid="_x0000_s72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30</xdr:col>
          <xdr:colOff>409575</xdr:colOff>
          <xdr:row>363</xdr:row>
          <xdr:rowOff>114300</xdr:rowOff>
        </xdr:from>
        <xdr:to>
          <xdr:col>35</xdr:col>
          <xdr:colOff>342900</xdr:colOff>
          <xdr:row>365</xdr:row>
          <xdr:rowOff>476250</xdr:rowOff>
        </xdr:to>
        <xdr:sp macro="" textlink="">
          <xdr:nvSpPr>
            <xdr:cNvPr id="7260" name="Object 92" hidden="1">
              <a:extLst>
                <a:ext uri="{63B3BB69-23CF-44E3-9099-C40C66FF867C}">
                  <a14:compatExt spid="_x0000_s72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742950</xdr:colOff>
          <xdr:row>351</xdr:row>
          <xdr:rowOff>342900</xdr:rowOff>
        </xdr:from>
        <xdr:to>
          <xdr:col>33</xdr:col>
          <xdr:colOff>762000</xdr:colOff>
          <xdr:row>353</xdr:row>
          <xdr:rowOff>295275</xdr:rowOff>
        </xdr:to>
        <xdr:sp macro="" textlink="">
          <xdr:nvSpPr>
            <xdr:cNvPr id="7261" name="Object 93" hidden="1">
              <a:extLst>
                <a:ext uri="{63B3BB69-23CF-44E3-9099-C40C66FF867C}">
                  <a14:compatExt spid="_x0000_s726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609600</xdr:colOff>
          <xdr:row>348</xdr:row>
          <xdr:rowOff>247650</xdr:rowOff>
        </xdr:from>
        <xdr:to>
          <xdr:col>34</xdr:col>
          <xdr:colOff>38100</xdr:colOff>
          <xdr:row>350</xdr:row>
          <xdr:rowOff>342900</xdr:rowOff>
        </xdr:to>
        <xdr:sp macro="" textlink="">
          <xdr:nvSpPr>
            <xdr:cNvPr id="7262" name="Object 94" hidden="1">
              <a:extLst>
                <a:ext uri="{63B3BB69-23CF-44E3-9099-C40C66FF867C}">
                  <a14:compatExt spid="_x0000_s726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895350</xdr:colOff>
          <xdr:row>348</xdr:row>
          <xdr:rowOff>352425</xdr:rowOff>
        </xdr:from>
        <xdr:to>
          <xdr:col>28</xdr:col>
          <xdr:colOff>428625</xdr:colOff>
          <xdr:row>350</xdr:row>
          <xdr:rowOff>428625</xdr:rowOff>
        </xdr:to>
        <xdr:sp macro="" textlink="">
          <xdr:nvSpPr>
            <xdr:cNvPr id="7264" name="Object 96" hidden="1">
              <a:extLst>
                <a:ext uri="{63B3BB69-23CF-44E3-9099-C40C66FF867C}">
                  <a14:compatExt spid="_x0000_s72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457200</xdr:colOff>
          <xdr:row>360</xdr:row>
          <xdr:rowOff>285750</xdr:rowOff>
        </xdr:from>
        <xdr:to>
          <xdr:col>27</xdr:col>
          <xdr:colOff>552450</xdr:colOff>
          <xdr:row>362</xdr:row>
          <xdr:rowOff>200025</xdr:rowOff>
        </xdr:to>
        <xdr:sp macro="" textlink="">
          <xdr:nvSpPr>
            <xdr:cNvPr id="7265" name="Object 97" hidden="1">
              <a:extLst>
                <a:ext uri="{63B3BB69-23CF-44E3-9099-C40C66FF867C}">
                  <a14:compatExt spid="_x0000_s72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828675</xdr:colOff>
          <xdr:row>363</xdr:row>
          <xdr:rowOff>209550</xdr:rowOff>
        </xdr:from>
        <xdr:to>
          <xdr:col>28</xdr:col>
          <xdr:colOff>638175</xdr:colOff>
          <xdr:row>365</xdr:row>
          <xdr:rowOff>361950</xdr:rowOff>
        </xdr:to>
        <xdr:sp macro="" textlink="">
          <xdr:nvSpPr>
            <xdr:cNvPr id="7266" name="Object 98" hidden="1">
              <a:extLst>
                <a:ext uri="{63B3BB69-23CF-44E3-9099-C40C66FF867C}">
                  <a14:compatExt spid="_x0000_s7266"/>
                </a:ext>
              </a:extLst>
            </xdr:cNvPr>
            <xdr:cNvSpPr/>
          </xdr:nvSpPr>
          <xdr:spPr>
            <a:xfrm>
              <a:off x="0" y="0"/>
              <a:ext cx="0" cy="0"/>
            </a:xfrm>
            <a:prstGeom prst="rect">
              <a:avLst/>
            </a:prstGeom>
          </xdr:spPr>
        </xdr:sp>
        <xdr:clientData/>
      </xdr:twoCellAnchor>
    </mc:Choice>
    <mc:Fallback/>
  </mc:AlternateContent>
  <xdr:twoCellAnchor editAs="oneCell">
    <xdr:from>
      <xdr:col>33</xdr:col>
      <xdr:colOff>888857</xdr:colOff>
      <xdr:row>369</xdr:row>
      <xdr:rowOff>372343</xdr:rowOff>
    </xdr:from>
    <xdr:to>
      <xdr:col>46</xdr:col>
      <xdr:colOff>376683</xdr:colOff>
      <xdr:row>384</xdr:row>
      <xdr:rowOff>418094</xdr:rowOff>
    </xdr:to>
    <xdr:pic>
      <xdr:nvPicPr>
        <xdr:cNvPr id="48" name="Picture 275"/>
        <xdr:cNvPicPr>
          <a:picLocks noChangeAspect="1" noChangeArrowheads="1"/>
        </xdr:cNvPicPr>
      </xdr:nvPicPr>
      <xdr:blipFill>
        <a:blip xmlns:r="http://schemas.openxmlformats.org/officeDocument/2006/relationships" r:embed="rId8" cstate="print"/>
        <a:srcRect/>
        <a:stretch>
          <a:fillRect/>
        </a:stretch>
      </xdr:blipFill>
      <xdr:spPr bwMode="auto">
        <a:xfrm>
          <a:off x="41751107" y="228829468"/>
          <a:ext cx="15585076" cy="9332626"/>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23</xdr:col>
      <xdr:colOff>731262</xdr:colOff>
      <xdr:row>329</xdr:row>
      <xdr:rowOff>90056</xdr:rowOff>
    </xdr:from>
    <xdr:to>
      <xdr:col>28</xdr:col>
      <xdr:colOff>317107</xdr:colOff>
      <xdr:row>341</xdr:row>
      <xdr:rowOff>415637</xdr:rowOff>
    </xdr:to>
    <xdr:pic>
      <xdr:nvPicPr>
        <xdr:cNvPr id="51" name="Рисунок 50" descr="9,66"/>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011853" y="133509329"/>
          <a:ext cx="5733799" cy="7807035"/>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666747</xdr:colOff>
      <xdr:row>371</xdr:row>
      <xdr:rowOff>404813</xdr:rowOff>
    </xdr:from>
    <xdr:to>
      <xdr:col>22</xdr:col>
      <xdr:colOff>544504</xdr:colOff>
      <xdr:row>392</xdr:row>
      <xdr:rowOff>23814</xdr:rowOff>
    </xdr:to>
    <xdr:pic>
      <xdr:nvPicPr>
        <xdr:cNvPr id="53" name="Рисунок 52" descr=" Таблица 14"/>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04997" y="158900813"/>
          <a:ext cx="25881007" cy="12620626"/>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187717</xdr:colOff>
      <xdr:row>38</xdr:row>
      <xdr:rowOff>231318</xdr:rowOff>
    </xdr:from>
    <xdr:to>
      <xdr:col>18</xdr:col>
      <xdr:colOff>1070944</xdr:colOff>
      <xdr:row>43</xdr:row>
      <xdr:rowOff>352547</xdr:rowOff>
    </xdr:to>
    <xdr:pic>
      <xdr:nvPicPr>
        <xdr:cNvPr id="39" name="image2.png"/>
        <xdr:cNvPicPr/>
      </xdr:nvPicPr>
      <xdr:blipFill>
        <a:blip xmlns:r="http://schemas.openxmlformats.org/officeDocument/2006/relationships" r:embed="rId11" cstate="print"/>
        <a:stretch>
          <a:fillRect/>
        </a:stretch>
      </xdr:blipFill>
      <xdr:spPr>
        <a:xfrm>
          <a:off x="17332717" y="24016604"/>
          <a:ext cx="5781798" cy="3250872"/>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20</xdr:col>
      <xdr:colOff>342034</xdr:colOff>
      <xdr:row>38</xdr:row>
      <xdr:rowOff>158028</xdr:rowOff>
    </xdr:from>
    <xdr:to>
      <xdr:col>27</xdr:col>
      <xdr:colOff>703496</xdr:colOff>
      <xdr:row>47</xdr:row>
      <xdr:rowOff>443019</xdr:rowOff>
    </xdr:to>
    <xdr:pic>
      <xdr:nvPicPr>
        <xdr:cNvPr id="40" name="image12.png"/>
        <xdr:cNvPicPr/>
      </xdr:nvPicPr>
      <xdr:blipFill>
        <a:blip xmlns:r="http://schemas.openxmlformats.org/officeDocument/2006/relationships" r:embed="rId12" cstate="print"/>
        <a:stretch>
          <a:fillRect/>
        </a:stretch>
      </xdr:blipFill>
      <xdr:spPr>
        <a:xfrm>
          <a:off x="25107034" y="23684778"/>
          <a:ext cx="9029212" cy="5857116"/>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xdr:from>
      <xdr:col>15</xdr:col>
      <xdr:colOff>461096</xdr:colOff>
      <xdr:row>403</xdr:row>
      <xdr:rowOff>424296</xdr:rowOff>
    </xdr:from>
    <xdr:to>
      <xdr:col>22</xdr:col>
      <xdr:colOff>567285</xdr:colOff>
      <xdr:row>422</xdr:row>
      <xdr:rowOff>180108</xdr:rowOff>
    </xdr:to>
    <xdr:pic>
      <xdr:nvPicPr>
        <xdr:cNvPr id="44" name="Рисунок 43" descr="Без имени"/>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034846" y="249931671"/>
          <a:ext cx="8773939" cy="11519187"/>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36</xdr:col>
      <xdr:colOff>298738</xdr:colOff>
      <xdr:row>326</xdr:row>
      <xdr:rowOff>309562</xdr:rowOff>
    </xdr:from>
    <xdr:to>
      <xdr:col>42</xdr:col>
      <xdr:colOff>896489</xdr:colOff>
      <xdr:row>337</xdr:row>
      <xdr:rowOff>290079</xdr:rowOff>
    </xdr:to>
    <xdr:pic>
      <xdr:nvPicPr>
        <xdr:cNvPr id="54" name="Рисунок 53" descr="Рисунок_15"/>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44875738" y="202144312"/>
          <a:ext cx="8027251" cy="679089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25</xdr:col>
      <xdr:colOff>1151658</xdr:colOff>
      <xdr:row>314</xdr:row>
      <xdr:rowOff>154130</xdr:rowOff>
    </xdr:from>
    <xdr:to>
      <xdr:col>33</xdr:col>
      <xdr:colOff>256947</xdr:colOff>
      <xdr:row>319</xdr:row>
      <xdr:rowOff>398317</xdr:rowOff>
    </xdr:to>
    <xdr:pic>
      <xdr:nvPicPr>
        <xdr:cNvPr id="55" name="Рисунок 54" descr="Рисунок_Копылов"/>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2107908" y="194559380"/>
          <a:ext cx="9011289" cy="3339812"/>
        </a:xfrm>
        <a:prstGeom prst="rect">
          <a:avLst/>
        </a:prstGeom>
        <a:ln w="1587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333375</xdr:colOff>
      <xdr:row>309</xdr:row>
      <xdr:rowOff>261936</xdr:rowOff>
    </xdr:from>
    <xdr:to>
      <xdr:col>22</xdr:col>
      <xdr:colOff>793897</xdr:colOff>
      <xdr:row>322</xdr:row>
      <xdr:rowOff>261936</xdr:rowOff>
    </xdr:to>
    <xdr:pic>
      <xdr:nvPicPr>
        <xdr:cNvPr id="59" name="Рисунок 58" descr="Рисунок_17"/>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5192375" y="191571561"/>
          <a:ext cx="12843022" cy="8048625"/>
        </a:xfrm>
        <a:prstGeom prst="rect">
          <a:avLst/>
        </a:prstGeom>
        <a:ln w="1587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41</xdr:col>
      <xdr:colOff>904874</xdr:colOff>
      <xdr:row>51</xdr:row>
      <xdr:rowOff>119062</xdr:rowOff>
    </xdr:from>
    <xdr:to>
      <xdr:col>47</xdr:col>
      <xdr:colOff>499506</xdr:colOff>
      <xdr:row>57</xdr:row>
      <xdr:rowOff>404811</xdr:rowOff>
    </xdr:to>
    <xdr:pic>
      <xdr:nvPicPr>
        <xdr:cNvPr id="60" name="Рисунок 59" descr="Рисунок_8"/>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51673124" y="31694437"/>
          <a:ext cx="7024132" cy="4000499"/>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43</xdr:col>
      <xdr:colOff>254577</xdr:colOff>
      <xdr:row>34</xdr:row>
      <xdr:rowOff>364547</xdr:rowOff>
    </xdr:from>
    <xdr:to>
      <xdr:col>50</xdr:col>
      <xdr:colOff>994183</xdr:colOff>
      <xdr:row>40</xdr:row>
      <xdr:rowOff>311727</xdr:rowOff>
    </xdr:to>
    <xdr:pic>
      <xdr:nvPicPr>
        <xdr:cNvPr id="61" name="Рисунок 60" descr="Рисунок_7"/>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3126986" y="21562002"/>
          <a:ext cx="9346742" cy="3687907"/>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399</xdr:row>
      <xdr:rowOff>152400</xdr:rowOff>
    </xdr:from>
    <xdr:to>
      <xdr:col>37</xdr:col>
      <xdr:colOff>964510</xdr:colOff>
      <xdr:row>409</xdr:row>
      <xdr:rowOff>213600</xdr:rowOff>
    </xdr:to>
    <xdr:pic>
      <xdr:nvPicPr>
        <xdr:cNvPr id="45" name="Picture 314"/>
        <xdr:cNvPicPr>
          <a:picLocks noChangeAspect="1" noChangeArrowheads="1"/>
        </xdr:cNvPicPr>
      </xdr:nvPicPr>
      <xdr:blipFill>
        <a:blip xmlns:r="http://schemas.openxmlformats.org/officeDocument/2006/relationships" r:embed="rId19" cstate="print"/>
        <a:srcRect/>
        <a:stretch>
          <a:fillRect/>
        </a:stretch>
      </xdr:blipFill>
      <xdr:spPr bwMode="auto">
        <a:xfrm>
          <a:off x="35356800" y="243382800"/>
          <a:ext cx="10718110" cy="6157200"/>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60</xdr:col>
      <xdr:colOff>481011</xdr:colOff>
      <xdr:row>55</xdr:row>
      <xdr:rowOff>277523</xdr:rowOff>
    </xdr:from>
    <xdr:to>
      <xdr:col>68</xdr:col>
      <xdr:colOff>856226</xdr:colOff>
      <xdr:row>73</xdr:row>
      <xdr:rowOff>225136</xdr:rowOff>
    </xdr:to>
    <xdr:pic>
      <xdr:nvPicPr>
        <xdr:cNvPr id="46" name="Рисунок 45" descr="Рисунок_9"/>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4776011" y="34329398"/>
          <a:ext cx="10281215" cy="11091863"/>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490537</xdr:colOff>
      <xdr:row>176</xdr:row>
      <xdr:rowOff>214313</xdr:rowOff>
    </xdr:from>
    <xdr:to>
      <xdr:col>7</xdr:col>
      <xdr:colOff>416723</xdr:colOff>
      <xdr:row>191</xdr:row>
      <xdr:rowOff>338737</xdr:rowOff>
    </xdr:to>
    <xdr:pic>
      <xdr:nvPicPr>
        <xdr:cNvPr id="47" name="Picture 233"/>
        <xdr:cNvPicPr>
          <a:picLocks noChangeAspect="1" noChangeArrowheads="1"/>
        </xdr:cNvPicPr>
      </xdr:nvPicPr>
      <xdr:blipFill>
        <a:blip xmlns:r="http://schemas.openxmlformats.org/officeDocument/2006/relationships" r:embed="rId21" cstate="print"/>
        <a:srcRect/>
        <a:stretch>
          <a:fillRect/>
        </a:stretch>
      </xdr:blipFill>
      <xdr:spPr bwMode="auto">
        <a:xfrm>
          <a:off x="40114537" y="37361813"/>
          <a:ext cx="7355686" cy="941129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13</xdr:col>
      <xdr:colOff>1047750</xdr:colOff>
      <xdr:row>178</xdr:row>
      <xdr:rowOff>95250</xdr:rowOff>
    </xdr:from>
    <xdr:to>
      <xdr:col>19</xdr:col>
      <xdr:colOff>342030</xdr:colOff>
      <xdr:row>184</xdr:row>
      <xdr:rowOff>192312</xdr:rowOff>
    </xdr:to>
    <xdr:pic>
      <xdr:nvPicPr>
        <xdr:cNvPr id="49" name="Picture 132"/>
        <xdr:cNvPicPr>
          <a:picLocks noChangeAspect="1" noChangeArrowheads="1"/>
        </xdr:cNvPicPr>
      </xdr:nvPicPr>
      <xdr:blipFill>
        <a:blip xmlns:r="http://schemas.openxmlformats.org/officeDocument/2006/relationships" r:embed="rId22" cstate="print"/>
        <a:srcRect/>
        <a:stretch>
          <a:fillRect/>
        </a:stretch>
      </xdr:blipFill>
      <xdr:spPr bwMode="auto">
        <a:xfrm>
          <a:off x="17145000" y="118776750"/>
          <a:ext cx="6723780" cy="4097562"/>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31</xdr:col>
      <xdr:colOff>390523</xdr:colOff>
      <xdr:row>34</xdr:row>
      <xdr:rowOff>161925</xdr:rowOff>
    </xdr:from>
    <xdr:to>
      <xdr:col>40</xdr:col>
      <xdr:colOff>618264</xdr:colOff>
      <xdr:row>44</xdr:row>
      <xdr:rowOff>381001</xdr:rowOff>
    </xdr:to>
    <xdr:pic>
      <xdr:nvPicPr>
        <xdr:cNvPr id="50" name="Рисунок 49" descr="Рисунок_4"/>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38776273" y="21212175"/>
          <a:ext cx="11371991" cy="6410326"/>
        </a:xfrm>
        <a:prstGeom prst="rect">
          <a:avLst/>
        </a:prstGeom>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171</xdr:row>
      <xdr:rowOff>0</xdr:rowOff>
    </xdr:from>
    <xdr:to>
      <xdr:col>28</xdr:col>
      <xdr:colOff>1165679</xdr:colOff>
      <xdr:row>179</xdr:row>
      <xdr:rowOff>53484</xdr:rowOff>
    </xdr:to>
    <xdr:pic>
      <xdr:nvPicPr>
        <xdr:cNvPr id="52" name="Picture 134"/>
        <xdr:cNvPicPr>
          <a:picLocks noChangeAspect="1" noChangeArrowheads="1"/>
        </xdr:cNvPicPr>
      </xdr:nvPicPr>
      <xdr:blipFill>
        <a:blip xmlns:r="http://schemas.openxmlformats.org/officeDocument/2006/relationships" r:embed="rId24" cstate="print"/>
        <a:srcRect/>
        <a:stretch>
          <a:fillRect/>
        </a:stretch>
      </xdr:blipFill>
      <xdr:spPr bwMode="auto">
        <a:xfrm>
          <a:off x="29718000" y="105870375"/>
          <a:ext cx="6118679" cy="5006484"/>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24</xdr:col>
      <xdr:colOff>60799</xdr:colOff>
      <xdr:row>195</xdr:row>
      <xdr:rowOff>594079</xdr:rowOff>
    </xdr:from>
    <xdr:to>
      <xdr:col>32</xdr:col>
      <xdr:colOff>1235932</xdr:colOff>
      <xdr:row>207</xdr:row>
      <xdr:rowOff>525141</xdr:rowOff>
    </xdr:to>
    <xdr:pic>
      <xdr:nvPicPr>
        <xdr:cNvPr id="56" name="Picture 291"/>
        <xdr:cNvPicPr>
          <a:picLocks noChangeAspect="1" noChangeArrowheads="1"/>
        </xdr:cNvPicPr>
      </xdr:nvPicPr>
      <xdr:blipFill>
        <a:blip xmlns:r="http://schemas.openxmlformats.org/officeDocument/2006/relationships" r:embed="rId25" cstate="print"/>
        <a:srcRect/>
        <a:stretch>
          <a:fillRect/>
        </a:stretch>
      </xdr:blipFill>
      <xdr:spPr bwMode="auto">
        <a:xfrm>
          <a:off x="29778799" y="121323454"/>
          <a:ext cx="11081133" cy="7360562"/>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24</xdr:col>
      <xdr:colOff>295032</xdr:colOff>
      <xdr:row>185</xdr:row>
      <xdr:rowOff>22578</xdr:rowOff>
    </xdr:from>
    <xdr:to>
      <xdr:col>31</xdr:col>
      <xdr:colOff>1207767</xdr:colOff>
      <xdr:row>192</xdr:row>
      <xdr:rowOff>400152</xdr:rowOff>
    </xdr:to>
    <xdr:pic>
      <xdr:nvPicPr>
        <xdr:cNvPr id="57" name="Picture 306"/>
        <xdr:cNvPicPr>
          <a:picLocks noChangeAspect="1" noChangeArrowheads="1"/>
        </xdr:cNvPicPr>
      </xdr:nvPicPr>
      <xdr:blipFill>
        <a:blip xmlns:r="http://schemas.openxmlformats.org/officeDocument/2006/relationships" r:embed="rId26" cstate="print"/>
        <a:srcRect/>
        <a:stretch>
          <a:fillRect/>
        </a:stretch>
      </xdr:blipFill>
      <xdr:spPr bwMode="auto">
        <a:xfrm>
          <a:off x="30013032" y="114560703"/>
          <a:ext cx="9580485" cy="471144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12</xdr:col>
      <xdr:colOff>323879</xdr:colOff>
      <xdr:row>21</xdr:row>
      <xdr:rowOff>152679</xdr:rowOff>
    </xdr:from>
    <xdr:to>
      <xdr:col>19</xdr:col>
      <xdr:colOff>238154</xdr:colOff>
      <xdr:row>31</xdr:row>
      <xdr:rowOff>225854</xdr:rowOff>
    </xdr:to>
    <xdr:pic>
      <xdr:nvPicPr>
        <xdr:cNvPr id="3" name="Рисунок 2" descr="9,4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71736" y="6439179"/>
          <a:ext cx="4200525" cy="3066746"/>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49</xdr:col>
      <xdr:colOff>82692</xdr:colOff>
      <xdr:row>146</xdr:row>
      <xdr:rowOff>44161</xdr:rowOff>
    </xdr:from>
    <xdr:to>
      <xdr:col>63</xdr:col>
      <xdr:colOff>507784</xdr:colOff>
      <xdr:row>156</xdr:row>
      <xdr:rowOff>282287</xdr:rowOff>
    </xdr:to>
    <xdr:pic>
      <xdr:nvPicPr>
        <xdr:cNvPr id="8" name="Picture 306"/>
        <xdr:cNvPicPr>
          <a:picLocks noChangeAspect="1" noChangeArrowheads="1"/>
        </xdr:cNvPicPr>
      </xdr:nvPicPr>
      <xdr:blipFill>
        <a:blip xmlns:r="http://schemas.openxmlformats.org/officeDocument/2006/relationships" r:embed="rId2" cstate="print"/>
        <a:srcRect/>
        <a:stretch>
          <a:fillRect/>
        </a:stretch>
      </xdr:blipFill>
      <xdr:spPr bwMode="auto">
        <a:xfrm>
          <a:off x="30419817" y="45240286"/>
          <a:ext cx="9092842" cy="3333751"/>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48</xdr:col>
      <xdr:colOff>383597</xdr:colOff>
      <xdr:row>141</xdr:row>
      <xdr:rowOff>190499</xdr:rowOff>
    </xdr:from>
    <xdr:to>
      <xdr:col>63</xdr:col>
      <xdr:colOff>160988</xdr:colOff>
      <xdr:row>145</xdr:row>
      <xdr:rowOff>66426</xdr:rowOff>
    </xdr:to>
    <xdr:pic>
      <xdr:nvPicPr>
        <xdr:cNvPr id="9" name="Picture 307"/>
        <xdr:cNvPicPr>
          <a:picLocks noChangeAspect="1" noChangeArrowheads="1"/>
        </xdr:cNvPicPr>
      </xdr:nvPicPr>
      <xdr:blipFill>
        <a:blip xmlns:r="http://schemas.openxmlformats.org/officeDocument/2006/relationships" r:embed="rId3" cstate="print"/>
        <a:srcRect/>
        <a:stretch>
          <a:fillRect/>
        </a:stretch>
      </xdr:blipFill>
      <xdr:spPr bwMode="auto">
        <a:xfrm>
          <a:off x="30101597" y="43838812"/>
          <a:ext cx="9064266" cy="1114177"/>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49</xdr:col>
      <xdr:colOff>411302</xdr:colOff>
      <xdr:row>137</xdr:row>
      <xdr:rowOff>220374</xdr:rowOff>
    </xdr:from>
    <xdr:to>
      <xdr:col>64</xdr:col>
      <xdr:colOff>125052</xdr:colOff>
      <xdr:row>159</xdr:row>
      <xdr:rowOff>149995</xdr:rowOff>
    </xdr:to>
    <xdr:pic>
      <xdr:nvPicPr>
        <xdr:cNvPr id="10" name="Picture 308"/>
        <xdr:cNvPicPr>
          <a:picLocks noChangeAspect="1" noChangeArrowheads="1"/>
        </xdr:cNvPicPr>
      </xdr:nvPicPr>
      <xdr:blipFill>
        <a:blip xmlns:r="http://schemas.openxmlformats.org/officeDocument/2006/relationships" r:embed="rId4" cstate="print"/>
        <a:srcRect/>
        <a:stretch>
          <a:fillRect/>
        </a:stretch>
      </xdr:blipFill>
      <xdr:spPr bwMode="auto">
        <a:xfrm>
          <a:off x="30748427" y="42630437"/>
          <a:ext cx="9000625" cy="6739996"/>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47</xdr:col>
      <xdr:colOff>592279</xdr:colOff>
      <xdr:row>148</xdr:row>
      <xdr:rowOff>25114</xdr:rowOff>
    </xdr:from>
    <xdr:to>
      <xdr:col>64</xdr:col>
      <xdr:colOff>588273</xdr:colOff>
      <xdr:row>165</xdr:row>
      <xdr:rowOff>24030</xdr:rowOff>
    </xdr:to>
    <xdr:pic>
      <xdr:nvPicPr>
        <xdr:cNvPr id="11" name="Picture 310"/>
        <xdr:cNvPicPr>
          <a:picLocks noChangeAspect="1" noChangeArrowheads="1"/>
        </xdr:cNvPicPr>
      </xdr:nvPicPr>
      <xdr:blipFill>
        <a:blip xmlns:r="http://schemas.openxmlformats.org/officeDocument/2006/relationships" r:embed="rId5" cstate="print"/>
        <a:srcRect/>
        <a:stretch>
          <a:fillRect/>
        </a:stretch>
      </xdr:blipFill>
      <xdr:spPr bwMode="auto">
        <a:xfrm>
          <a:off x="29691154" y="45840364"/>
          <a:ext cx="10521119" cy="526147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48</xdr:col>
      <xdr:colOff>277957</xdr:colOff>
      <xdr:row>152</xdr:row>
      <xdr:rowOff>172748</xdr:rowOff>
    </xdr:from>
    <xdr:to>
      <xdr:col>65</xdr:col>
      <xdr:colOff>83451</xdr:colOff>
      <xdr:row>156</xdr:row>
      <xdr:rowOff>29873</xdr:rowOff>
    </xdr:to>
    <xdr:pic>
      <xdr:nvPicPr>
        <xdr:cNvPr id="12" name="Picture 312"/>
        <xdr:cNvPicPr>
          <a:picLocks noChangeAspect="1" noChangeArrowheads="1"/>
        </xdr:cNvPicPr>
      </xdr:nvPicPr>
      <xdr:blipFill>
        <a:blip xmlns:r="http://schemas.openxmlformats.org/officeDocument/2006/relationships" r:embed="rId6" cstate="print"/>
        <a:srcRect/>
        <a:stretch>
          <a:fillRect/>
        </a:stretch>
      </xdr:blipFill>
      <xdr:spPr bwMode="auto">
        <a:xfrm>
          <a:off x="29995957" y="47226248"/>
          <a:ext cx="10330619" cy="1095375"/>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46</xdr:col>
      <xdr:colOff>219940</xdr:colOff>
      <xdr:row>151</xdr:row>
      <xdr:rowOff>168422</xdr:rowOff>
    </xdr:from>
    <xdr:to>
      <xdr:col>65</xdr:col>
      <xdr:colOff>228918</xdr:colOff>
      <xdr:row>164</xdr:row>
      <xdr:rowOff>74746</xdr:rowOff>
    </xdr:to>
    <xdr:pic>
      <xdr:nvPicPr>
        <xdr:cNvPr id="13" name="Picture 313"/>
        <xdr:cNvPicPr>
          <a:picLocks noChangeAspect="1" noChangeArrowheads="1"/>
        </xdr:cNvPicPr>
      </xdr:nvPicPr>
      <xdr:blipFill>
        <a:blip xmlns:r="http://schemas.openxmlformats.org/officeDocument/2006/relationships" r:embed="rId7" cstate="print"/>
        <a:srcRect/>
        <a:stretch>
          <a:fillRect/>
        </a:stretch>
      </xdr:blipFill>
      <xdr:spPr bwMode="auto">
        <a:xfrm>
          <a:off x="28699690" y="46912360"/>
          <a:ext cx="11772353" cy="3930636"/>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20</xdr:col>
      <xdr:colOff>152400</xdr:colOff>
      <xdr:row>235</xdr:row>
      <xdr:rowOff>102176</xdr:rowOff>
    </xdr:from>
    <xdr:to>
      <xdr:col>39</xdr:col>
      <xdr:colOff>147957</xdr:colOff>
      <xdr:row>242</xdr:row>
      <xdr:rowOff>169909</xdr:rowOff>
    </xdr:to>
    <xdr:pic>
      <xdr:nvPicPr>
        <xdr:cNvPr id="14" name="Picture 314"/>
        <xdr:cNvPicPr>
          <a:picLocks noChangeAspect="1" noChangeArrowheads="1"/>
        </xdr:cNvPicPr>
      </xdr:nvPicPr>
      <xdr:blipFill>
        <a:blip xmlns:r="http://schemas.openxmlformats.org/officeDocument/2006/relationships" r:embed="rId8" cstate="print"/>
        <a:srcRect/>
        <a:stretch>
          <a:fillRect/>
        </a:stretch>
      </xdr:blipFill>
      <xdr:spPr bwMode="auto">
        <a:xfrm>
          <a:off x="12344400" y="71730176"/>
          <a:ext cx="11577957" cy="2201333"/>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22</xdr:col>
      <xdr:colOff>545955</xdr:colOff>
      <xdr:row>224</xdr:row>
      <xdr:rowOff>290080</xdr:rowOff>
    </xdr:from>
    <xdr:to>
      <xdr:col>35</xdr:col>
      <xdr:colOff>601309</xdr:colOff>
      <xdr:row>229</xdr:row>
      <xdr:rowOff>161492</xdr:rowOff>
    </xdr:to>
    <xdr:pic>
      <xdr:nvPicPr>
        <xdr:cNvPr id="15" name="Picture 315"/>
        <xdr:cNvPicPr>
          <a:picLocks noChangeAspect="1" noChangeArrowheads="1"/>
        </xdr:cNvPicPr>
      </xdr:nvPicPr>
      <xdr:blipFill>
        <a:blip xmlns:r="http://schemas.openxmlformats.org/officeDocument/2006/relationships" r:embed="rId9" cstate="print"/>
        <a:srcRect/>
        <a:stretch>
          <a:fillRect/>
        </a:stretch>
      </xdr:blipFill>
      <xdr:spPr bwMode="auto">
        <a:xfrm>
          <a:off x="13957155" y="68565280"/>
          <a:ext cx="7980154" cy="1395412"/>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5</xdr:col>
      <xdr:colOff>565011</xdr:colOff>
      <xdr:row>160</xdr:row>
      <xdr:rowOff>66678</xdr:rowOff>
    </xdr:from>
    <xdr:to>
      <xdr:col>25</xdr:col>
      <xdr:colOff>102828</xdr:colOff>
      <xdr:row>176</xdr:row>
      <xdr:rowOff>225442</xdr:rowOff>
    </xdr:to>
    <xdr:pic>
      <xdr:nvPicPr>
        <xdr:cNvPr id="16" name="Picture 223"/>
        <xdr:cNvPicPr>
          <a:picLocks noChangeAspect="1" noChangeArrowheads="1"/>
        </xdr:cNvPicPr>
      </xdr:nvPicPr>
      <xdr:blipFill>
        <a:blip xmlns:r="http://schemas.openxmlformats.org/officeDocument/2006/relationships" r:embed="rId10" cstate="print"/>
        <a:srcRect/>
        <a:stretch>
          <a:fillRect/>
        </a:stretch>
      </xdr:blipFill>
      <xdr:spPr bwMode="auto">
        <a:xfrm>
          <a:off x="3660636" y="49596678"/>
          <a:ext cx="11920317" cy="5111764"/>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5</xdr:col>
      <xdr:colOff>415700</xdr:colOff>
      <xdr:row>154</xdr:row>
      <xdr:rowOff>1</xdr:rowOff>
    </xdr:from>
    <xdr:to>
      <xdr:col>24</xdr:col>
      <xdr:colOff>565327</xdr:colOff>
      <xdr:row>164</xdr:row>
      <xdr:rowOff>227955</xdr:rowOff>
    </xdr:to>
    <xdr:pic>
      <xdr:nvPicPr>
        <xdr:cNvPr id="17" name="Picture 234"/>
        <xdr:cNvPicPr>
          <a:picLocks noChangeAspect="1" noChangeArrowheads="1"/>
        </xdr:cNvPicPr>
      </xdr:nvPicPr>
      <xdr:blipFill>
        <a:blip xmlns:r="http://schemas.openxmlformats.org/officeDocument/2006/relationships" r:embed="rId11" cstate="print"/>
        <a:srcRect/>
        <a:stretch>
          <a:fillRect/>
        </a:stretch>
      </xdr:blipFill>
      <xdr:spPr bwMode="auto">
        <a:xfrm>
          <a:off x="3511325" y="47672626"/>
          <a:ext cx="11913002" cy="332357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xdr:col>
      <xdr:colOff>28885</xdr:colOff>
      <xdr:row>166</xdr:row>
      <xdr:rowOff>188271</xdr:rowOff>
    </xdr:from>
    <xdr:to>
      <xdr:col>25</xdr:col>
      <xdr:colOff>158636</xdr:colOff>
      <xdr:row>181</xdr:row>
      <xdr:rowOff>208561</xdr:rowOff>
    </xdr:to>
    <xdr:pic>
      <xdr:nvPicPr>
        <xdr:cNvPr id="18" name="Picture 242"/>
        <xdr:cNvPicPr>
          <a:picLocks noChangeAspect="1" noChangeArrowheads="1"/>
        </xdr:cNvPicPr>
      </xdr:nvPicPr>
      <xdr:blipFill>
        <a:blip xmlns:r="http://schemas.openxmlformats.org/officeDocument/2006/relationships" r:embed="rId12" cstate="print"/>
        <a:srcRect/>
        <a:stretch>
          <a:fillRect/>
        </a:stretch>
      </xdr:blipFill>
      <xdr:spPr bwMode="auto">
        <a:xfrm>
          <a:off x="3743635" y="51575646"/>
          <a:ext cx="11893126" cy="4663728"/>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4</xdr:col>
      <xdr:colOff>539525</xdr:colOff>
      <xdr:row>176</xdr:row>
      <xdr:rowOff>238125</xdr:rowOff>
    </xdr:from>
    <xdr:to>
      <xdr:col>26</xdr:col>
      <xdr:colOff>200833</xdr:colOff>
      <xdr:row>192</xdr:row>
      <xdr:rowOff>166008</xdr:rowOff>
    </xdr:to>
    <xdr:pic>
      <xdr:nvPicPr>
        <xdr:cNvPr id="19" name="Picture 254"/>
        <xdr:cNvPicPr>
          <a:picLocks noChangeAspect="1" noChangeArrowheads="1"/>
        </xdr:cNvPicPr>
      </xdr:nvPicPr>
      <xdr:blipFill>
        <a:blip xmlns:r="http://schemas.openxmlformats.org/officeDocument/2006/relationships" r:embed="rId13" cstate="print"/>
        <a:srcRect/>
        <a:stretch>
          <a:fillRect/>
        </a:stretch>
      </xdr:blipFill>
      <xdr:spPr bwMode="auto">
        <a:xfrm>
          <a:off x="3016025" y="54721125"/>
          <a:ext cx="13282058" cy="4880883"/>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5</xdr:col>
      <xdr:colOff>274187</xdr:colOff>
      <xdr:row>194</xdr:row>
      <xdr:rowOff>166626</xdr:rowOff>
    </xdr:from>
    <xdr:to>
      <xdr:col>23</xdr:col>
      <xdr:colOff>152290</xdr:colOff>
      <xdr:row>197</xdr:row>
      <xdr:rowOff>28513</xdr:rowOff>
    </xdr:to>
    <xdr:pic>
      <xdr:nvPicPr>
        <xdr:cNvPr id="20" name="Picture 256"/>
        <xdr:cNvPicPr>
          <a:picLocks noChangeAspect="1" noChangeArrowheads="1"/>
        </xdr:cNvPicPr>
      </xdr:nvPicPr>
      <xdr:blipFill>
        <a:blip xmlns:r="http://schemas.openxmlformats.org/officeDocument/2006/relationships" r:embed="rId14" cstate="print"/>
        <a:srcRect/>
        <a:stretch>
          <a:fillRect/>
        </a:stretch>
      </xdr:blipFill>
      <xdr:spPr bwMode="auto">
        <a:xfrm>
          <a:off x="3369812" y="60221751"/>
          <a:ext cx="11022353" cy="790575"/>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4</xdr:col>
      <xdr:colOff>166688</xdr:colOff>
      <xdr:row>180</xdr:row>
      <xdr:rowOff>200767</xdr:rowOff>
    </xdr:from>
    <xdr:to>
      <xdr:col>25</xdr:col>
      <xdr:colOff>67473</xdr:colOff>
      <xdr:row>204</xdr:row>
      <xdr:rowOff>260511</xdr:rowOff>
    </xdr:to>
    <xdr:pic>
      <xdr:nvPicPr>
        <xdr:cNvPr id="21" name="Picture 258"/>
        <xdr:cNvPicPr>
          <a:picLocks noChangeAspect="1" noChangeArrowheads="1"/>
        </xdr:cNvPicPr>
      </xdr:nvPicPr>
      <xdr:blipFill>
        <a:blip xmlns:r="http://schemas.openxmlformats.org/officeDocument/2006/relationships" r:embed="rId15" cstate="print"/>
        <a:srcRect/>
        <a:stretch>
          <a:fillRect/>
        </a:stretch>
      </xdr:blipFill>
      <xdr:spPr bwMode="auto">
        <a:xfrm>
          <a:off x="2643188" y="55922017"/>
          <a:ext cx="12902410" cy="7489244"/>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5</xdr:col>
      <xdr:colOff>32761</xdr:colOff>
      <xdr:row>174</xdr:row>
      <xdr:rowOff>301499</xdr:rowOff>
    </xdr:from>
    <xdr:to>
      <xdr:col>23</xdr:col>
      <xdr:colOff>297183</xdr:colOff>
      <xdr:row>208</xdr:row>
      <xdr:rowOff>38562</xdr:rowOff>
    </xdr:to>
    <xdr:pic>
      <xdr:nvPicPr>
        <xdr:cNvPr id="22" name="Picture 268"/>
        <xdr:cNvPicPr>
          <a:picLocks noChangeAspect="1" noChangeArrowheads="1"/>
        </xdr:cNvPicPr>
      </xdr:nvPicPr>
      <xdr:blipFill>
        <a:blip xmlns:r="http://schemas.openxmlformats.org/officeDocument/2006/relationships" r:embed="rId16" cstate="print"/>
        <a:srcRect/>
        <a:stretch>
          <a:fillRect/>
        </a:stretch>
      </xdr:blipFill>
      <xdr:spPr bwMode="auto">
        <a:xfrm>
          <a:off x="3128386" y="54165374"/>
          <a:ext cx="11408672" cy="10262188"/>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9</xdr:col>
      <xdr:colOff>590409</xdr:colOff>
      <xdr:row>192</xdr:row>
      <xdr:rowOff>251999</xdr:rowOff>
    </xdr:from>
    <xdr:to>
      <xdr:col>19</xdr:col>
      <xdr:colOff>287634</xdr:colOff>
      <xdr:row>209</xdr:row>
      <xdr:rowOff>240884</xdr:rowOff>
    </xdr:to>
    <xdr:pic>
      <xdr:nvPicPr>
        <xdr:cNvPr id="23" name="Picture 269"/>
        <xdr:cNvPicPr>
          <a:picLocks noChangeAspect="1" noChangeArrowheads="1"/>
        </xdr:cNvPicPr>
      </xdr:nvPicPr>
      <xdr:blipFill>
        <a:blip xmlns:r="http://schemas.openxmlformats.org/officeDocument/2006/relationships" r:embed="rId17" cstate="print"/>
        <a:srcRect/>
        <a:stretch>
          <a:fillRect/>
        </a:stretch>
      </xdr:blipFill>
      <xdr:spPr bwMode="auto">
        <a:xfrm>
          <a:off x="6162534" y="59687999"/>
          <a:ext cx="5888475" cy="5251448"/>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7</xdr:col>
      <xdr:colOff>402505</xdr:colOff>
      <xdr:row>192</xdr:row>
      <xdr:rowOff>7238</xdr:rowOff>
    </xdr:from>
    <xdr:to>
      <xdr:col>20</xdr:col>
      <xdr:colOff>341942</xdr:colOff>
      <xdr:row>206</xdr:row>
      <xdr:rowOff>116939</xdr:rowOff>
    </xdr:to>
    <xdr:pic>
      <xdr:nvPicPr>
        <xdr:cNvPr id="24" name="Picture 270"/>
        <xdr:cNvPicPr>
          <a:picLocks noChangeAspect="1" noChangeArrowheads="1"/>
        </xdr:cNvPicPr>
      </xdr:nvPicPr>
      <xdr:blipFill>
        <a:blip xmlns:r="http://schemas.openxmlformats.org/officeDocument/2006/relationships" r:embed="rId18" cstate="print"/>
        <a:srcRect/>
        <a:stretch>
          <a:fillRect/>
        </a:stretch>
      </xdr:blipFill>
      <xdr:spPr bwMode="auto">
        <a:xfrm>
          <a:off x="4736380" y="59443238"/>
          <a:ext cx="7988062" cy="4443576"/>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5</xdr:col>
      <xdr:colOff>446376</xdr:colOff>
      <xdr:row>186</xdr:row>
      <xdr:rowOff>141018</xdr:rowOff>
    </xdr:from>
    <xdr:to>
      <xdr:col>26</xdr:col>
      <xdr:colOff>329131</xdr:colOff>
      <xdr:row>191</xdr:row>
      <xdr:rowOff>238528</xdr:rowOff>
    </xdr:to>
    <xdr:pic>
      <xdr:nvPicPr>
        <xdr:cNvPr id="25" name="Picture 277"/>
        <xdr:cNvPicPr>
          <a:picLocks noChangeAspect="1" noChangeArrowheads="1"/>
        </xdr:cNvPicPr>
      </xdr:nvPicPr>
      <xdr:blipFill>
        <a:blip xmlns:r="http://schemas.openxmlformats.org/officeDocument/2006/relationships" r:embed="rId19" cstate="print"/>
        <a:srcRect/>
        <a:stretch>
          <a:fillRect/>
        </a:stretch>
      </xdr:blipFill>
      <xdr:spPr bwMode="auto">
        <a:xfrm>
          <a:off x="3542001" y="57719643"/>
          <a:ext cx="12884380" cy="1645323"/>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mc:AlternateContent xmlns:mc="http://schemas.openxmlformats.org/markup-compatibility/2006">
    <mc:Choice xmlns:a14="http://schemas.microsoft.com/office/drawing/2010/main" Requires="a14">
      <xdr:twoCellAnchor editAs="oneCell">
        <xdr:from>
          <xdr:col>5</xdr:col>
          <xdr:colOff>219075</xdr:colOff>
          <xdr:row>180</xdr:row>
          <xdr:rowOff>123825</xdr:rowOff>
        </xdr:from>
        <xdr:to>
          <xdr:col>19</xdr:col>
          <xdr:colOff>466725</xdr:colOff>
          <xdr:row>184</xdr:row>
          <xdr:rowOff>123825</xdr:rowOff>
        </xdr:to>
        <xdr:sp macro="" textlink="">
          <xdr:nvSpPr>
            <xdr:cNvPr id="9222" name="Object 6" hidden="1">
              <a:extLst>
                <a:ext uri="{63B3BB69-23CF-44E3-9099-C40C66FF867C}">
                  <a14:compatExt spid="_x0000_s92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174</xdr:row>
          <xdr:rowOff>295275</xdr:rowOff>
        </xdr:from>
        <xdr:to>
          <xdr:col>21</xdr:col>
          <xdr:colOff>381000</xdr:colOff>
          <xdr:row>178</xdr:row>
          <xdr:rowOff>266700</xdr:rowOff>
        </xdr:to>
        <xdr:sp macro="" textlink="">
          <xdr:nvSpPr>
            <xdr:cNvPr id="9223" name="Object 7" hidden="1">
              <a:extLst>
                <a:ext uri="{63B3BB69-23CF-44E3-9099-C40C66FF867C}">
                  <a14:compatExt spid="_x0000_s9223"/>
                </a:ext>
              </a:extLst>
            </xdr:cNvPr>
            <xdr:cNvSpPr/>
          </xdr:nvSpPr>
          <xdr:spPr>
            <a:xfrm>
              <a:off x="0" y="0"/>
              <a:ext cx="0" cy="0"/>
            </a:xfrm>
            <a:prstGeom prst="rect">
              <a:avLst/>
            </a:prstGeom>
          </xdr:spPr>
        </xdr:sp>
        <xdr:clientData/>
      </xdr:twoCellAnchor>
    </mc:Choice>
    <mc:Fallback/>
  </mc:AlternateContent>
  <xdr:twoCellAnchor editAs="oneCell">
    <xdr:from>
      <xdr:col>85</xdr:col>
      <xdr:colOff>190500</xdr:colOff>
      <xdr:row>99</xdr:row>
      <xdr:rowOff>0</xdr:rowOff>
    </xdr:from>
    <xdr:to>
      <xdr:col>104</xdr:col>
      <xdr:colOff>383779</xdr:colOff>
      <xdr:row>114</xdr:row>
      <xdr:rowOff>233364</xdr:rowOff>
    </xdr:to>
    <xdr:pic>
      <xdr:nvPicPr>
        <xdr:cNvPr id="28" name="Picture 136"/>
        <xdr:cNvPicPr>
          <a:picLocks noChangeAspect="1" noChangeArrowheads="1"/>
        </xdr:cNvPicPr>
      </xdr:nvPicPr>
      <xdr:blipFill>
        <a:blip xmlns:r="http://schemas.openxmlformats.org/officeDocument/2006/relationships" r:embed="rId20" cstate="print"/>
        <a:srcRect/>
        <a:stretch>
          <a:fillRect/>
        </a:stretch>
      </xdr:blipFill>
      <xdr:spPr bwMode="auto">
        <a:xfrm>
          <a:off x="52816125" y="30646688"/>
          <a:ext cx="11956654" cy="4876801"/>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60</xdr:col>
      <xdr:colOff>127286</xdr:colOff>
      <xdr:row>106</xdr:row>
      <xdr:rowOff>38964</xdr:rowOff>
    </xdr:from>
    <xdr:to>
      <xdr:col>83</xdr:col>
      <xdr:colOff>604618</xdr:colOff>
      <xdr:row>121</xdr:row>
      <xdr:rowOff>135080</xdr:rowOff>
    </xdr:to>
    <xdr:pic>
      <xdr:nvPicPr>
        <xdr:cNvPr id="29" name="Picture 302"/>
        <xdr:cNvPicPr>
          <a:picLocks noChangeAspect="1" noChangeArrowheads="1"/>
        </xdr:cNvPicPr>
      </xdr:nvPicPr>
      <xdr:blipFill>
        <a:blip xmlns:r="http://schemas.openxmlformats.org/officeDocument/2006/relationships" r:embed="rId21" cstate="print"/>
        <a:srcRect/>
        <a:stretch>
          <a:fillRect/>
        </a:stretch>
      </xdr:blipFill>
      <xdr:spPr bwMode="auto">
        <a:xfrm>
          <a:off x="36703286" y="32347764"/>
          <a:ext cx="14498132" cy="4668116"/>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60</xdr:col>
      <xdr:colOff>446810</xdr:colOff>
      <xdr:row>98</xdr:row>
      <xdr:rowOff>45027</xdr:rowOff>
    </xdr:from>
    <xdr:to>
      <xdr:col>83</xdr:col>
      <xdr:colOff>523679</xdr:colOff>
      <xdr:row>111</xdr:row>
      <xdr:rowOff>233795</xdr:rowOff>
    </xdr:to>
    <xdr:pic>
      <xdr:nvPicPr>
        <xdr:cNvPr id="30" name="Picture 303"/>
        <xdr:cNvPicPr>
          <a:picLocks noChangeAspect="1" noChangeArrowheads="1"/>
        </xdr:cNvPicPr>
      </xdr:nvPicPr>
      <xdr:blipFill>
        <a:blip xmlns:r="http://schemas.openxmlformats.org/officeDocument/2006/relationships" r:embed="rId22" cstate="print"/>
        <a:srcRect/>
        <a:stretch>
          <a:fillRect/>
        </a:stretch>
      </xdr:blipFill>
      <xdr:spPr bwMode="auto">
        <a:xfrm>
          <a:off x="37022810" y="29915427"/>
          <a:ext cx="14097669" cy="4151168"/>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image" Target="../media/image28.emf"/><Relationship Id="rId21" Type="http://schemas.openxmlformats.org/officeDocument/2006/relationships/hyperlink" Target="&#1043;&#1051;&#1040;&#1042;&#1040;%209%20&#1055;&#1088;&#1086;&#1077;&#1082;&#1090;&#1080;&#1088;&#1086;&#1074;&#1072;&#1085;&#1080;&#1077;%20&#1072;&#1089;&#1080;&#1085;&#1093;&#1088;&#1086;&#1085;&#1085;&#1099;&#1093;%20&#1084;&#1072;&#1096;&#1080;&#1085;.doc" TargetMode="External"/><Relationship Id="rId324" Type="http://schemas.openxmlformats.org/officeDocument/2006/relationships/oleObject" Target="../embeddings/oleObject132.bin"/><Relationship Id="rId170" Type="http://schemas.openxmlformats.org/officeDocument/2006/relationships/oleObject" Target="../embeddings/oleObject55.bin"/><Relationship Id="rId268" Type="http://schemas.openxmlformats.org/officeDocument/2006/relationships/oleObject" Target="../embeddings/oleObject104.bin"/><Relationship Id="rId475" Type="http://schemas.openxmlformats.org/officeDocument/2006/relationships/image" Target="../media/image207.emf"/><Relationship Id="rId32" Type="http://schemas.openxmlformats.org/officeDocument/2006/relationships/hyperlink" Target="&#1055;&#1088;&#1086;&#1075;&#1088;&#1072;&#1084;&#1084;&#1072;%20XLCS%20&#1040;&#1044;%204&#1040;.txt" TargetMode="External"/><Relationship Id="rId74" Type="http://schemas.openxmlformats.org/officeDocument/2006/relationships/oleObject" Target="../embeddings/oleObject7.bin"/><Relationship Id="rId128" Type="http://schemas.openxmlformats.org/officeDocument/2006/relationships/oleObject" Target="../embeddings/oleObject34.bin"/><Relationship Id="rId335" Type="http://schemas.openxmlformats.org/officeDocument/2006/relationships/image" Target="../media/image137.emf"/><Relationship Id="rId377" Type="http://schemas.openxmlformats.org/officeDocument/2006/relationships/image" Target="../media/image158.emf"/><Relationship Id="rId500" Type="http://schemas.openxmlformats.org/officeDocument/2006/relationships/oleObject" Target="../embeddings/oleObject220.bin"/><Relationship Id="rId5" Type="http://schemas.openxmlformats.org/officeDocument/2006/relationships/hyperlink" Target="&#1052;&#1077;&#1090;&#1086;&#1076;&#1080;&#1095;&#1077;&#1089;&#1082;&#1080;&#1077;%20&#1089;&#1087;&#1088;&#1072;&#1074;&#1082;&#1080;.docx" TargetMode="External"/><Relationship Id="rId181" Type="http://schemas.openxmlformats.org/officeDocument/2006/relationships/image" Target="../media/image60.emf"/><Relationship Id="rId237" Type="http://schemas.openxmlformats.org/officeDocument/2006/relationships/image" Target="../media/image88.emf"/><Relationship Id="rId402" Type="http://schemas.openxmlformats.org/officeDocument/2006/relationships/oleObject" Target="../embeddings/oleObject171.bin"/><Relationship Id="rId279" Type="http://schemas.openxmlformats.org/officeDocument/2006/relationships/image" Target="../media/image109.emf"/><Relationship Id="rId444" Type="http://schemas.openxmlformats.org/officeDocument/2006/relationships/oleObject" Target="../embeddings/oleObject192.bin"/><Relationship Id="rId486" Type="http://schemas.openxmlformats.org/officeDocument/2006/relationships/oleObject" Target="../embeddings/oleObject213.bin"/><Relationship Id="rId43" Type="http://schemas.openxmlformats.org/officeDocument/2006/relationships/hyperlink" Target="..\&#1052;&#1044;&#1050;%2001.02" TargetMode="External"/><Relationship Id="rId139" Type="http://schemas.openxmlformats.org/officeDocument/2006/relationships/image" Target="../media/image39.emf"/><Relationship Id="rId290" Type="http://schemas.openxmlformats.org/officeDocument/2006/relationships/oleObject" Target="../embeddings/oleObject115.bin"/><Relationship Id="rId304" Type="http://schemas.openxmlformats.org/officeDocument/2006/relationships/oleObject" Target="../embeddings/oleObject122.bin"/><Relationship Id="rId346" Type="http://schemas.openxmlformats.org/officeDocument/2006/relationships/oleObject" Target="../embeddings/oleObject143.bin"/><Relationship Id="rId388" Type="http://schemas.openxmlformats.org/officeDocument/2006/relationships/oleObject" Target="../embeddings/oleObject164.bin"/><Relationship Id="rId511" Type="http://schemas.openxmlformats.org/officeDocument/2006/relationships/image" Target="../media/image225.emf"/><Relationship Id="rId85" Type="http://schemas.openxmlformats.org/officeDocument/2006/relationships/image" Target="../media/image12.emf"/><Relationship Id="rId150" Type="http://schemas.openxmlformats.org/officeDocument/2006/relationships/oleObject" Target="../embeddings/oleObject45.bin"/><Relationship Id="rId192" Type="http://schemas.openxmlformats.org/officeDocument/2006/relationships/oleObject" Target="../embeddings/oleObject66.bin"/><Relationship Id="rId206" Type="http://schemas.openxmlformats.org/officeDocument/2006/relationships/oleObject" Target="../embeddings/oleObject73.bin"/><Relationship Id="rId413" Type="http://schemas.openxmlformats.org/officeDocument/2006/relationships/image" Target="../media/image176.emf"/><Relationship Id="rId248" Type="http://schemas.openxmlformats.org/officeDocument/2006/relationships/oleObject" Target="../embeddings/oleObject94.bin"/><Relationship Id="rId455" Type="http://schemas.openxmlformats.org/officeDocument/2006/relationships/image" Target="../media/image197.emf"/><Relationship Id="rId497" Type="http://schemas.openxmlformats.org/officeDocument/2006/relationships/image" Target="../media/image218.emf"/><Relationship Id="rId12" Type="http://schemas.openxmlformats.org/officeDocument/2006/relationships/hyperlink" Target="&#1055;&#1088;&#1086;&#1075;&#1088;&#1072;&#1084;&#1084;&#1072;%20XLCS%20&#1040;&#1044;%204&#1040;.txt" TargetMode="External"/><Relationship Id="rId108" Type="http://schemas.openxmlformats.org/officeDocument/2006/relationships/oleObject" Target="../embeddings/oleObject24.bin"/><Relationship Id="rId315" Type="http://schemas.openxmlformats.org/officeDocument/2006/relationships/image" Target="../media/image127.emf"/><Relationship Id="rId357" Type="http://schemas.openxmlformats.org/officeDocument/2006/relationships/image" Target="../media/image148.emf"/><Relationship Id="rId522" Type="http://schemas.openxmlformats.org/officeDocument/2006/relationships/oleObject" Target="../embeddings/oleObject231.bin"/><Relationship Id="rId54" Type="http://schemas.openxmlformats.org/officeDocument/2006/relationships/hyperlink" Target="&#1043;&#1051;&#1040;&#1042;&#1040;%209%20&#1055;&#1088;&#1086;&#1077;&#1082;&#1090;&#1080;&#1088;&#1086;&#1074;&#1072;&#1085;&#1080;&#1077;%20&#1072;&#1089;&#1080;&#1085;&#1093;&#1088;&#1086;&#1085;&#1085;&#1099;&#1093;%20&#1084;&#1072;&#1096;&#1080;&#1085;.doc" TargetMode="External"/><Relationship Id="rId96" Type="http://schemas.openxmlformats.org/officeDocument/2006/relationships/oleObject" Target="../embeddings/oleObject18.bin"/><Relationship Id="rId161" Type="http://schemas.openxmlformats.org/officeDocument/2006/relationships/image" Target="../media/image50.emf"/><Relationship Id="rId217" Type="http://schemas.openxmlformats.org/officeDocument/2006/relationships/image" Target="../media/image78.emf"/><Relationship Id="rId399" Type="http://schemas.openxmlformats.org/officeDocument/2006/relationships/image" Target="../media/image169.emf"/><Relationship Id="rId259" Type="http://schemas.openxmlformats.org/officeDocument/2006/relationships/image" Target="../media/image99.emf"/><Relationship Id="rId424" Type="http://schemas.openxmlformats.org/officeDocument/2006/relationships/oleObject" Target="../embeddings/oleObject182.bin"/><Relationship Id="rId466" Type="http://schemas.openxmlformats.org/officeDocument/2006/relationships/oleObject" Target="../embeddings/oleObject203.bin"/><Relationship Id="rId23" Type="http://schemas.openxmlformats.org/officeDocument/2006/relationships/hyperlink" Target="&#1052;&#1077;&#1090;&#1086;&#1076;&#1080;&#1095;&#1082;&#1072;%20&#1084;&#1086;&#1103;%202.pdf" TargetMode="External"/><Relationship Id="rId119" Type="http://schemas.openxmlformats.org/officeDocument/2006/relationships/image" Target="../media/image29.emf"/><Relationship Id="rId270" Type="http://schemas.openxmlformats.org/officeDocument/2006/relationships/oleObject" Target="../embeddings/oleObject105.bin"/><Relationship Id="rId326" Type="http://schemas.openxmlformats.org/officeDocument/2006/relationships/oleObject" Target="../embeddings/oleObject133.bin"/><Relationship Id="rId65" Type="http://schemas.openxmlformats.org/officeDocument/2006/relationships/image" Target="../media/image2.emf"/><Relationship Id="rId130" Type="http://schemas.openxmlformats.org/officeDocument/2006/relationships/oleObject" Target="../embeddings/oleObject35.bin"/><Relationship Id="rId368" Type="http://schemas.openxmlformats.org/officeDocument/2006/relationships/oleObject" Target="../embeddings/oleObject154.bin"/><Relationship Id="rId172" Type="http://schemas.openxmlformats.org/officeDocument/2006/relationships/oleObject" Target="../embeddings/oleObject56.bin"/><Relationship Id="rId228" Type="http://schemas.openxmlformats.org/officeDocument/2006/relationships/oleObject" Target="../embeddings/oleObject84.bin"/><Relationship Id="rId435" Type="http://schemas.openxmlformats.org/officeDocument/2006/relationships/image" Target="../media/image187.emf"/><Relationship Id="rId477" Type="http://schemas.openxmlformats.org/officeDocument/2006/relationships/image" Target="../media/image208.emf"/><Relationship Id="rId281" Type="http://schemas.openxmlformats.org/officeDocument/2006/relationships/image" Target="../media/image110.emf"/><Relationship Id="rId337" Type="http://schemas.openxmlformats.org/officeDocument/2006/relationships/image" Target="../media/image138.emf"/><Relationship Id="rId502" Type="http://schemas.openxmlformats.org/officeDocument/2006/relationships/oleObject" Target="../embeddings/oleObject221.bin"/><Relationship Id="rId34" Type="http://schemas.openxmlformats.org/officeDocument/2006/relationships/hyperlink" Target="&#1052;&#1077;&#1090;&#1086;&#1076;&#1080;&#1095;&#1077;&#1089;&#1082;&#1080;&#1077;%20&#1089;&#1087;&#1088;&#1072;&#1074;&#1082;&#1080;.docx" TargetMode="External"/><Relationship Id="rId76" Type="http://schemas.openxmlformats.org/officeDocument/2006/relationships/oleObject" Target="../embeddings/oleObject8.bin"/><Relationship Id="rId141" Type="http://schemas.openxmlformats.org/officeDocument/2006/relationships/image" Target="../media/image40.emf"/><Relationship Id="rId379" Type="http://schemas.openxmlformats.org/officeDocument/2006/relationships/image" Target="../media/image159.emf"/><Relationship Id="rId7" Type="http://schemas.openxmlformats.org/officeDocument/2006/relationships/hyperlink" Target="..\&#1052;&#1044;&#1050;%2001.02" TargetMode="External"/><Relationship Id="rId183" Type="http://schemas.openxmlformats.org/officeDocument/2006/relationships/image" Target="../media/image61.emf"/><Relationship Id="rId239" Type="http://schemas.openxmlformats.org/officeDocument/2006/relationships/image" Target="../media/image89.emf"/><Relationship Id="rId390" Type="http://schemas.openxmlformats.org/officeDocument/2006/relationships/oleObject" Target="../embeddings/oleObject165.bin"/><Relationship Id="rId404" Type="http://schemas.openxmlformats.org/officeDocument/2006/relationships/oleObject" Target="../embeddings/oleObject172.bin"/><Relationship Id="rId446" Type="http://schemas.openxmlformats.org/officeDocument/2006/relationships/oleObject" Target="../embeddings/oleObject193.bin"/><Relationship Id="rId250" Type="http://schemas.openxmlformats.org/officeDocument/2006/relationships/oleObject" Target="../embeddings/oleObject95.bin"/><Relationship Id="rId292" Type="http://schemas.openxmlformats.org/officeDocument/2006/relationships/oleObject" Target="../embeddings/oleObject116.bin"/><Relationship Id="rId306" Type="http://schemas.openxmlformats.org/officeDocument/2006/relationships/oleObject" Target="../embeddings/oleObject123.bin"/><Relationship Id="rId488" Type="http://schemas.openxmlformats.org/officeDocument/2006/relationships/oleObject" Target="../embeddings/oleObject214.bin"/><Relationship Id="rId45" Type="http://schemas.openxmlformats.org/officeDocument/2006/relationships/hyperlink" Target="&#1052;&#1077;&#1090;&#1086;&#1076;&#1080;&#1095;&#1077;&#1089;&#1082;&#1080;&#1077;%20&#1089;&#1087;&#1088;&#1072;&#1074;&#1082;&#1080;.docx" TargetMode="External"/><Relationship Id="rId87" Type="http://schemas.openxmlformats.org/officeDocument/2006/relationships/image" Target="../media/image13.emf"/><Relationship Id="rId110" Type="http://schemas.openxmlformats.org/officeDocument/2006/relationships/oleObject" Target="../embeddings/oleObject25.bin"/><Relationship Id="rId348" Type="http://schemas.openxmlformats.org/officeDocument/2006/relationships/oleObject" Target="../embeddings/oleObject144.bin"/><Relationship Id="rId513" Type="http://schemas.openxmlformats.org/officeDocument/2006/relationships/image" Target="../media/image226.emf"/><Relationship Id="rId152" Type="http://schemas.openxmlformats.org/officeDocument/2006/relationships/oleObject" Target="../embeddings/oleObject46.bin"/><Relationship Id="rId194" Type="http://schemas.openxmlformats.org/officeDocument/2006/relationships/oleObject" Target="../embeddings/oleObject67.bin"/><Relationship Id="rId208" Type="http://schemas.openxmlformats.org/officeDocument/2006/relationships/oleObject" Target="../embeddings/oleObject74.bin"/><Relationship Id="rId415" Type="http://schemas.openxmlformats.org/officeDocument/2006/relationships/image" Target="../media/image177.emf"/><Relationship Id="rId457" Type="http://schemas.openxmlformats.org/officeDocument/2006/relationships/image" Target="../media/image198.emf"/><Relationship Id="rId261" Type="http://schemas.openxmlformats.org/officeDocument/2006/relationships/image" Target="../media/image100.emf"/><Relationship Id="rId499" Type="http://schemas.openxmlformats.org/officeDocument/2006/relationships/image" Target="../media/image219.emf"/><Relationship Id="rId14" Type="http://schemas.openxmlformats.org/officeDocument/2006/relationships/hyperlink" Target="&#1052;&#1077;&#1090;&#1086;&#1076;&#1080;&#1095;&#1077;&#1089;&#1082;&#1080;&#1077;%20&#1089;&#1087;&#1088;&#1072;&#1074;&#1082;&#1080;.docx" TargetMode="External"/><Relationship Id="rId56" Type="http://schemas.openxmlformats.org/officeDocument/2006/relationships/hyperlink" Target="&#1052;&#1077;&#1090;&#1086;&#1076;&#1080;&#1095;&#1082;&#1072;%20&#1084;&#1086;&#1103;%202.pdf" TargetMode="External"/><Relationship Id="rId317" Type="http://schemas.openxmlformats.org/officeDocument/2006/relationships/image" Target="../media/image128.emf"/><Relationship Id="rId359" Type="http://schemas.openxmlformats.org/officeDocument/2006/relationships/image" Target="../media/image149.emf"/><Relationship Id="rId524" Type="http://schemas.openxmlformats.org/officeDocument/2006/relationships/oleObject" Target="../embeddings/oleObject232.bin"/><Relationship Id="rId98" Type="http://schemas.openxmlformats.org/officeDocument/2006/relationships/oleObject" Target="../embeddings/oleObject19.bin"/><Relationship Id="rId121" Type="http://schemas.openxmlformats.org/officeDocument/2006/relationships/image" Target="../media/image30.emf"/><Relationship Id="rId163" Type="http://schemas.openxmlformats.org/officeDocument/2006/relationships/image" Target="../media/image51.emf"/><Relationship Id="rId219" Type="http://schemas.openxmlformats.org/officeDocument/2006/relationships/image" Target="../media/image79.emf"/><Relationship Id="rId370" Type="http://schemas.openxmlformats.org/officeDocument/2006/relationships/oleObject" Target="../embeddings/oleObject155.bin"/><Relationship Id="rId426" Type="http://schemas.openxmlformats.org/officeDocument/2006/relationships/oleObject" Target="../embeddings/oleObject183.bin"/><Relationship Id="rId230" Type="http://schemas.openxmlformats.org/officeDocument/2006/relationships/oleObject" Target="../embeddings/oleObject85.bin"/><Relationship Id="rId468" Type="http://schemas.openxmlformats.org/officeDocument/2006/relationships/oleObject" Target="../embeddings/oleObject204.bin"/><Relationship Id="rId25" Type="http://schemas.openxmlformats.org/officeDocument/2006/relationships/hyperlink" Target="&#1043;&#1051;&#1040;&#1042;&#1040;%209%20&#1055;&#1088;&#1086;&#1077;&#1082;&#1090;&#1080;&#1088;&#1086;&#1074;&#1072;&#1085;&#1080;&#1077;%20&#1072;&#1089;&#1080;&#1085;&#1093;&#1088;&#1086;&#1085;&#1085;&#1099;&#1093;%20&#1084;&#1072;&#1096;&#1080;&#1085;.doc" TargetMode="External"/><Relationship Id="rId67" Type="http://schemas.openxmlformats.org/officeDocument/2006/relationships/image" Target="../media/image3.emf"/><Relationship Id="rId272" Type="http://schemas.openxmlformats.org/officeDocument/2006/relationships/oleObject" Target="../embeddings/oleObject106.bin"/><Relationship Id="rId328" Type="http://schemas.openxmlformats.org/officeDocument/2006/relationships/oleObject" Target="../embeddings/oleObject134.bin"/><Relationship Id="rId132" Type="http://schemas.openxmlformats.org/officeDocument/2006/relationships/oleObject" Target="../embeddings/oleObject36.bin"/><Relationship Id="rId174" Type="http://schemas.openxmlformats.org/officeDocument/2006/relationships/oleObject" Target="../embeddings/oleObject57.bin"/><Relationship Id="rId381" Type="http://schemas.openxmlformats.org/officeDocument/2006/relationships/image" Target="../media/image160.emf"/><Relationship Id="rId241" Type="http://schemas.openxmlformats.org/officeDocument/2006/relationships/image" Target="../media/image90.emf"/><Relationship Id="rId437" Type="http://schemas.openxmlformats.org/officeDocument/2006/relationships/image" Target="../media/image188.emf"/><Relationship Id="rId479" Type="http://schemas.openxmlformats.org/officeDocument/2006/relationships/image" Target="../media/image209.emf"/><Relationship Id="rId36" Type="http://schemas.openxmlformats.org/officeDocument/2006/relationships/hyperlink" Target="&#1055;&#1088;&#1086;&#1075;&#1088;&#1072;&#1084;&#1084;&#1072;%20XLCS%20&#1040;&#1044;%204&#1040;.txt" TargetMode="External"/><Relationship Id="rId283" Type="http://schemas.openxmlformats.org/officeDocument/2006/relationships/image" Target="../media/image111.emf"/><Relationship Id="rId339" Type="http://schemas.openxmlformats.org/officeDocument/2006/relationships/image" Target="../media/image139.emf"/><Relationship Id="rId490" Type="http://schemas.openxmlformats.org/officeDocument/2006/relationships/oleObject" Target="../embeddings/oleObject215.bin"/><Relationship Id="rId504" Type="http://schemas.openxmlformats.org/officeDocument/2006/relationships/oleObject" Target="../embeddings/oleObject222.bin"/><Relationship Id="rId78" Type="http://schemas.openxmlformats.org/officeDocument/2006/relationships/oleObject" Target="../embeddings/oleObject9.bin"/><Relationship Id="rId101" Type="http://schemas.openxmlformats.org/officeDocument/2006/relationships/image" Target="../media/image20.emf"/><Relationship Id="rId143" Type="http://schemas.openxmlformats.org/officeDocument/2006/relationships/image" Target="../media/image41.emf"/><Relationship Id="rId185" Type="http://schemas.openxmlformats.org/officeDocument/2006/relationships/image" Target="../media/image62.emf"/><Relationship Id="rId350" Type="http://schemas.openxmlformats.org/officeDocument/2006/relationships/oleObject" Target="../embeddings/oleObject145.bin"/><Relationship Id="rId406" Type="http://schemas.openxmlformats.org/officeDocument/2006/relationships/oleObject" Target="../embeddings/oleObject173.bin"/><Relationship Id="rId9" Type="http://schemas.openxmlformats.org/officeDocument/2006/relationships/hyperlink" Target="&#1043;&#1051;&#1040;&#1042;&#1040;%209%20&#1055;&#1088;&#1086;&#1077;&#1082;&#1090;&#1080;&#1088;&#1086;&#1074;&#1072;&#1085;&#1080;&#1077;%20&#1072;&#1089;&#1080;&#1085;&#1093;&#1088;&#1086;&#1085;&#1085;&#1099;&#1093;%20&#1084;&#1072;&#1096;&#1080;&#1085;.doc" TargetMode="External"/><Relationship Id="rId210" Type="http://schemas.openxmlformats.org/officeDocument/2006/relationships/oleObject" Target="../embeddings/oleObject75.bin"/><Relationship Id="rId392" Type="http://schemas.openxmlformats.org/officeDocument/2006/relationships/oleObject" Target="../embeddings/oleObject166.bin"/><Relationship Id="rId448" Type="http://schemas.openxmlformats.org/officeDocument/2006/relationships/oleObject" Target="../embeddings/oleObject194.bin"/><Relationship Id="rId252" Type="http://schemas.openxmlformats.org/officeDocument/2006/relationships/oleObject" Target="../embeddings/oleObject96.bin"/><Relationship Id="rId294" Type="http://schemas.openxmlformats.org/officeDocument/2006/relationships/oleObject" Target="../embeddings/oleObject117.bin"/><Relationship Id="rId308" Type="http://schemas.openxmlformats.org/officeDocument/2006/relationships/oleObject" Target="../embeddings/oleObject124.bin"/><Relationship Id="rId515" Type="http://schemas.openxmlformats.org/officeDocument/2006/relationships/image" Target="../media/image227.emf"/><Relationship Id="rId47" Type="http://schemas.openxmlformats.org/officeDocument/2006/relationships/hyperlink" Target="&#1055;&#1088;&#1086;&#1075;&#1088;&#1072;&#1084;&#1084;&#1072;%20XLCS%20&#1040;&#1044;%204&#1040;.txt" TargetMode="External"/><Relationship Id="rId89" Type="http://schemas.openxmlformats.org/officeDocument/2006/relationships/image" Target="../media/image14.emf"/><Relationship Id="rId112" Type="http://schemas.openxmlformats.org/officeDocument/2006/relationships/oleObject" Target="../embeddings/oleObject26.bin"/><Relationship Id="rId154" Type="http://schemas.openxmlformats.org/officeDocument/2006/relationships/oleObject" Target="../embeddings/oleObject47.bin"/><Relationship Id="rId361" Type="http://schemas.openxmlformats.org/officeDocument/2006/relationships/image" Target="../media/image150.emf"/><Relationship Id="rId196" Type="http://schemas.openxmlformats.org/officeDocument/2006/relationships/oleObject" Target="../embeddings/oleObject68.bin"/><Relationship Id="rId417" Type="http://schemas.openxmlformats.org/officeDocument/2006/relationships/image" Target="../media/image178.emf"/><Relationship Id="rId459" Type="http://schemas.openxmlformats.org/officeDocument/2006/relationships/image" Target="../media/image199.emf"/><Relationship Id="rId16" Type="http://schemas.openxmlformats.org/officeDocument/2006/relationships/hyperlink" Target="&#1055;&#1088;&#1086;&#1075;&#1088;&#1072;&#1084;&#1084;&#1072;%20XLCS%20&#1040;&#1044;%204&#1040;.txt" TargetMode="External"/><Relationship Id="rId221" Type="http://schemas.openxmlformats.org/officeDocument/2006/relationships/image" Target="../media/image80.emf"/><Relationship Id="rId263" Type="http://schemas.openxmlformats.org/officeDocument/2006/relationships/image" Target="../media/image101.emf"/><Relationship Id="rId319" Type="http://schemas.openxmlformats.org/officeDocument/2006/relationships/image" Target="../media/image129.emf"/><Relationship Id="rId470" Type="http://schemas.openxmlformats.org/officeDocument/2006/relationships/oleObject" Target="../embeddings/oleObject205.bin"/><Relationship Id="rId526" Type="http://schemas.openxmlformats.org/officeDocument/2006/relationships/oleObject" Target="../embeddings/oleObject233.bin"/><Relationship Id="rId58" Type="http://schemas.openxmlformats.org/officeDocument/2006/relationships/hyperlink" Target="..\&#1052;&#1044;&#1050;%2001.02" TargetMode="External"/><Relationship Id="rId123" Type="http://schemas.openxmlformats.org/officeDocument/2006/relationships/image" Target="../media/image31.emf"/><Relationship Id="rId330" Type="http://schemas.openxmlformats.org/officeDocument/2006/relationships/oleObject" Target="../embeddings/oleObject135.bin"/><Relationship Id="rId165" Type="http://schemas.openxmlformats.org/officeDocument/2006/relationships/image" Target="../media/image52.emf"/><Relationship Id="rId372" Type="http://schemas.openxmlformats.org/officeDocument/2006/relationships/oleObject" Target="../embeddings/oleObject156.bin"/><Relationship Id="rId428" Type="http://schemas.openxmlformats.org/officeDocument/2006/relationships/oleObject" Target="../embeddings/oleObject184.bin"/><Relationship Id="rId232" Type="http://schemas.openxmlformats.org/officeDocument/2006/relationships/oleObject" Target="../embeddings/oleObject86.bin"/><Relationship Id="rId274" Type="http://schemas.openxmlformats.org/officeDocument/2006/relationships/oleObject" Target="../embeddings/oleObject107.bin"/><Relationship Id="rId481" Type="http://schemas.openxmlformats.org/officeDocument/2006/relationships/image" Target="../media/image210.emf"/><Relationship Id="rId27" Type="http://schemas.openxmlformats.org/officeDocument/2006/relationships/hyperlink" Target="&#1052;&#1077;&#1090;&#1086;&#1076;&#1080;&#1095;&#1082;&#1072;%20&#1084;&#1086;&#1103;%202.pdf" TargetMode="External"/><Relationship Id="rId69" Type="http://schemas.openxmlformats.org/officeDocument/2006/relationships/image" Target="../media/image4.emf"/><Relationship Id="rId134" Type="http://schemas.openxmlformats.org/officeDocument/2006/relationships/oleObject" Target="../embeddings/oleObject37.bin"/><Relationship Id="rId80" Type="http://schemas.openxmlformats.org/officeDocument/2006/relationships/oleObject" Target="../embeddings/oleObject10.bin"/><Relationship Id="rId176" Type="http://schemas.openxmlformats.org/officeDocument/2006/relationships/oleObject" Target="../embeddings/oleObject58.bin"/><Relationship Id="rId341" Type="http://schemas.openxmlformats.org/officeDocument/2006/relationships/image" Target="../media/image140.emf"/><Relationship Id="rId383" Type="http://schemas.openxmlformats.org/officeDocument/2006/relationships/image" Target="../media/image161.emf"/><Relationship Id="rId439" Type="http://schemas.openxmlformats.org/officeDocument/2006/relationships/image" Target="../media/image189.emf"/><Relationship Id="rId201" Type="http://schemas.openxmlformats.org/officeDocument/2006/relationships/image" Target="../media/image70.emf"/><Relationship Id="rId243" Type="http://schemas.openxmlformats.org/officeDocument/2006/relationships/image" Target="../media/image91.emf"/><Relationship Id="rId285" Type="http://schemas.openxmlformats.org/officeDocument/2006/relationships/image" Target="../media/image112.emf"/><Relationship Id="rId450" Type="http://schemas.openxmlformats.org/officeDocument/2006/relationships/oleObject" Target="../embeddings/oleObject195.bin"/><Relationship Id="rId506" Type="http://schemas.openxmlformats.org/officeDocument/2006/relationships/oleObject" Target="../embeddings/oleObject223.bin"/><Relationship Id="rId38" Type="http://schemas.openxmlformats.org/officeDocument/2006/relationships/hyperlink" Target="..\&#1052;&#1044;&#1050;%2001.02" TargetMode="External"/><Relationship Id="rId103" Type="http://schemas.openxmlformats.org/officeDocument/2006/relationships/image" Target="../media/image21.emf"/><Relationship Id="rId310" Type="http://schemas.openxmlformats.org/officeDocument/2006/relationships/oleObject" Target="../embeddings/oleObject125.bin"/><Relationship Id="rId492" Type="http://schemas.openxmlformats.org/officeDocument/2006/relationships/oleObject" Target="../embeddings/oleObject216.bin"/><Relationship Id="rId91" Type="http://schemas.openxmlformats.org/officeDocument/2006/relationships/image" Target="../media/image15.emf"/><Relationship Id="rId145" Type="http://schemas.openxmlformats.org/officeDocument/2006/relationships/image" Target="../media/image42.emf"/><Relationship Id="rId187" Type="http://schemas.openxmlformats.org/officeDocument/2006/relationships/image" Target="../media/image63.emf"/><Relationship Id="rId352" Type="http://schemas.openxmlformats.org/officeDocument/2006/relationships/oleObject" Target="../embeddings/oleObject146.bin"/><Relationship Id="rId394" Type="http://schemas.openxmlformats.org/officeDocument/2006/relationships/oleObject" Target="../embeddings/oleObject167.bin"/><Relationship Id="rId408" Type="http://schemas.openxmlformats.org/officeDocument/2006/relationships/oleObject" Target="../embeddings/oleObject174.bin"/><Relationship Id="rId212" Type="http://schemas.openxmlformats.org/officeDocument/2006/relationships/oleObject" Target="../embeddings/oleObject76.bin"/><Relationship Id="rId254" Type="http://schemas.openxmlformats.org/officeDocument/2006/relationships/oleObject" Target="../embeddings/oleObject97.bin"/><Relationship Id="rId49" Type="http://schemas.openxmlformats.org/officeDocument/2006/relationships/hyperlink" Target="&#1043;&#1051;&#1040;&#1042;&#1040;%209%20&#1055;&#1088;&#1086;&#1077;&#1082;&#1090;&#1080;&#1088;&#1086;&#1074;&#1072;&#1085;&#1080;&#1077;%20&#1072;&#1089;&#1080;&#1085;&#1093;&#1088;&#1086;&#1085;&#1085;&#1099;&#1093;%20&#1084;&#1072;&#1096;&#1080;&#1085;.doc" TargetMode="External"/><Relationship Id="rId114" Type="http://schemas.openxmlformats.org/officeDocument/2006/relationships/oleObject" Target="../embeddings/oleObject27.bin"/><Relationship Id="rId296" Type="http://schemas.openxmlformats.org/officeDocument/2006/relationships/oleObject" Target="../embeddings/oleObject118.bin"/><Relationship Id="rId461" Type="http://schemas.openxmlformats.org/officeDocument/2006/relationships/image" Target="../media/image200.emf"/><Relationship Id="rId517" Type="http://schemas.openxmlformats.org/officeDocument/2006/relationships/image" Target="../media/image228.emf"/><Relationship Id="rId60" Type="http://schemas.openxmlformats.org/officeDocument/2006/relationships/drawing" Target="../drawings/drawing1.xml"/><Relationship Id="rId156" Type="http://schemas.openxmlformats.org/officeDocument/2006/relationships/oleObject" Target="../embeddings/oleObject48.bin"/><Relationship Id="rId198" Type="http://schemas.openxmlformats.org/officeDocument/2006/relationships/oleObject" Target="../embeddings/oleObject69.bin"/><Relationship Id="rId321" Type="http://schemas.openxmlformats.org/officeDocument/2006/relationships/image" Target="../media/image130.emf"/><Relationship Id="rId363" Type="http://schemas.openxmlformats.org/officeDocument/2006/relationships/image" Target="../media/image151.emf"/><Relationship Id="rId419" Type="http://schemas.openxmlformats.org/officeDocument/2006/relationships/image" Target="../media/image179.emf"/><Relationship Id="rId223" Type="http://schemas.openxmlformats.org/officeDocument/2006/relationships/image" Target="../media/image81.emf"/><Relationship Id="rId430" Type="http://schemas.openxmlformats.org/officeDocument/2006/relationships/oleObject" Target="../embeddings/oleObject185.bin"/><Relationship Id="rId18" Type="http://schemas.openxmlformats.org/officeDocument/2006/relationships/hyperlink" Target="&#1052;&#1077;&#1090;&#1086;&#1076;&#1080;&#1095;&#1077;&#1089;&#1082;&#1080;&#1077;%20&#1089;&#1087;&#1088;&#1072;&#1074;&#1082;&#1080;.docx" TargetMode="External"/><Relationship Id="rId265" Type="http://schemas.openxmlformats.org/officeDocument/2006/relationships/image" Target="../media/image102.emf"/><Relationship Id="rId472" Type="http://schemas.openxmlformats.org/officeDocument/2006/relationships/oleObject" Target="../embeddings/oleObject206.bin"/><Relationship Id="rId125" Type="http://schemas.openxmlformats.org/officeDocument/2006/relationships/image" Target="../media/image32.emf"/><Relationship Id="rId167" Type="http://schemas.openxmlformats.org/officeDocument/2006/relationships/image" Target="../media/image53.emf"/><Relationship Id="rId332" Type="http://schemas.openxmlformats.org/officeDocument/2006/relationships/oleObject" Target="../embeddings/oleObject136.bin"/><Relationship Id="rId374" Type="http://schemas.openxmlformats.org/officeDocument/2006/relationships/oleObject" Target="../embeddings/oleObject157.bin"/><Relationship Id="rId71" Type="http://schemas.openxmlformats.org/officeDocument/2006/relationships/image" Target="../media/image5.emf"/><Relationship Id="rId234" Type="http://schemas.openxmlformats.org/officeDocument/2006/relationships/oleObject" Target="../embeddings/oleObject87.bin"/><Relationship Id="rId2" Type="http://schemas.openxmlformats.org/officeDocument/2006/relationships/hyperlink" Target="&#1043;&#1054;&#1057;&#1058;" TargetMode="External"/><Relationship Id="rId29" Type="http://schemas.openxmlformats.org/officeDocument/2006/relationships/hyperlink" Target="&#1043;&#1051;&#1040;&#1042;&#1040;%209%20&#1055;&#1088;&#1086;&#1077;&#1082;&#1090;&#1080;&#1088;&#1086;&#1074;&#1072;&#1085;&#1080;&#1077;%20&#1072;&#1089;&#1080;&#1085;&#1093;&#1088;&#1086;&#1085;&#1085;&#1099;&#1093;%20&#1084;&#1072;&#1096;&#1080;&#1085;.doc" TargetMode="External"/><Relationship Id="rId276" Type="http://schemas.openxmlformats.org/officeDocument/2006/relationships/oleObject" Target="../embeddings/oleObject108.bin"/><Relationship Id="rId441" Type="http://schemas.openxmlformats.org/officeDocument/2006/relationships/image" Target="../media/image190.emf"/><Relationship Id="rId483" Type="http://schemas.openxmlformats.org/officeDocument/2006/relationships/image" Target="../media/image211.emf"/><Relationship Id="rId40" Type="http://schemas.openxmlformats.org/officeDocument/2006/relationships/hyperlink" Target="..\&#1052;&#1044;&#1050;%2001.02" TargetMode="External"/><Relationship Id="rId136" Type="http://schemas.openxmlformats.org/officeDocument/2006/relationships/oleObject" Target="../embeddings/oleObject38.bin"/><Relationship Id="rId178" Type="http://schemas.openxmlformats.org/officeDocument/2006/relationships/oleObject" Target="../embeddings/oleObject59.bin"/><Relationship Id="rId301" Type="http://schemas.openxmlformats.org/officeDocument/2006/relationships/image" Target="../media/image120.emf"/><Relationship Id="rId343" Type="http://schemas.openxmlformats.org/officeDocument/2006/relationships/image" Target="../media/image141.emf"/><Relationship Id="rId82" Type="http://schemas.openxmlformats.org/officeDocument/2006/relationships/oleObject" Target="../embeddings/oleObject11.bin"/><Relationship Id="rId203" Type="http://schemas.openxmlformats.org/officeDocument/2006/relationships/image" Target="../media/image71.emf"/><Relationship Id="rId385" Type="http://schemas.openxmlformats.org/officeDocument/2006/relationships/image" Target="../media/image162.emf"/><Relationship Id="rId245" Type="http://schemas.openxmlformats.org/officeDocument/2006/relationships/image" Target="../media/image92.emf"/><Relationship Id="rId287" Type="http://schemas.openxmlformats.org/officeDocument/2006/relationships/image" Target="../media/image113.emf"/><Relationship Id="rId410" Type="http://schemas.openxmlformats.org/officeDocument/2006/relationships/oleObject" Target="../embeddings/oleObject175.bin"/><Relationship Id="rId452" Type="http://schemas.openxmlformats.org/officeDocument/2006/relationships/oleObject" Target="../embeddings/oleObject196.bin"/><Relationship Id="rId494" Type="http://schemas.openxmlformats.org/officeDocument/2006/relationships/oleObject" Target="../embeddings/oleObject217.bin"/><Relationship Id="rId508" Type="http://schemas.openxmlformats.org/officeDocument/2006/relationships/oleObject" Target="../embeddings/oleObject224.bin"/><Relationship Id="rId105" Type="http://schemas.openxmlformats.org/officeDocument/2006/relationships/image" Target="../media/image22.emf"/><Relationship Id="rId147" Type="http://schemas.openxmlformats.org/officeDocument/2006/relationships/image" Target="../media/image43.emf"/><Relationship Id="rId312" Type="http://schemas.openxmlformats.org/officeDocument/2006/relationships/oleObject" Target="../embeddings/oleObject126.bin"/><Relationship Id="rId354" Type="http://schemas.openxmlformats.org/officeDocument/2006/relationships/oleObject" Target="../embeddings/oleObject147.bin"/><Relationship Id="rId51" Type="http://schemas.openxmlformats.org/officeDocument/2006/relationships/hyperlink" Target="&#1052;&#1077;&#1090;&#1086;&#1076;&#1080;&#1095;&#1082;&#1072;%20&#1084;&#1086;&#1103;%202.pdf" TargetMode="External"/><Relationship Id="rId93" Type="http://schemas.openxmlformats.org/officeDocument/2006/relationships/image" Target="../media/image16.emf"/><Relationship Id="rId189" Type="http://schemas.openxmlformats.org/officeDocument/2006/relationships/image" Target="../media/image64.emf"/><Relationship Id="rId396" Type="http://schemas.openxmlformats.org/officeDocument/2006/relationships/oleObject" Target="../embeddings/oleObject168.bin"/><Relationship Id="rId214" Type="http://schemas.openxmlformats.org/officeDocument/2006/relationships/oleObject" Target="../embeddings/oleObject77.bin"/><Relationship Id="rId256" Type="http://schemas.openxmlformats.org/officeDocument/2006/relationships/oleObject" Target="../embeddings/oleObject98.bin"/><Relationship Id="rId298" Type="http://schemas.openxmlformats.org/officeDocument/2006/relationships/oleObject" Target="../embeddings/oleObject119.bin"/><Relationship Id="rId421" Type="http://schemas.openxmlformats.org/officeDocument/2006/relationships/image" Target="../media/image180.emf"/><Relationship Id="rId463" Type="http://schemas.openxmlformats.org/officeDocument/2006/relationships/image" Target="../media/image201.emf"/><Relationship Id="rId519" Type="http://schemas.openxmlformats.org/officeDocument/2006/relationships/image" Target="../media/image229.emf"/><Relationship Id="rId116" Type="http://schemas.openxmlformats.org/officeDocument/2006/relationships/oleObject" Target="../embeddings/oleObject28.bin"/><Relationship Id="rId158" Type="http://schemas.openxmlformats.org/officeDocument/2006/relationships/oleObject" Target="../embeddings/oleObject49.bin"/><Relationship Id="rId323" Type="http://schemas.openxmlformats.org/officeDocument/2006/relationships/image" Target="../media/image131.emf"/><Relationship Id="rId20" Type="http://schemas.openxmlformats.org/officeDocument/2006/relationships/hyperlink" Target="&#1055;&#1088;&#1086;&#1075;&#1088;&#1072;&#1084;&#1084;&#1072;%20XLCS%20&#1040;&#1044;%204&#1040;.txt" TargetMode="External"/><Relationship Id="rId62" Type="http://schemas.openxmlformats.org/officeDocument/2006/relationships/oleObject" Target="../embeddings/oleObject1.bin"/><Relationship Id="rId365" Type="http://schemas.openxmlformats.org/officeDocument/2006/relationships/image" Target="../media/image152.emf"/><Relationship Id="rId225" Type="http://schemas.openxmlformats.org/officeDocument/2006/relationships/image" Target="../media/image82.emf"/><Relationship Id="rId267" Type="http://schemas.openxmlformats.org/officeDocument/2006/relationships/image" Target="../media/image103.emf"/><Relationship Id="rId432" Type="http://schemas.openxmlformats.org/officeDocument/2006/relationships/oleObject" Target="../embeddings/oleObject186.bin"/><Relationship Id="rId474" Type="http://schemas.openxmlformats.org/officeDocument/2006/relationships/oleObject" Target="../embeddings/oleObject207.bin"/><Relationship Id="rId127" Type="http://schemas.openxmlformats.org/officeDocument/2006/relationships/image" Target="../media/image33.emf"/><Relationship Id="rId31" Type="http://schemas.openxmlformats.org/officeDocument/2006/relationships/hyperlink" Target="&#1052;&#1077;&#1090;&#1086;&#1076;&#1080;&#1095;&#1082;&#1072;%20&#1084;&#1086;&#1103;%202.pdf" TargetMode="External"/><Relationship Id="rId73" Type="http://schemas.openxmlformats.org/officeDocument/2006/relationships/image" Target="../media/image6.emf"/><Relationship Id="rId169" Type="http://schemas.openxmlformats.org/officeDocument/2006/relationships/image" Target="../media/image54.emf"/><Relationship Id="rId334" Type="http://schemas.openxmlformats.org/officeDocument/2006/relationships/oleObject" Target="../embeddings/oleObject137.bin"/><Relationship Id="rId376" Type="http://schemas.openxmlformats.org/officeDocument/2006/relationships/oleObject" Target="../embeddings/oleObject158.bin"/><Relationship Id="rId4" Type="http://schemas.openxmlformats.org/officeDocument/2006/relationships/hyperlink" Target="&#1043;&#1054;&#1057;&#1058;\&#1043;&#1054;&#1057;&#1058;%208338-75.docx" TargetMode="External"/><Relationship Id="rId180" Type="http://schemas.openxmlformats.org/officeDocument/2006/relationships/oleObject" Target="../embeddings/oleObject60.bin"/><Relationship Id="rId236" Type="http://schemas.openxmlformats.org/officeDocument/2006/relationships/oleObject" Target="../embeddings/oleObject88.bin"/><Relationship Id="rId278" Type="http://schemas.openxmlformats.org/officeDocument/2006/relationships/oleObject" Target="../embeddings/oleObject109.bin"/><Relationship Id="rId401" Type="http://schemas.openxmlformats.org/officeDocument/2006/relationships/image" Target="../media/image170.emf"/><Relationship Id="rId443" Type="http://schemas.openxmlformats.org/officeDocument/2006/relationships/image" Target="../media/image191.emf"/><Relationship Id="rId303" Type="http://schemas.openxmlformats.org/officeDocument/2006/relationships/image" Target="../media/image121.emf"/><Relationship Id="rId485" Type="http://schemas.openxmlformats.org/officeDocument/2006/relationships/image" Target="../media/image212.emf"/><Relationship Id="rId42" Type="http://schemas.openxmlformats.org/officeDocument/2006/relationships/hyperlink" Target="..\&#1052;&#1044;&#1050;%2001.02" TargetMode="External"/><Relationship Id="rId84" Type="http://schemas.openxmlformats.org/officeDocument/2006/relationships/oleObject" Target="../embeddings/oleObject12.bin"/><Relationship Id="rId138" Type="http://schemas.openxmlformats.org/officeDocument/2006/relationships/oleObject" Target="../embeddings/oleObject39.bin"/><Relationship Id="rId345" Type="http://schemas.openxmlformats.org/officeDocument/2006/relationships/image" Target="../media/image142.emf"/><Relationship Id="rId387" Type="http://schemas.openxmlformats.org/officeDocument/2006/relationships/image" Target="../media/image163.emf"/><Relationship Id="rId510" Type="http://schemas.openxmlformats.org/officeDocument/2006/relationships/oleObject" Target="../embeddings/oleObject225.bin"/><Relationship Id="rId191" Type="http://schemas.openxmlformats.org/officeDocument/2006/relationships/image" Target="../media/image65.emf"/><Relationship Id="rId205" Type="http://schemas.openxmlformats.org/officeDocument/2006/relationships/image" Target="../media/image72.emf"/><Relationship Id="rId247" Type="http://schemas.openxmlformats.org/officeDocument/2006/relationships/image" Target="../media/image93.emf"/><Relationship Id="rId412" Type="http://schemas.openxmlformats.org/officeDocument/2006/relationships/oleObject" Target="../embeddings/oleObject176.bin"/><Relationship Id="rId107" Type="http://schemas.openxmlformats.org/officeDocument/2006/relationships/image" Target="../media/image23.emf"/><Relationship Id="rId289" Type="http://schemas.openxmlformats.org/officeDocument/2006/relationships/image" Target="../media/image114.emf"/><Relationship Id="rId454" Type="http://schemas.openxmlformats.org/officeDocument/2006/relationships/oleObject" Target="../embeddings/oleObject197.bin"/><Relationship Id="rId496" Type="http://schemas.openxmlformats.org/officeDocument/2006/relationships/oleObject" Target="../embeddings/oleObject218.bin"/><Relationship Id="rId11" Type="http://schemas.openxmlformats.org/officeDocument/2006/relationships/hyperlink" Target="&#1052;&#1077;&#1090;&#1086;&#1076;&#1080;&#1095;&#1082;&#1072;%20&#1084;&#1086;&#1103;%202.pdf" TargetMode="External"/><Relationship Id="rId53" Type="http://schemas.openxmlformats.org/officeDocument/2006/relationships/hyperlink" Target="..\&#1052;&#1044;&#1050;%2001.02" TargetMode="External"/><Relationship Id="rId149" Type="http://schemas.openxmlformats.org/officeDocument/2006/relationships/image" Target="../media/image44.emf"/><Relationship Id="rId314" Type="http://schemas.openxmlformats.org/officeDocument/2006/relationships/oleObject" Target="../embeddings/oleObject127.bin"/><Relationship Id="rId356" Type="http://schemas.openxmlformats.org/officeDocument/2006/relationships/oleObject" Target="../embeddings/oleObject148.bin"/><Relationship Id="rId398" Type="http://schemas.openxmlformats.org/officeDocument/2006/relationships/oleObject" Target="../embeddings/oleObject169.bin"/><Relationship Id="rId521" Type="http://schemas.openxmlformats.org/officeDocument/2006/relationships/image" Target="../media/image230.emf"/><Relationship Id="rId95" Type="http://schemas.openxmlformats.org/officeDocument/2006/relationships/image" Target="../media/image17.emf"/><Relationship Id="rId160" Type="http://schemas.openxmlformats.org/officeDocument/2006/relationships/oleObject" Target="../embeddings/oleObject50.bin"/><Relationship Id="rId216" Type="http://schemas.openxmlformats.org/officeDocument/2006/relationships/oleObject" Target="../embeddings/oleObject78.bin"/><Relationship Id="rId423" Type="http://schemas.openxmlformats.org/officeDocument/2006/relationships/image" Target="../media/image181.emf"/><Relationship Id="rId258" Type="http://schemas.openxmlformats.org/officeDocument/2006/relationships/oleObject" Target="../embeddings/oleObject99.bin"/><Relationship Id="rId465" Type="http://schemas.openxmlformats.org/officeDocument/2006/relationships/image" Target="../media/image202.emf"/><Relationship Id="rId22" Type="http://schemas.openxmlformats.org/officeDocument/2006/relationships/hyperlink" Target="&#1052;&#1077;&#1090;&#1086;&#1076;&#1080;&#1095;&#1077;&#1089;&#1082;&#1080;&#1077;%20&#1089;&#1087;&#1088;&#1072;&#1074;&#1082;&#1080;.docx" TargetMode="External"/><Relationship Id="rId64" Type="http://schemas.openxmlformats.org/officeDocument/2006/relationships/oleObject" Target="../embeddings/oleObject2.bin"/><Relationship Id="rId118" Type="http://schemas.openxmlformats.org/officeDocument/2006/relationships/oleObject" Target="../embeddings/oleObject29.bin"/><Relationship Id="rId325" Type="http://schemas.openxmlformats.org/officeDocument/2006/relationships/image" Target="../media/image132.emf"/><Relationship Id="rId367" Type="http://schemas.openxmlformats.org/officeDocument/2006/relationships/image" Target="../media/image153.emf"/><Relationship Id="rId171" Type="http://schemas.openxmlformats.org/officeDocument/2006/relationships/image" Target="../media/image55.emf"/><Relationship Id="rId227" Type="http://schemas.openxmlformats.org/officeDocument/2006/relationships/image" Target="../media/image83.emf"/><Relationship Id="rId269" Type="http://schemas.openxmlformats.org/officeDocument/2006/relationships/image" Target="../media/image104.emf"/><Relationship Id="rId434" Type="http://schemas.openxmlformats.org/officeDocument/2006/relationships/oleObject" Target="../embeddings/oleObject187.bin"/><Relationship Id="rId476" Type="http://schemas.openxmlformats.org/officeDocument/2006/relationships/oleObject" Target="../embeddings/oleObject208.bin"/><Relationship Id="rId33" Type="http://schemas.openxmlformats.org/officeDocument/2006/relationships/hyperlink" Target="&#1043;&#1051;&#1040;&#1042;&#1040;%209%20&#1055;&#1088;&#1086;&#1077;&#1082;&#1090;&#1080;&#1088;&#1086;&#1074;&#1072;&#1085;&#1080;&#1077;%20&#1072;&#1089;&#1080;&#1085;&#1093;&#1088;&#1086;&#1085;&#1085;&#1099;&#1093;%20&#1084;&#1072;&#1096;&#1080;&#1085;.doc" TargetMode="External"/><Relationship Id="rId129" Type="http://schemas.openxmlformats.org/officeDocument/2006/relationships/image" Target="../media/image34.emf"/><Relationship Id="rId280" Type="http://schemas.openxmlformats.org/officeDocument/2006/relationships/oleObject" Target="../embeddings/oleObject110.bin"/><Relationship Id="rId336" Type="http://schemas.openxmlformats.org/officeDocument/2006/relationships/oleObject" Target="../embeddings/oleObject138.bin"/><Relationship Id="rId501" Type="http://schemas.openxmlformats.org/officeDocument/2006/relationships/image" Target="../media/image220.emf"/><Relationship Id="rId75" Type="http://schemas.openxmlformats.org/officeDocument/2006/relationships/image" Target="../media/image7.emf"/><Relationship Id="rId140" Type="http://schemas.openxmlformats.org/officeDocument/2006/relationships/oleObject" Target="../embeddings/oleObject40.bin"/><Relationship Id="rId182" Type="http://schemas.openxmlformats.org/officeDocument/2006/relationships/oleObject" Target="../embeddings/oleObject61.bin"/><Relationship Id="rId378" Type="http://schemas.openxmlformats.org/officeDocument/2006/relationships/oleObject" Target="../embeddings/oleObject159.bin"/><Relationship Id="rId403" Type="http://schemas.openxmlformats.org/officeDocument/2006/relationships/image" Target="../media/image171.emf"/><Relationship Id="rId6" Type="http://schemas.openxmlformats.org/officeDocument/2006/relationships/hyperlink" Target="&#1052;&#1077;&#1090;&#1086;&#1076;&#1080;&#1095;&#1082;&#1072;%20&#1084;&#1086;&#1103;%202.pdf" TargetMode="External"/><Relationship Id="rId238" Type="http://schemas.openxmlformats.org/officeDocument/2006/relationships/oleObject" Target="../embeddings/oleObject89.bin"/><Relationship Id="rId445" Type="http://schemas.openxmlformats.org/officeDocument/2006/relationships/image" Target="../media/image192.emf"/><Relationship Id="rId487" Type="http://schemas.openxmlformats.org/officeDocument/2006/relationships/image" Target="../media/image213.emf"/><Relationship Id="rId291" Type="http://schemas.openxmlformats.org/officeDocument/2006/relationships/image" Target="../media/image115.emf"/><Relationship Id="rId305" Type="http://schemas.openxmlformats.org/officeDocument/2006/relationships/image" Target="../media/image122.emf"/><Relationship Id="rId347" Type="http://schemas.openxmlformats.org/officeDocument/2006/relationships/image" Target="../media/image143.emf"/><Relationship Id="rId512" Type="http://schemas.openxmlformats.org/officeDocument/2006/relationships/oleObject" Target="../embeddings/oleObject226.bin"/><Relationship Id="rId44" Type="http://schemas.openxmlformats.org/officeDocument/2006/relationships/hyperlink" Target="&#1043;&#1051;&#1040;&#1042;&#1040;%209%20&#1055;&#1088;&#1086;&#1077;&#1082;&#1090;&#1080;&#1088;&#1086;&#1074;&#1072;&#1085;&#1080;&#1077;%20&#1072;&#1089;&#1080;&#1085;&#1093;&#1088;&#1086;&#1085;&#1085;&#1099;&#1093;%20&#1084;&#1072;&#1096;&#1080;&#1085;.doc" TargetMode="External"/><Relationship Id="rId86" Type="http://schemas.openxmlformats.org/officeDocument/2006/relationships/oleObject" Target="../embeddings/oleObject13.bin"/><Relationship Id="rId151" Type="http://schemas.openxmlformats.org/officeDocument/2006/relationships/image" Target="../media/image45.emf"/><Relationship Id="rId389" Type="http://schemas.openxmlformats.org/officeDocument/2006/relationships/image" Target="../media/image164.emf"/><Relationship Id="rId193" Type="http://schemas.openxmlformats.org/officeDocument/2006/relationships/image" Target="../media/image66.emf"/><Relationship Id="rId207" Type="http://schemas.openxmlformats.org/officeDocument/2006/relationships/image" Target="../media/image73.emf"/><Relationship Id="rId249" Type="http://schemas.openxmlformats.org/officeDocument/2006/relationships/image" Target="../media/image94.emf"/><Relationship Id="rId414" Type="http://schemas.openxmlformats.org/officeDocument/2006/relationships/oleObject" Target="../embeddings/oleObject177.bin"/><Relationship Id="rId456" Type="http://schemas.openxmlformats.org/officeDocument/2006/relationships/oleObject" Target="../embeddings/oleObject198.bin"/><Relationship Id="rId498" Type="http://schemas.openxmlformats.org/officeDocument/2006/relationships/oleObject" Target="../embeddings/oleObject219.bin"/><Relationship Id="rId13" Type="http://schemas.openxmlformats.org/officeDocument/2006/relationships/hyperlink" Target="&#1043;&#1051;&#1040;&#1042;&#1040;%209%20&#1055;&#1088;&#1086;&#1077;&#1082;&#1090;&#1080;&#1088;&#1086;&#1074;&#1072;&#1085;&#1080;&#1077;%20&#1072;&#1089;&#1080;&#1085;&#1093;&#1088;&#1086;&#1085;&#1085;&#1099;&#1093;%20&#1084;&#1072;&#1096;&#1080;&#1085;.doc" TargetMode="External"/><Relationship Id="rId109" Type="http://schemas.openxmlformats.org/officeDocument/2006/relationships/image" Target="../media/image24.emf"/><Relationship Id="rId260" Type="http://schemas.openxmlformats.org/officeDocument/2006/relationships/oleObject" Target="../embeddings/oleObject100.bin"/><Relationship Id="rId316" Type="http://schemas.openxmlformats.org/officeDocument/2006/relationships/oleObject" Target="../embeddings/oleObject128.bin"/><Relationship Id="rId523" Type="http://schemas.openxmlformats.org/officeDocument/2006/relationships/image" Target="../media/image231.emf"/><Relationship Id="rId55" Type="http://schemas.openxmlformats.org/officeDocument/2006/relationships/hyperlink" Target="&#1052;&#1077;&#1090;&#1086;&#1076;&#1080;&#1095;&#1077;&#1089;&#1082;&#1080;&#1077;%20&#1089;&#1087;&#1088;&#1072;&#1074;&#1082;&#1080;.docx" TargetMode="External"/><Relationship Id="rId97" Type="http://schemas.openxmlformats.org/officeDocument/2006/relationships/image" Target="../media/image18.emf"/><Relationship Id="rId120" Type="http://schemas.openxmlformats.org/officeDocument/2006/relationships/oleObject" Target="../embeddings/oleObject30.bin"/><Relationship Id="rId358" Type="http://schemas.openxmlformats.org/officeDocument/2006/relationships/oleObject" Target="../embeddings/oleObject149.bin"/><Relationship Id="rId162" Type="http://schemas.openxmlformats.org/officeDocument/2006/relationships/oleObject" Target="../embeddings/oleObject51.bin"/><Relationship Id="rId218" Type="http://schemas.openxmlformats.org/officeDocument/2006/relationships/oleObject" Target="../embeddings/oleObject79.bin"/><Relationship Id="rId425" Type="http://schemas.openxmlformats.org/officeDocument/2006/relationships/image" Target="../media/image182.emf"/><Relationship Id="rId467" Type="http://schemas.openxmlformats.org/officeDocument/2006/relationships/image" Target="../media/image203.emf"/><Relationship Id="rId271" Type="http://schemas.openxmlformats.org/officeDocument/2006/relationships/image" Target="../media/image105.emf"/><Relationship Id="rId24" Type="http://schemas.openxmlformats.org/officeDocument/2006/relationships/hyperlink" Target="&#1055;&#1088;&#1086;&#1075;&#1088;&#1072;&#1084;&#1084;&#1072;%20XLCS%20&#1040;&#1044;%204&#1040;.txt" TargetMode="External"/><Relationship Id="rId66" Type="http://schemas.openxmlformats.org/officeDocument/2006/relationships/oleObject" Target="../embeddings/oleObject3.bin"/><Relationship Id="rId131" Type="http://schemas.openxmlformats.org/officeDocument/2006/relationships/image" Target="../media/image35.emf"/><Relationship Id="rId327" Type="http://schemas.openxmlformats.org/officeDocument/2006/relationships/image" Target="../media/image133.emf"/><Relationship Id="rId369" Type="http://schemas.openxmlformats.org/officeDocument/2006/relationships/image" Target="../media/image154.emf"/><Relationship Id="rId173" Type="http://schemas.openxmlformats.org/officeDocument/2006/relationships/image" Target="../media/image56.emf"/><Relationship Id="rId229" Type="http://schemas.openxmlformats.org/officeDocument/2006/relationships/image" Target="../media/image84.emf"/><Relationship Id="rId380" Type="http://schemas.openxmlformats.org/officeDocument/2006/relationships/oleObject" Target="../embeddings/oleObject160.bin"/><Relationship Id="rId436" Type="http://schemas.openxmlformats.org/officeDocument/2006/relationships/oleObject" Target="../embeddings/oleObject188.bin"/><Relationship Id="rId240" Type="http://schemas.openxmlformats.org/officeDocument/2006/relationships/oleObject" Target="../embeddings/oleObject90.bin"/><Relationship Id="rId478" Type="http://schemas.openxmlformats.org/officeDocument/2006/relationships/oleObject" Target="../embeddings/oleObject209.bin"/><Relationship Id="rId35" Type="http://schemas.openxmlformats.org/officeDocument/2006/relationships/hyperlink" Target="&#1052;&#1077;&#1090;&#1086;&#1076;&#1080;&#1095;&#1082;&#1072;%20&#1084;&#1086;&#1103;%202.pdf" TargetMode="External"/><Relationship Id="rId77" Type="http://schemas.openxmlformats.org/officeDocument/2006/relationships/image" Target="../media/image8.emf"/><Relationship Id="rId100" Type="http://schemas.openxmlformats.org/officeDocument/2006/relationships/oleObject" Target="../embeddings/oleObject20.bin"/><Relationship Id="rId282" Type="http://schemas.openxmlformats.org/officeDocument/2006/relationships/oleObject" Target="../embeddings/oleObject111.bin"/><Relationship Id="rId338" Type="http://schemas.openxmlformats.org/officeDocument/2006/relationships/oleObject" Target="../embeddings/oleObject139.bin"/><Relationship Id="rId503" Type="http://schemas.openxmlformats.org/officeDocument/2006/relationships/image" Target="../media/image221.emf"/><Relationship Id="rId8" Type="http://schemas.openxmlformats.org/officeDocument/2006/relationships/hyperlink" Target="&#1055;&#1088;&#1086;&#1075;&#1088;&#1072;&#1084;&#1084;&#1072;%20XLCS%20&#1040;&#1044;%204&#1040;.txt" TargetMode="External"/><Relationship Id="rId142" Type="http://schemas.openxmlformats.org/officeDocument/2006/relationships/oleObject" Target="../embeddings/oleObject41.bin"/><Relationship Id="rId184" Type="http://schemas.openxmlformats.org/officeDocument/2006/relationships/oleObject" Target="../embeddings/oleObject62.bin"/><Relationship Id="rId391" Type="http://schemas.openxmlformats.org/officeDocument/2006/relationships/image" Target="../media/image165.emf"/><Relationship Id="rId405" Type="http://schemas.openxmlformats.org/officeDocument/2006/relationships/image" Target="../media/image172.emf"/><Relationship Id="rId447" Type="http://schemas.openxmlformats.org/officeDocument/2006/relationships/image" Target="../media/image193.emf"/><Relationship Id="rId251" Type="http://schemas.openxmlformats.org/officeDocument/2006/relationships/image" Target="../media/image95.emf"/><Relationship Id="rId489" Type="http://schemas.openxmlformats.org/officeDocument/2006/relationships/image" Target="../media/image214.emf"/><Relationship Id="rId46" Type="http://schemas.openxmlformats.org/officeDocument/2006/relationships/hyperlink" Target="&#1052;&#1077;&#1090;&#1086;&#1076;&#1080;&#1095;&#1082;&#1072;%20&#1084;&#1086;&#1103;%202.pdf" TargetMode="External"/><Relationship Id="rId293" Type="http://schemas.openxmlformats.org/officeDocument/2006/relationships/image" Target="../media/image116.emf"/><Relationship Id="rId307" Type="http://schemas.openxmlformats.org/officeDocument/2006/relationships/image" Target="../media/image123.emf"/><Relationship Id="rId349" Type="http://schemas.openxmlformats.org/officeDocument/2006/relationships/image" Target="../media/image144.emf"/><Relationship Id="rId514" Type="http://schemas.openxmlformats.org/officeDocument/2006/relationships/oleObject" Target="../embeddings/oleObject227.bin"/><Relationship Id="rId88" Type="http://schemas.openxmlformats.org/officeDocument/2006/relationships/oleObject" Target="../embeddings/oleObject14.bin"/><Relationship Id="rId111" Type="http://schemas.openxmlformats.org/officeDocument/2006/relationships/image" Target="../media/image25.emf"/><Relationship Id="rId153" Type="http://schemas.openxmlformats.org/officeDocument/2006/relationships/image" Target="../media/image46.emf"/><Relationship Id="rId195" Type="http://schemas.openxmlformats.org/officeDocument/2006/relationships/image" Target="../media/image67.emf"/><Relationship Id="rId209" Type="http://schemas.openxmlformats.org/officeDocument/2006/relationships/image" Target="../media/image74.emf"/><Relationship Id="rId360" Type="http://schemas.openxmlformats.org/officeDocument/2006/relationships/oleObject" Target="../embeddings/oleObject150.bin"/><Relationship Id="rId416" Type="http://schemas.openxmlformats.org/officeDocument/2006/relationships/oleObject" Target="../embeddings/oleObject178.bin"/><Relationship Id="rId220" Type="http://schemas.openxmlformats.org/officeDocument/2006/relationships/oleObject" Target="../embeddings/oleObject80.bin"/><Relationship Id="rId458" Type="http://schemas.openxmlformats.org/officeDocument/2006/relationships/oleObject" Target="../embeddings/oleObject199.bin"/><Relationship Id="rId15" Type="http://schemas.openxmlformats.org/officeDocument/2006/relationships/hyperlink" Target="&#1052;&#1077;&#1090;&#1086;&#1076;&#1080;&#1095;&#1082;&#1072;%20&#1084;&#1086;&#1103;%202.pdf" TargetMode="External"/><Relationship Id="rId57" Type="http://schemas.openxmlformats.org/officeDocument/2006/relationships/hyperlink" Target="&#1055;&#1088;&#1086;&#1075;&#1088;&#1072;&#1084;&#1084;&#1072;%20XLCS%20&#1040;&#1044;%204&#1040;.txt" TargetMode="External"/><Relationship Id="rId262" Type="http://schemas.openxmlformats.org/officeDocument/2006/relationships/oleObject" Target="../embeddings/oleObject101.bin"/><Relationship Id="rId318" Type="http://schemas.openxmlformats.org/officeDocument/2006/relationships/oleObject" Target="../embeddings/oleObject129.bin"/><Relationship Id="rId525" Type="http://schemas.openxmlformats.org/officeDocument/2006/relationships/image" Target="../media/image232.emf"/><Relationship Id="rId99" Type="http://schemas.openxmlformats.org/officeDocument/2006/relationships/image" Target="../media/image19.emf"/><Relationship Id="rId122" Type="http://schemas.openxmlformats.org/officeDocument/2006/relationships/oleObject" Target="../embeddings/oleObject31.bin"/><Relationship Id="rId164" Type="http://schemas.openxmlformats.org/officeDocument/2006/relationships/oleObject" Target="../embeddings/oleObject52.bin"/><Relationship Id="rId371" Type="http://schemas.openxmlformats.org/officeDocument/2006/relationships/image" Target="../media/image155.emf"/><Relationship Id="rId427" Type="http://schemas.openxmlformats.org/officeDocument/2006/relationships/image" Target="../media/image183.emf"/><Relationship Id="rId469" Type="http://schemas.openxmlformats.org/officeDocument/2006/relationships/image" Target="../media/image204.emf"/><Relationship Id="rId26" Type="http://schemas.openxmlformats.org/officeDocument/2006/relationships/hyperlink" Target="&#1052;&#1077;&#1090;&#1086;&#1076;&#1080;&#1095;&#1077;&#1089;&#1082;&#1080;&#1077;%20&#1089;&#1087;&#1088;&#1072;&#1074;&#1082;&#1080;.docx" TargetMode="External"/><Relationship Id="rId231" Type="http://schemas.openxmlformats.org/officeDocument/2006/relationships/image" Target="../media/image85.emf"/><Relationship Id="rId273" Type="http://schemas.openxmlformats.org/officeDocument/2006/relationships/image" Target="../media/image106.emf"/><Relationship Id="rId329" Type="http://schemas.openxmlformats.org/officeDocument/2006/relationships/image" Target="../media/image134.emf"/><Relationship Id="rId480" Type="http://schemas.openxmlformats.org/officeDocument/2006/relationships/oleObject" Target="../embeddings/oleObject210.bin"/><Relationship Id="rId68" Type="http://schemas.openxmlformats.org/officeDocument/2006/relationships/oleObject" Target="../embeddings/oleObject4.bin"/><Relationship Id="rId133" Type="http://schemas.openxmlformats.org/officeDocument/2006/relationships/image" Target="../media/image36.emf"/><Relationship Id="rId175" Type="http://schemas.openxmlformats.org/officeDocument/2006/relationships/image" Target="../media/image57.emf"/><Relationship Id="rId340" Type="http://schemas.openxmlformats.org/officeDocument/2006/relationships/oleObject" Target="../embeddings/oleObject140.bin"/><Relationship Id="rId200" Type="http://schemas.openxmlformats.org/officeDocument/2006/relationships/oleObject" Target="../embeddings/oleObject70.bin"/><Relationship Id="rId382" Type="http://schemas.openxmlformats.org/officeDocument/2006/relationships/oleObject" Target="../embeddings/oleObject161.bin"/><Relationship Id="rId438" Type="http://schemas.openxmlformats.org/officeDocument/2006/relationships/oleObject" Target="../embeddings/oleObject189.bin"/><Relationship Id="rId242" Type="http://schemas.openxmlformats.org/officeDocument/2006/relationships/oleObject" Target="../embeddings/oleObject91.bin"/><Relationship Id="rId284" Type="http://schemas.openxmlformats.org/officeDocument/2006/relationships/oleObject" Target="../embeddings/oleObject112.bin"/><Relationship Id="rId491" Type="http://schemas.openxmlformats.org/officeDocument/2006/relationships/image" Target="../media/image215.emf"/><Relationship Id="rId505" Type="http://schemas.openxmlformats.org/officeDocument/2006/relationships/image" Target="../media/image222.emf"/><Relationship Id="rId37" Type="http://schemas.openxmlformats.org/officeDocument/2006/relationships/hyperlink" Target="..\&#1052;&#1044;&#1050;%2001.02" TargetMode="External"/><Relationship Id="rId79" Type="http://schemas.openxmlformats.org/officeDocument/2006/relationships/image" Target="../media/image9.emf"/><Relationship Id="rId102" Type="http://schemas.openxmlformats.org/officeDocument/2006/relationships/oleObject" Target="../embeddings/oleObject21.bin"/><Relationship Id="rId144" Type="http://schemas.openxmlformats.org/officeDocument/2006/relationships/oleObject" Target="../embeddings/oleObject42.bin"/><Relationship Id="rId90" Type="http://schemas.openxmlformats.org/officeDocument/2006/relationships/oleObject" Target="../embeddings/oleObject15.bin"/><Relationship Id="rId186" Type="http://schemas.openxmlformats.org/officeDocument/2006/relationships/oleObject" Target="../embeddings/oleObject63.bin"/><Relationship Id="rId351" Type="http://schemas.openxmlformats.org/officeDocument/2006/relationships/image" Target="../media/image145.emf"/><Relationship Id="rId393" Type="http://schemas.openxmlformats.org/officeDocument/2006/relationships/image" Target="../media/image166.emf"/><Relationship Id="rId407" Type="http://schemas.openxmlformats.org/officeDocument/2006/relationships/image" Target="../media/image173.emf"/><Relationship Id="rId449" Type="http://schemas.openxmlformats.org/officeDocument/2006/relationships/image" Target="../media/image194.emf"/><Relationship Id="rId211" Type="http://schemas.openxmlformats.org/officeDocument/2006/relationships/image" Target="../media/image75.emf"/><Relationship Id="rId253" Type="http://schemas.openxmlformats.org/officeDocument/2006/relationships/image" Target="../media/image96.emf"/><Relationship Id="rId295" Type="http://schemas.openxmlformats.org/officeDocument/2006/relationships/image" Target="../media/image117.emf"/><Relationship Id="rId309" Type="http://schemas.openxmlformats.org/officeDocument/2006/relationships/image" Target="../media/image124.emf"/><Relationship Id="rId460" Type="http://schemas.openxmlformats.org/officeDocument/2006/relationships/oleObject" Target="../embeddings/oleObject200.bin"/><Relationship Id="rId516" Type="http://schemas.openxmlformats.org/officeDocument/2006/relationships/oleObject" Target="../embeddings/oleObject228.bin"/><Relationship Id="rId48" Type="http://schemas.openxmlformats.org/officeDocument/2006/relationships/hyperlink" Target="..\&#1052;&#1044;&#1050;%2001.02" TargetMode="External"/><Relationship Id="rId113" Type="http://schemas.openxmlformats.org/officeDocument/2006/relationships/image" Target="../media/image26.emf"/><Relationship Id="rId320" Type="http://schemas.openxmlformats.org/officeDocument/2006/relationships/oleObject" Target="../embeddings/oleObject130.bin"/><Relationship Id="rId155" Type="http://schemas.openxmlformats.org/officeDocument/2006/relationships/image" Target="../media/image47.emf"/><Relationship Id="rId197" Type="http://schemas.openxmlformats.org/officeDocument/2006/relationships/image" Target="../media/image68.emf"/><Relationship Id="rId362" Type="http://schemas.openxmlformats.org/officeDocument/2006/relationships/oleObject" Target="../embeddings/oleObject151.bin"/><Relationship Id="rId418" Type="http://schemas.openxmlformats.org/officeDocument/2006/relationships/oleObject" Target="../embeddings/oleObject179.bin"/><Relationship Id="rId222" Type="http://schemas.openxmlformats.org/officeDocument/2006/relationships/oleObject" Target="../embeddings/oleObject81.bin"/><Relationship Id="rId264" Type="http://schemas.openxmlformats.org/officeDocument/2006/relationships/oleObject" Target="../embeddings/oleObject102.bin"/><Relationship Id="rId471" Type="http://schemas.openxmlformats.org/officeDocument/2006/relationships/image" Target="../media/image205.emf"/><Relationship Id="rId17" Type="http://schemas.openxmlformats.org/officeDocument/2006/relationships/hyperlink" Target="&#1043;&#1051;&#1040;&#1042;&#1040;%209%20&#1055;&#1088;&#1086;&#1077;&#1082;&#1090;&#1080;&#1088;&#1086;&#1074;&#1072;&#1085;&#1080;&#1077;%20&#1072;&#1089;&#1080;&#1085;&#1093;&#1088;&#1086;&#1085;&#1085;&#1099;&#1093;%20&#1084;&#1072;&#1096;&#1080;&#1085;.doc" TargetMode="External"/><Relationship Id="rId59" Type="http://schemas.openxmlformats.org/officeDocument/2006/relationships/printerSettings" Target="../printerSettings/printerSettings1.bin"/><Relationship Id="rId124" Type="http://schemas.openxmlformats.org/officeDocument/2006/relationships/oleObject" Target="../embeddings/oleObject32.bin"/><Relationship Id="rId527" Type="http://schemas.openxmlformats.org/officeDocument/2006/relationships/image" Target="../media/image233.emf"/><Relationship Id="rId70" Type="http://schemas.openxmlformats.org/officeDocument/2006/relationships/oleObject" Target="../embeddings/oleObject5.bin"/><Relationship Id="rId166" Type="http://schemas.openxmlformats.org/officeDocument/2006/relationships/oleObject" Target="../embeddings/oleObject53.bin"/><Relationship Id="rId331" Type="http://schemas.openxmlformats.org/officeDocument/2006/relationships/image" Target="../media/image135.emf"/><Relationship Id="rId373" Type="http://schemas.openxmlformats.org/officeDocument/2006/relationships/image" Target="../media/image156.emf"/><Relationship Id="rId429" Type="http://schemas.openxmlformats.org/officeDocument/2006/relationships/image" Target="../media/image184.emf"/><Relationship Id="rId1" Type="http://schemas.openxmlformats.org/officeDocument/2006/relationships/hyperlink" Target="&#1043;&#1051;&#1040;&#1042;&#1040;%209%20&#1055;&#1088;&#1086;&#1077;&#1082;&#1090;&#1080;&#1088;&#1086;&#1074;&#1072;&#1085;&#1080;&#1077;%20&#1072;&#1089;&#1080;&#1085;&#1093;&#1088;&#1086;&#1085;&#1085;&#1099;&#1093;%20&#1084;&#1072;&#1096;&#1080;&#1085;.doc" TargetMode="External"/><Relationship Id="rId233" Type="http://schemas.openxmlformats.org/officeDocument/2006/relationships/image" Target="../media/image86.emf"/><Relationship Id="rId440" Type="http://schemas.openxmlformats.org/officeDocument/2006/relationships/oleObject" Target="../embeddings/oleObject190.bin"/><Relationship Id="rId28" Type="http://schemas.openxmlformats.org/officeDocument/2006/relationships/hyperlink" Target="&#1055;&#1088;&#1086;&#1075;&#1088;&#1072;&#1084;&#1084;&#1072;%20XLCS%20&#1040;&#1044;%204&#1040;.txt" TargetMode="External"/><Relationship Id="rId275" Type="http://schemas.openxmlformats.org/officeDocument/2006/relationships/image" Target="../media/image107.emf"/><Relationship Id="rId300" Type="http://schemas.openxmlformats.org/officeDocument/2006/relationships/oleObject" Target="../embeddings/oleObject120.bin"/><Relationship Id="rId482" Type="http://schemas.openxmlformats.org/officeDocument/2006/relationships/oleObject" Target="../embeddings/oleObject211.bin"/><Relationship Id="rId81" Type="http://schemas.openxmlformats.org/officeDocument/2006/relationships/image" Target="../media/image10.emf"/><Relationship Id="rId135" Type="http://schemas.openxmlformats.org/officeDocument/2006/relationships/image" Target="../media/image37.emf"/><Relationship Id="rId177" Type="http://schemas.openxmlformats.org/officeDocument/2006/relationships/image" Target="../media/image58.emf"/><Relationship Id="rId342" Type="http://schemas.openxmlformats.org/officeDocument/2006/relationships/oleObject" Target="../embeddings/oleObject141.bin"/><Relationship Id="rId384" Type="http://schemas.openxmlformats.org/officeDocument/2006/relationships/oleObject" Target="../embeddings/oleObject162.bin"/><Relationship Id="rId202" Type="http://schemas.openxmlformats.org/officeDocument/2006/relationships/oleObject" Target="../embeddings/oleObject71.bin"/><Relationship Id="rId244" Type="http://schemas.openxmlformats.org/officeDocument/2006/relationships/oleObject" Target="../embeddings/oleObject92.bin"/><Relationship Id="rId39" Type="http://schemas.openxmlformats.org/officeDocument/2006/relationships/hyperlink" Target="..\&#1052;&#1044;&#1050;%2001.02" TargetMode="External"/><Relationship Id="rId286" Type="http://schemas.openxmlformats.org/officeDocument/2006/relationships/oleObject" Target="../embeddings/oleObject113.bin"/><Relationship Id="rId451" Type="http://schemas.openxmlformats.org/officeDocument/2006/relationships/image" Target="../media/image195.emf"/><Relationship Id="rId493" Type="http://schemas.openxmlformats.org/officeDocument/2006/relationships/image" Target="../media/image216.emf"/><Relationship Id="rId507" Type="http://schemas.openxmlformats.org/officeDocument/2006/relationships/image" Target="../media/image223.emf"/><Relationship Id="rId50" Type="http://schemas.openxmlformats.org/officeDocument/2006/relationships/hyperlink" Target="&#1052;&#1077;&#1090;&#1086;&#1076;&#1080;&#1095;&#1077;&#1089;&#1082;&#1080;&#1077;%20&#1089;&#1087;&#1088;&#1072;&#1074;&#1082;&#1080;.docx" TargetMode="External"/><Relationship Id="rId104" Type="http://schemas.openxmlformats.org/officeDocument/2006/relationships/oleObject" Target="../embeddings/oleObject22.bin"/><Relationship Id="rId146" Type="http://schemas.openxmlformats.org/officeDocument/2006/relationships/oleObject" Target="../embeddings/oleObject43.bin"/><Relationship Id="rId188" Type="http://schemas.openxmlformats.org/officeDocument/2006/relationships/oleObject" Target="../embeddings/oleObject64.bin"/><Relationship Id="rId311" Type="http://schemas.openxmlformats.org/officeDocument/2006/relationships/image" Target="../media/image125.emf"/><Relationship Id="rId353" Type="http://schemas.openxmlformats.org/officeDocument/2006/relationships/image" Target="../media/image146.emf"/><Relationship Id="rId395" Type="http://schemas.openxmlformats.org/officeDocument/2006/relationships/image" Target="../media/image167.emf"/><Relationship Id="rId409" Type="http://schemas.openxmlformats.org/officeDocument/2006/relationships/image" Target="../media/image174.emf"/><Relationship Id="rId92" Type="http://schemas.openxmlformats.org/officeDocument/2006/relationships/oleObject" Target="../embeddings/oleObject16.bin"/><Relationship Id="rId213" Type="http://schemas.openxmlformats.org/officeDocument/2006/relationships/image" Target="../media/image76.emf"/><Relationship Id="rId420" Type="http://schemas.openxmlformats.org/officeDocument/2006/relationships/oleObject" Target="../embeddings/oleObject180.bin"/><Relationship Id="rId255" Type="http://schemas.openxmlformats.org/officeDocument/2006/relationships/image" Target="../media/image97.emf"/><Relationship Id="rId297" Type="http://schemas.openxmlformats.org/officeDocument/2006/relationships/image" Target="../media/image118.emf"/><Relationship Id="rId462" Type="http://schemas.openxmlformats.org/officeDocument/2006/relationships/oleObject" Target="../embeddings/oleObject201.bin"/><Relationship Id="rId518" Type="http://schemas.openxmlformats.org/officeDocument/2006/relationships/oleObject" Target="../embeddings/oleObject229.bin"/><Relationship Id="rId115" Type="http://schemas.openxmlformats.org/officeDocument/2006/relationships/image" Target="../media/image27.emf"/><Relationship Id="rId157" Type="http://schemas.openxmlformats.org/officeDocument/2006/relationships/image" Target="../media/image48.emf"/><Relationship Id="rId322" Type="http://schemas.openxmlformats.org/officeDocument/2006/relationships/oleObject" Target="../embeddings/oleObject131.bin"/><Relationship Id="rId364" Type="http://schemas.openxmlformats.org/officeDocument/2006/relationships/oleObject" Target="../embeddings/oleObject152.bin"/><Relationship Id="rId61" Type="http://schemas.openxmlformats.org/officeDocument/2006/relationships/vmlDrawing" Target="../drawings/vmlDrawing1.vml"/><Relationship Id="rId199" Type="http://schemas.openxmlformats.org/officeDocument/2006/relationships/image" Target="../media/image69.emf"/><Relationship Id="rId19" Type="http://schemas.openxmlformats.org/officeDocument/2006/relationships/hyperlink" Target="&#1052;&#1077;&#1090;&#1086;&#1076;&#1080;&#1095;&#1082;&#1072;%20&#1084;&#1086;&#1103;%202.pdf" TargetMode="External"/><Relationship Id="rId224" Type="http://schemas.openxmlformats.org/officeDocument/2006/relationships/oleObject" Target="../embeddings/oleObject82.bin"/><Relationship Id="rId266" Type="http://schemas.openxmlformats.org/officeDocument/2006/relationships/oleObject" Target="../embeddings/oleObject103.bin"/><Relationship Id="rId431" Type="http://schemas.openxmlformats.org/officeDocument/2006/relationships/image" Target="../media/image185.emf"/><Relationship Id="rId473" Type="http://schemas.openxmlformats.org/officeDocument/2006/relationships/image" Target="../media/image206.emf"/><Relationship Id="rId30" Type="http://schemas.openxmlformats.org/officeDocument/2006/relationships/hyperlink" Target="&#1052;&#1077;&#1090;&#1086;&#1076;&#1080;&#1095;&#1077;&#1089;&#1082;&#1080;&#1077;%20&#1089;&#1087;&#1088;&#1072;&#1074;&#1082;&#1080;.docx" TargetMode="External"/><Relationship Id="rId126" Type="http://schemas.openxmlformats.org/officeDocument/2006/relationships/oleObject" Target="../embeddings/oleObject33.bin"/><Relationship Id="rId168" Type="http://schemas.openxmlformats.org/officeDocument/2006/relationships/oleObject" Target="../embeddings/oleObject54.bin"/><Relationship Id="rId333" Type="http://schemas.openxmlformats.org/officeDocument/2006/relationships/image" Target="../media/image136.emf"/><Relationship Id="rId72" Type="http://schemas.openxmlformats.org/officeDocument/2006/relationships/oleObject" Target="../embeddings/oleObject6.bin"/><Relationship Id="rId375" Type="http://schemas.openxmlformats.org/officeDocument/2006/relationships/image" Target="../media/image157.emf"/><Relationship Id="rId3" Type="http://schemas.openxmlformats.org/officeDocument/2006/relationships/hyperlink" Target="&#1043;&#1054;&#1057;&#1058;\&#1043;&#1054;&#1057;&#1058;%208338-75.pdf" TargetMode="External"/><Relationship Id="rId235" Type="http://schemas.openxmlformats.org/officeDocument/2006/relationships/image" Target="../media/image87.emf"/><Relationship Id="rId277" Type="http://schemas.openxmlformats.org/officeDocument/2006/relationships/image" Target="../media/image108.emf"/><Relationship Id="rId400" Type="http://schemas.openxmlformats.org/officeDocument/2006/relationships/oleObject" Target="../embeddings/oleObject170.bin"/><Relationship Id="rId442" Type="http://schemas.openxmlformats.org/officeDocument/2006/relationships/oleObject" Target="../embeddings/oleObject191.bin"/><Relationship Id="rId484" Type="http://schemas.openxmlformats.org/officeDocument/2006/relationships/oleObject" Target="../embeddings/oleObject212.bin"/><Relationship Id="rId137" Type="http://schemas.openxmlformats.org/officeDocument/2006/relationships/image" Target="../media/image38.emf"/><Relationship Id="rId302" Type="http://schemas.openxmlformats.org/officeDocument/2006/relationships/oleObject" Target="../embeddings/oleObject121.bin"/><Relationship Id="rId344" Type="http://schemas.openxmlformats.org/officeDocument/2006/relationships/oleObject" Target="../embeddings/oleObject142.bin"/><Relationship Id="rId41" Type="http://schemas.openxmlformats.org/officeDocument/2006/relationships/hyperlink" Target="..\&#1052;&#1044;&#1050;%2001.02" TargetMode="External"/><Relationship Id="rId83" Type="http://schemas.openxmlformats.org/officeDocument/2006/relationships/image" Target="../media/image11.emf"/><Relationship Id="rId179" Type="http://schemas.openxmlformats.org/officeDocument/2006/relationships/image" Target="../media/image59.emf"/><Relationship Id="rId386" Type="http://schemas.openxmlformats.org/officeDocument/2006/relationships/oleObject" Target="../embeddings/oleObject163.bin"/><Relationship Id="rId190" Type="http://schemas.openxmlformats.org/officeDocument/2006/relationships/oleObject" Target="../embeddings/oleObject65.bin"/><Relationship Id="rId204" Type="http://schemas.openxmlformats.org/officeDocument/2006/relationships/oleObject" Target="../embeddings/oleObject72.bin"/><Relationship Id="rId246" Type="http://schemas.openxmlformats.org/officeDocument/2006/relationships/oleObject" Target="../embeddings/oleObject93.bin"/><Relationship Id="rId288" Type="http://schemas.openxmlformats.org/officeDocument/2006/relationships/oleObject" Target="../embeddings/oleObject114.bin"/><Relationship Id="rId411" Type="http://schemas.openxmlformats.org/officeDocument/2006/relationships/image" Target="../media/image175.emf"/><Relationship Id="rId453" Type="http://schemas.openxmlformats.org/officeDocument/2006/relationships/image" Target="../media/image196.emf"/><Relationship Id="rId509" Type="http://schemas.openxmlformats.org/officeDocument/2006/relationships/image" Target="../media/image224.emf"/><Relationship Id="rId106" Type="http://schemas.openxmlformats.org/officeDocument/2006/relationships/oleObject" Target="../embeddings/oleObject23.bin"/><Relationship Id="rId313" Type="http://schemas.openxmlformats.org/officeDocument/2006/relationships/image" Target="../media/image126.emf"/><Relationship Id="rId495" Type="http://schemas.openxmlformats.org/officeDocument/2006/relationships/image" Target="../media/image217.emf"/><Relationship Id="rId10" Type="http://schemas.openxmlformats.org/officeDocument/2006/relationships/hyperlink" Target="&#1052;&#1077;&#1090;&#1086;&#1076;&#1080;&#1095;&#1077;&#1089;&#1082;&#1080;&#1077;%20&#1089;&#1087;&#1088;&#1072;&#1074;&#1082;&#1080;.docx" TargetMode="External"/><Relationship Id="rId52" Type="http://schemas.openxmlformats.org/officeDocument/2006/relationships/hyperlink" Target="&#1055;&#1088;&#1086;&#1075;&#1088;&#1072;&#1084;&#1084;&#1072;%20XLCS%20&#1040;&#1044;%204&#1040;.txt" TargetMode="External"/><Relationship Id="rId94" Type="http://schemas.openxmlformats.org/officeDocument/2006/relationships/oleObject" Target="../embeddings/oleObject17.bin"/><Relationship Id="rId148" Type="http://schemas.openxmlformats.org/officeDocument/2006/relationships/oleObject" Target="../embeddings/oleObject44.bin"/><Relationship Id="rId355" Type="http://schemas.openxmlformats.org/officeDocument/2006/relationships/image" Target="../media/image147.emf"/><Relationship Id="rId397" Type="http://schemas.openxmlformats.org/officeDocument/2006/relationships/image" Target="../media/image168.emf"/><Relationship Id="rId520" Type="http://schemas.openxmlformats.org/officeDocument/2006/relationships/oleObject" Target="../embeddings/oleObject230.bin"/><Relationship Id="rId215" Type="http://schemas.openxmlformats.org/officeDocument/2006/relationships/image" Target="../media/image77.emf"/><Relationship Id="rId257" Type="http://schemas.openxmlformats.org/officeDocument/2006/relationships/image" Target="../media/image98.emf"/><Relationship Id="rId422" Type="http://schemas.openxmlformats.org/officeDocument/2006/relationships/oleObject" Target="../embeddings/oleObject181.bin"/><Relationship Id="rId464" Type="http://schemas.openxmlformats.org/officeDocument/2006/relationships/oleObject" Target="../embeddings/oleObject202.bin"/><Relationship Id="rId299" Type="http://schemas.openxmlformats.org/officeDocument/2006/relationships/image" Target="../media/image119.emf"/><Relationship Id="rId63" Type="http://schemas.openxmlformats.org/officeDocument/2006/relationships/image" Target="../media/image1.emf"/><Relationship Id="rId159" Type="http://schemas.openxmlformats.org/officeDocument/2006/relationships/image" Target="../media/image49.emf"/><Relationship Id="rId366" Type="http://schemas.openxmlformats.org/officeDocument/2006/relationships/oleObject" Target="../embeddings/oleObject153.bin"/><Relationship Id="rId226" Type="http://schemas.openxmlformats.org/officeDocument/2006/relationships/oleObject" Target="../embeddings/oleObject83.bin"/><Relationship Id="rId433" Type="http://schemas.openxmlformats.org/officeDocument/2006/relationships/image" Target="../media/image186.emf"/></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6" Type="http://schemas.openxmlformats.org/officeDocument/2006/relationships/oleObject" Target="../embeddings/oleObject245.bin"/><Relationship Id="rId21" Type="http://schemas.openxmlformats.org/officeDocument/2006/relationships/image" Target="../media/image277.emf"/><Relationship Id="rId42" Type="http://schemas.openxmlformats.org/officeDocument/2006/relationships/oleObject" Target="../embeddings/oleObject253.bin"/><Relationship Id="rId47" Type="http://schemas.openxmlformats.org/officeDocument/2006/relationships/image" Target="../media/image290.emf"/><Relationship Id="rId63" Type="http://schemas.openxmlformats.org/officeDocument/2006/relationships/image" Target="../media/image298.emf"/><Relationship Id="rId68" Type="http://schemas.openxmlformats.org/officeDocument/2006/relationships/oleObject" Target="../embeddings/oleObject266.bin"/><Relationship Id="rId84" Type="http://schemas.openxmlformats.org/officeDocument/2006/relationships/oleObject" Target="../embeddings/oleObject274.bin"/><Relationship Id="rId89" Type="http://schemas.openxmlformats.org/officeDocument/2006/relationships/image" Target="../media/image311.emf"/><Relationship Id="rId16" Type="http://schemas.openxmlformats.org/officeDocument/2006/relationships/oleObject" Target="../embeddings/oleObject240.bin"/><Relationship Id="rId107" Type="http://schemas.openxmlformats.org/officeDocument/2006/relationships/image" Target="../media/image320.emf"/><Relationship Id="rId11" Type="http://schemas.openxmlformats.org/officeDocument/2006/relationships/image" Target="../media/image272.emf"/><Relationship Id="rId32" Type="http://schemas.openxmlformats.org/officeDocument/2006/relationships/oleObject" Target="../embeddings/oleObject248.bin"/><Relationship Id="rId37" Type="http://schemas.openxmlformats.org/officeDocument/2006/relationships/image" Target="../media/image285.emf"/><Relationship Id="rId53" Type="http://schemas.openxmlformats.org/officeDocument/2006/relationships/image" Target="../media/image293.emf"/><Relationship Id="rId58" Type="http://schemas.openxmlformats.org/officeDocument/2006/relationships/oleObject" Target="../embeddings/oleObject261.bin"/><Relationship Id="rId74" Type="http://schemas.openxmlformats.org/officeDocument/2006/relationships/oleObject" Target="../embeddings/oleObject269.bin"/><Relationship Id="rId79" Type="http://schemas.openxmlformats.org/officeDocument/2006/relationships/image" Target="../media/image306.emf"/><Relationship Id="rId102" Type="http://schemas.openxmlformats.org/officeDocument/2006/relationships/oleObject" Target="../embeddings/oleObject283.bin"/><Relationship Id="rId5" Type="http://schemas.openxmlformats.org/officeDocument/2006/relationships/image" Target="../media/image269.emf"/><Relationship Id="rId90" Type="http://schemas.openxmlformats.org/officeDocument/2006/relationships/oleObject" Target="../embeddings/oleObject277.bin"/><Relationship Id="rId95" Type="http://schemas.openxmlformats.org/officeDocument/2006/relationships/image" Target="../media/image314.emf"/><Relationship Id="rId22" Type="http://schemas.openxmlformats.org/officeDocument/2006/relationships/oleObject" Target="../embeddings/oleObject243.bin"/><Relationship Id="rId27" Type="http://schemas.openxmlformats.org/officeDocument/2006/relationships/image" Target="../media/image280.emf"/><Relationship Id="rId43" Type="http://schemas.openxmlformats.org/officeDocument/2006/relationships/image" Target="../media/image288.emf"/><Relationship Id="rId48" Type="http://schemas.openxmlformats.org/officeDocument/2006/relationships/oleObject" Target="../embeddings/oleObject256.bin"/><Relationship Id="rId64" Type="http://schemas.openxmlformats.org/officeDocument/2006/relationships/oleObject" Target="../embeddings/oleObject264.bin"/><Relationship Id="rId69" Type="http://schemas.openxmlformats.org/officeDocument/2006/relationships/image" Target="../media/image301.emf"/><Relationship Id="rId80" Type="http://schemas.openxmlformats.org/officeDocument/2006/relationships/oleObject" Target="../embeddings/oleObject272.bin"/><Relationship Id="rId85" Type="http://schemas.openxmlformats.org/officeDocument/2006/relationships/image" Target="../media/image309.emf"/><Relationship Id="rId12" Type="http://schemas.openxmlformats.org/officeDocument/2006/relationships/oleObject" Target="../embeddings/oleObject238.bin"/><Relationship Id="rId17" Type="http://schemas.openxmlformats.org/officeDocument/2006/relationships/image" Target="../media/image275.emf"/><Relationship Id="rId33" Type="http://schemas.openxmlformats.org/officeDocument/2006/relationships/image" Target="../media/image283.emf"/><Relationship Id="rId38" Type="http://schemas.openxmlformats.org/officeDocument/2006/relationships/oleObject" Target="../embeddings/oleObject251.bin"/><Relationship Id="rId59" Type="http://schemas.openxmlformats.org/officeDocument/2006/relationships/image" Target="../media/image296.emf"/><Relationship Id="rId103" Type="http://schemas.openxmlformats.org/officeDocument/2006/relationships/image" Target="../media/image318.emf"/><Relationship Id="rId108" Type="http://schemas.openxmlformats.org/officeDocument/2006/relationships/oleObject" Target="../embeddings/oleObject286.bin"/><Relationship Id="rId54" Type="http://schemas.openxmlformats.org/officeDocument/2006/relationships/oleObject" Target="../embeddings/oleObject259.bin"/><Relationship Id="rId70" Type="http://schemas.openxmlformats.org/officeDocument/2006/relationships/oleObject" Target="../embeddings/oleObject267.bin"/><Relationship Id="rId75" Type="http://schemas.openxmlformats.org/officeDocument/2006/relationships/image" Target="../media/image304.emf"/><Relationship Id="rId91" Type="http://schemas.openxmlformats.org/officeDocument/2006/relationships/image" Target="../media/image312.emf"/><Relationship Id="rId96" Type="http://schemas.openxmlformats.org/officeDocument/2006/relationships/oleObject" Target="../embeddings/oleObject280.bin"/><Relationship Id="rId1" Type="http://schemas.openxmlformats.org/officeDocument/2006/relationships/printerSettings" Target="../printerSettings/printerSettings3.bin"/><Relationship Id="rId6" Type="http://schemas.openxmlformats.org/officeDocument/2006/relationships/oleObject" Target="../embeddings/oleObject235.bin"/><Relationship Id="rId15" Type="http://schemas.openxmlformats.org/officeDocument/2006/relationships/image" Target="../media/image274.emf"/><Relationship Id="rId23" Type="http://schemas.openxmlformats.org/officeDocument/2006/relationships/image" Target="../media/image278.emf"/><Relationship Id="rId28" Type="http://schemas.openxmlformats.org/officeDocument/2006/relationships/oleObject" Target="../embeddings/oleObject246.bin"/><Relationship Id="rId36" Type="http://schemas.openxmlformats.org/officeDocument/2006/relationships/oleObject" Target="../embeddings/oleObject250.bin"/><Relationship Id="rId49" Type="http://schemas.openxmlformats.org/officeDocument/2006/relationships/image" Target="../media/image291.emf"/><Relationship Id="rId57" Type="http://schemas.openxmlformats.org/officeDocument/2006/relationships/image" Target="../media/image295.emf"/><Relationship Id="rId106" Type="http://schemas.openxmlformats.org/officeDocument/2006/relationships/oleObject" Target="../embeddings/oleObject285.bin"/><Relationship Id="rId10" Type="http://schemas.openxmlformats.org/officeDocument/2006/relationships/oleObject" Target="../embeddings/oleObject237.bin"/><Relationship Id="rId31" Type="http://schemas.openxmlformats.org/officeDocument/2006/relationships/image" Target="../media/image282.emf"/><Relationship Id="rId44" Type="http://schemas.openxmlformats.org/officeDocument/2006/relationships/oleObject" Target="../embeddings/oleObject254.bin"/><Relationship Id="rId52" Type="http://schemas.openxmlformats.org/officeDocument/2006/relationships/oleObject" Target="../embeddings/oleObject258.bin"/><Relationship Id="rId60" Type="http://schemas.openxmlformats.org/officeDocument/2006/relationships/oleObject" Target="../embeddings/oleObject262.bin"/><Relationship Id="rId65" Type="http://schemas.openxmlformats.org/officeDocument/2006/relationships/image" Target="../media/image299.emf"/><Relationship Id="rId73" Type="http://schemas.openxmlformats.org/officeDocument/2006/relationships/image" Target="../media/image303.emf"/><Relationship Id="rId78" Type="http://schemas.openxmlformats.org/officeDocument/2006/relationships/oleObject" Target="../embeddings/oleObject271.bin"/><Relationship Id="rId81" Type="http://schemas.openxmlformats.org/officeDocument/2006/relationships/image" Target="../media/image307.emf"/><Relationship Id="rId86" Type="http://schemas.openxmlformats.org/officeDocument/2006/relationships/oleObject" Target="../embeddings/oleObject275.bin"/><Relationship Id="rId94" Type="http://schemas.openxmlformats.org/officeDocument/2006/relationships/oleObject" Target="../embeddings/oleObject279.bin"/><Relationship Id="rId99" Type="http://schemas.openxmlformats.org/officeDocument/2006/relationships/image" Target="../media/image316.emf"/><Relationship Id="rId101" Type="http://schemas.openxmlformats.org/officeDocument/2006/relationships/image" Target="../media/image317.emf"/><Relationship Id="rId4" Type="http://schemas.openxmlformats.org/officeDocument/2006/relationships/oleObject" Target="../embeddings/oleObject234.bin"/><Relationship Id="rId9" Type="http://schemas.openxmlformats.org/officeDocument/2006/relationships/image" Target="../media/image271.emf"/><Relationship Id="rId13" Type="http://schemas.openxmlformats.org/officeDocument/2006/relationships/image" Target="../media/image273.emf"/><Relationship Id="rId18" Type="http://schemas.openxmlformats.org/officeDocument/2006/relationships/oleObject" Target="../embeddings/oleObject241.bin"/><Relationship Id="rId39" Type="http://schemas.openxmlformats.org/officeDocument/2006/relationships/image" Target="../media/image286.emf"/><Relationship Id="rId109" Type="http://schemas.openxmlformats.org/officeDocument/2006/relationships/image" Target="../media/image321.emf"/><Relationship Id="rId34" Type="http://schemas.openxmlformats.org/officeDocument/2006/relationships/oleObject" Target="../embeddings/oleObject249.bin"/><Relationship Id="rId50" Type="http://schemas.openxmlformats.org/officeDocument/2006/relationships/oleObject" Target="../embeddings/oleObject257.bin"/><Relationship Id="rId55" Type="http://schemas.openxmlformats.org/officeDocument/2006/relationships/image" Target="../media/image294.emf"/><Relationship Id="rId76" Type="http://schemas.openxmlformats.org/officeDocument/2006/relationships/oleObject" Target="../embeddings/oleObject270.bin"/><Relationship Id="rId97" Type="http://schemas.openxmlformats.org/officeDocument/2006/relationships/image" Target="../media/image315.emf"/><Relationship Id="rId104" Type="http://schemas.openxmlformats.org/officeDocument/2006/relationships/oleObject" Target="../embeddings/oleObject284.bin"/><Relationship Id="rId7" Type="http://schemas.openxmlformats.org/officeDocument/2006/relationships/image" Target="../media/image270.emf"/><Relationship Id="rId71" Type="http://schemas.openxmlformats.org/officeDocument/2006/relationships/image" Target="../media/image302.emf"/><Relationship Id="rId92" Type="http://schemas.openxmlformats.org/officeDocument/2006/relationships/oleObject" Target="../embeddings/oleObject278.bin"/><Relationship Id="rId2" Type="http://schemas.openxmlformats.org/officeDocument/2006/relationships/drawing" Target="../drawings/drawing3.xml"/><Relationship Id="rId29" Type="http://schemas.openxmlformats.org/officeDocument/2006/relationships/image" Target="../media/image281.emf"/><Relationship Id="rId24" Type="http://schemas.openxmlformats.org/officeDocument/2006/relationships/oleObject" Target="../embeddings/oleObject244.bin"/><Relationship Id="rId40" Type="http://schemas.openxmlformats.org/officeDocument/2006/relationships/oleObject" Target="../embeddings/oleObject252.bin"/><Relationship Id="rId45" Type="http://schemas.openxmlformats.org/officeDocument/2006/relationships/image" Target="../media/image289.emf"/><Relationship Id="rId66" Type="http://schemas.openxmlformats.org/officeDocument/2006/relationships/oleObject" Target="../embeddings/oleObject265.bin"/><Relationship Id="rId87" Type="http://schemas.openxmlformats.org/officeDocument/2006/relationships/image" Target="../media/image310.emf"/><Relationship Id="rId110" Type="http://schemas.openxmlformats.org/officeDocument/2006/relationships/oleObject" Target="../embeddings/oleObject287.bin"/><Relationship Id="rId61" Type="http://schemas.openxmlformats.org/officeDocument/2006/relationships/image" Target="../media/image297.emf"/><Relationship Id="rId82" Type="http://schemas.openxmlformats.org/officeDocument/2006/relationships/oleObject" Target="../embeddings/oleObject273.bin"/><Relationship Id="rId19" Type="http://schemas.openxmlformats.org/officeDocument/2006/relationships/image" Target="../media/image276.emf"/><Relationship Id="rId14" Type="http://schemas.openxmlformats.org/officeDocument/2006/relationships/oleObject" Target="../embeddings/oleObject239.bin"/><Relationship Id="rId30" Type="http://schemas.openxmlformats.org/officeDocument/2006/relationships/oleObject" Target="../embeddings/oleObject247.bin"/><Relationship Id="rId35" Type="http://schemas.openxmlformats.org/officeDocument/2006/relationships/image" Target="../media/image284.emf"/><Relationship Id="rId56" Type="http://schemas.openxmlformats.org/officeDocument/2006/relationships/oleObject" Target="../embeddings/oleObject260.bin"/><Relationship Id="rId77" Type="http://schemas.openxmlformats.org/officeDocument/2006/relationships/image" Target="../media/image305.emf"/><Relationship Id="rId100" Type="http://schemas.openxmlformats.org/officeDocument/2006/relationships/oleObject" Target="../embeddings/oleObject282.bin"/><Relationship Id="rId105" Type="http://schemas.openxmlformats.org/officeDocument/2006/relationships/image" Target="../media/image319.emf"/><Relationship Id="rId8" Type="http://schemas.openxmlformats.org/officeDocument/2006/relationships/oleObject" Target="../embeddings/oleObject236.bin"/><Relationship Id="rId51" Type="http://schemas.openxmlformats.org/officeDocument/2006/relationships/image" Target="../media/image292.emf"/><Relationship Id="rId72" Type="http://schemas.openxmlformats.org/officeDocument/2006/relationships/oleObject" Target="../embeddings/oleObject268.bin"/><Relationship Id="rId93" Type="http://schemas.openxmlformats.org/officeDocument/2006/relationships/image" Target="../media/image313.emf"/><Relationship Id="rId98" Type="http://schemas.openxmlformats.org/officeDocument/2006/relationships/oleObject" Target="../embeddings/oleObject281.bin"/><Relationship Id="rId3" Type="http://schemas.openxmlformats.org/officeDocument/2006/relationships/vmlDrawing" Target="../drawings/vmlDrawing2.vml"/><Relationship Id="rId25" Type="http://schemas.openxmlformats.org/officeDocument/2006/relationships/image" Target="../media/image279.emf"/><Relationship Id="rId46" Type="http://schemas.openxmlformats.org/officeDocument/2006/relationships/oleObject" Target="../embeddings/oleObject255.bin"/><Relationship Id="rId67" Type="http://schemas.openxmlformats.org/officeDocument/2006/relationships/image" Target="../media/image300.emf"/><Relationship Id="rId20" Type="http://schemas.openxmlformats.org/officeDocument/2006/relationships/oleObject" Target="../embeddings/oleObject242.bin"/><Relationship Id="rId41" Type="http://schemas.openxmlformats.org/officeDocument/2006/relationships/image" Target="../media/image287.emf"/><Relationship Id="rId62" Type="http://schemas.openxmlformats.org/officeDocument/2006/relationships/oleObject" Target="../embeddings/oleObject263.bin"/><Relationship Id="rId83" Type="http://schemas.openxmlformats.org/officeDocument/2006/relationships/image" Target="../media/image308.emf"/><Relationship Id="rId88" Type="http://schemas.openxmlformats.org/officeDocument/2006/relationships/oleObject" Target="../embeddings/oleObject276.bin"/><Relationship Id="rId111" Type="http://schemas.openxmlformats.org/officeDocument/2006/relationships/image" Target="../media/image322.emf"/></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7" Type="http://schemas.openxmlformats.org/officeDocument/2006/relationships/image" Target="../media/image325.emf"/><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oleObject" Target="../embeddings/oleObject289.bin"/><Relationship Id="rId5" Type="http://schemas.openxmlformats.org/officeDocument/2006/relationships/image" Target="../media/image324.emf"/><Relationship Id="rId4" Type="http://schemas.openxmlformats.org/officeDocument/2006/relationships/oleObject" Target="../embeddings/oleObject288.bin"/></Relationships>
</file>

<file path=xl/worksheets/_rels/sheet5.xml.rels><?xml version="1.0" encoding="UTF-8" standalone="yes"?>
<Relationships xmlns="http://schemas.openxmlformats.org/package/2006/relationships"><Relationship Id="rId13" Type="http://schemas.openxmlformats.org/officeDocument/2006/relationships/hyperlink" Target="&#1052;&#1077;&#1090;&#1086;&#1076;&#1080;&#1095;&#1082;&#1072;%20&#1084;&#1086;&#1103;%202.pdf" TargetMode="External"/><Relationship Id="rId18" Type="http://schemas.openxmlformats.org/officeDocument/2006/relationships/oleObject" Target="../embeddings/oleObject290.bin"/><Relationship Id="rId26" Type="http://schemas.openxmlformats.org/officeDocument/2006/relationships/oleObject" Target="../embeddings/oleObject294.bin"/><Relationship Id="rId39" Type="http://schemas.openxmlformats.org/officeDocument/2006/relationships/oleObject" Target="../embeddings/oleObject301.bin"/><Relationship Id="rId21" Type="http://schemas.openxmlformats.org/officeDocument/2006/relationships/image" Target="../media/image335.emf"/><Relationship Id="rId34" Type="http://schemas.openxmlformats.org/officeDocument/2006/relationships/oleObject" Target="../embeddings/oleObject298.bin"/><Relationship Id="rId42" Type="http://schemas.openxmlformats.org/officeDocument/2006/relationships/image" Target="../media/image345.emf"/><Relationship Id="rId47" Type="http://schemas.openxmlformats.org/officeDocument/2006/relationships/oleObject" Target="../embeddings/oleObject306.bin"/><Relationship Id="rId50" Type="http://schemas.openxmlformats.org/officeDocument/2006/relationships/oleObject" Target="../embeddings/oleObject308.bin"/><Relationship Id="rId55" Type="http://schemas.openxmlformats.org/officeDocument/2006/relationships/image" Target="../media/image350.emf"/><Relationship Id="rId7" Type="http://schemas.openxmlformats.org/officeDocument/2006/relationships/hyperlink" Target="&#1043;&#1054;&#1057;&#1058;\&#1043;&#1054;&#1057;&#1058;%2031606-2012_&#1042;2_269KB.pdf" TargetMode="External"/><Relationship Id="rId2" Type="http://schemas.openxmlformats.org/officeDocument/2006/relationships/hyperlink" Target="&#1043;&#1054;&#1057;&#1058;\&#1043;&#1054;&#1057;&#1058;%2013267-1973.pdf" TargetMode="External"/><Relationship Id="rId16" Type="http://schemas.openxmlformats.org/officeDocument/2006/relationships/drawing" Target="../drawings/drawing5.xml"/><Relationship Id="rId29" Type="http://schemas.openxmlformats.org/officeDocument/2006/relationships/image" Target="../media/image339.emf"/><Relationship Id="rId11" Type="http://schemas.openxmlformats.org/officeDocument/2006/relationships/hyperlink" Target="&#1052;&#1077;&#1090;&#1086;&#1076;&#1080;&#1095;&#1082;&#1072;%20&#1084;&#1086;&#1103;%202.pdf" TargetMode="External"/><Relationship Id="rId24" Type="http://schemas.openxmlformats.org/officeDocument/2006/relationships/oleObject" Target="../embeddings/oleObject293.bin"/><Relationship Id="rId32" Type="http://schemas.openxmlformats.org/officeDocument/2006/relationships/oleObject" Target="../embeddings/oleObject297.bin"/><Relationship Id="rId37" Type="http://schemas.openxmlformats.org/officeDocument/2006/relationships/image" Target="../media/image343.wmf"/><Relationship Id="rId40" Type="http://schemas.openxmlformats.org/officeDocument/2006/relationships/image" Target="../media/image344.wmf"/><Relationship Id="rId45" Type="http://schemas.openxmlformats.org/officeDocument/2006/relationships/oleObject" Target="../embeddings/oleObject305.bin"/><Relationship Id="rId53" Type="http://schemas.openxmlformats.org/officeDocument/2006/relationships/image" Target="../media/image349.emf"/><Relationship Id="rId58" Type="http://schemas.openxmlformats.org/officeDocument/2006/relationships/image" Target="../media/image351.emf"/><Relationship Id="rId5" Type="http://schemas.openxmlformats.org/officeDocument/2006/relationships/hyperlink" Target="&#1043;&#1054;&#1057;&#1058;" TargetMode="External"/><Relationship Id="rId19" Type="http://schemas.openxmlformats.org/officeDocument/2006/relationships/image" Target="../media/image334.wmf"/><Relationship Id="rId4" Type="http://schemas.openxmlformats.org/officeDocument/2006/relationships/hyperlink" Target="&#1043;&#1054;&#1057;&#1058;\&#1043;&#1054;&#1057;&#1058;%2031606-2012_&#1042;2_269KB.pdf" TargetMode="External"/><Relationship Id="rId9" Type="http://schemas.openxmlformats.org/officeDocument/2006/relationships/hyperlink" Target="&#1043;&#1054;&#1057;&#1058;\&#1043;&#1054;&#1057;&#1058;%2031606-2012_&#1042;1_463KB.pdf" TargetMode="External"/><Relationship Id="rId14" Type="http://schemas.openxmlformats.org/officeDocument/2006/relationships/hyperlink" Target="&#1055;&#1088;&#1086;&#1075;&#1088;&#1072;&#1084;&#1084;&#1072;%20XLCS%20&#1040;&#1044;%204&#1040;.txt" TargetMode="External"/><Relationship Id="rId22" Type="http://schemas.openxmlformats.org/officeDocument/2006/relationships/oleObject" Target="../embeddings/oleObject292.bin"/><Relationship Id="rId27" Type="http://schemas.openxmlformats.org/officeDocument/2006/relationships/image" Target="../media/image338.emf"/><Relationship Id="rId30" Type="http://schemas.openxmlformats.org/officeDocument/2006/relationships/oleObject" Target="../embeddings/oleObject296.bin"/><Relationship Id="rId35" Type="http://schemas.openxmlformats.org/officeDocument/2006/relationships/image" Target="../media/image342.wmf"/><Relationship Id="rId43" Type="http://schemas.openxmlformats.org/officeDocument/2006/relationships/oleObject" Target="../embeddings/oleObject303.bin"/><Relationship Id="rId48" Type="http://schemas.openxmlformats.org/officeDocument/2006/relationships/oleObject" Target="../embeddings/oleObject307.bin"/><Relationship Id="rId56" Type="http://schemas.openxmlformats.org/officeDocument/2006/relationships/oleObject" Target="../embeddings/oleObject311.bin"/><Relationship Id="rId8" Type="http://schemas.openxmlformats.org/officeDocument/2006/relationships/hyperlink" Target="&#1043;&#1054;&#1057;&#1058;\&#1043;&#1054;&#1057;&#1058;%2031606-2012_&#1042;1_463KB.pdf" TargetMode="External"/><Relationship Id="rId51" Type="http://schemas.openxmlformats.org/officeDocument/2006/relationships/image" Target="../media/image348.wmf"/><Relationship Id="rId3" Type="http://schemas.openxmlformats.org/officeDocument/2006/relationships/hyperlink" Target="&#1043;&#1054;&#1057;&#1058;\&#1043;&#1054;&#1057;&#1058;%2013267-1973.pdf" TargetMode="External"/><Relationship Id="rId12" Type="http://schemas.openxmlformats.org/officeDocument/2006/relationships/hyperlink" Target="&#1052;&#1077;&#1090;&#1086;&#1076;&#1080;&#1095;&#1077;&#1089;&#1082;&#1080;&#1077;%20&#1089;&#1087;&#1088;&#1072;&#1074;&#1082;&#1080;.docx" TargetMode="External"/><Relationship Id="rId17" Type="http://schemas.openxmlformats.org/officeDocument/2006/relationships/vmlDrawing" Target="../drawings/vmlDrawing4.vml"/><Relationship Id="rId25" Type="http://schemas.openxmlformats.org/officeDocument/2006/relationships/image" Target="../media/image337.emf"/><Relationship Id="rId33" Type="http://schemas.openxmlformats.org/officeDocument/2006/relationships/image" Target="../media/image341.wmf"/><Relationship Id="rId38" Type="http://schemas.openxmlformats.org/officeDocument/2006/relationships/oleObject" Target="../embeddings/oleObject300.bin"/><Relationship Id="rId46" Type="http://schemas.openxmlformats.org/officeDocument/2006/relationships/image" Target="../media/image346.wmf"/><Relationship Id="rId59" Type="http://schemas.openxmlformats.org/officeDocument/2006/relationships/oleObject" Target="../embeddings/oleObject313.bin"/><Relationship Id="rId20" Type="http://schemas.openxmlformats.org/officeDocument/2006/relationships/oleObject" Target="../embeddings/oleObject291.bin"/><Relationship Id="rId41" Type="http://schemas.openxmlformats.org/officeDocument/2006/relationships/oleObject" Target="../embeddings/oleObject302.bin"/><Relationship Id="rId54" Type="http://schemas.openxmlformats.org/officeDocument/2006/relationships/oleObject" Target="../embeddings/oleObject310.bin"/><Relationship Id="rId1" Type="http://schemas.openxmlformats.org/officeDocument/2006/relationships/hyperlink" Target="&#1043;&#1054;&#1057;&#1058;" TargetMode="External"/><Relationship Id="rId6" Type="http://schemas.openxmlformats.org/officeDocument/2006/relationships/hyperlink" Target="&#1043;&#1054;&#1057;&#1058;" TargetMode="External"/><Relationship Id="rId15" Type="http://schemas.openxmlformats.org/officeDocument/2006/relationships/printerSettings" Target="../printerSettings/printerSettings5.bin"/><Relationship Id="rId23" Type="http://schemas.openxmlformats.org/officeDocument/2006/relationships/image" Target="../media/image336.emf"/><Relationship Id="rId28" Type="http://schemas.openxmlformats.org/officeDocument/2006/relationships/oleObject" Target="../embeddings/oleObject295.bin"/><Relationship Id="rId36" Type="http://schemas.openxmlformats.org/officeDocument/2006/relationships/oleObject" Target="../embeddings/oleObject299.bin"/><Relationship Id="rId49" Type="http://schemas.openxmlformats.org/officeDocument/2006/relationships/image" Target="../media/image347.wmf"/><Relationship Id="rId57" Type="http://schemas.openxmlformats.org/officeDocument/2006/relationships/oleObject" Target="../embeddings/oleObject312.bin"/><Relationship Id="rId10" Type="http://schemas.openxmlformats.org/officeDocument/2006/relationships/hyperlink" Target="&#1052;&#1077;&#1090;&#1086;&#1076;&#1080;&#1095;&#1077;&#1089;&#1082;&#1080;&#1077;%20&#1089;&#1087;&#1088;&#1072;&#1074;&#1082;&#1080;.docx" TargetMode="External"/><Relationship Id="rId31" Type="http://schemas.openxmlformats.org/officeDocument/2006/relationships/image" Target="../media/image340.emf"/><Relationship Id="rId44" Type="http://schemas.openxmlformats.org/officeDocument/2006/relationships/oleObject" Target="../embeddings/oleObject304.bin"/><Relationship Id="rId52" Type="http://schemas.openxmlformats.org/officeDocument/2006/relationships/oleObject" Target="../embeddings/oleObject309.bin"/><Relationship Id="rId60" Type="http://schemas.openxmlformats.org/officeDocument/2006/relationships/image" Target="../media/image352.emf"/></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7" Type="http://schemas.openxmlformats.org/officeDocument/2006/relationships/image" Target="../media/image379.emf"/><Relationship Id="rId2" Type="http://schemas.openxmlformats.org/officeDocument/2006/relationships/drawing" Target="../drawings/drawing6.xml"/><Relationship Id="rId1" Type="http://schemas.openxmlformats.org/officeDocument/2006/relationships/printerSettings" Target="../printerSettings/printerSettings7.bin"/><Relationship Id="rId6" Type="http://schemas.openxmlformats.org/officeDocument/2006/relationships/oleObject" Target="../embeddings/oleObject315.bin"/><Relationship Id="rId5" Type="http://schemas.openxmlformats.org/officeDocument/2006/relationships/image" Target="../media/image378.emf"/><Relationship Id="rId4" Type="http://schemas.openxmlformats.org/officeDocument/2006/relationships/oleObject" Target="../embeddings/oleObject31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1"/>
  <dimension ref="A1:ADA233"/>
  <sheetViews>
    <sheetView tabSelected="1" zoomScale="10" zoomScaleNormal="10" zoomScalePageLayoutView="40" workbookViewId="0">
      <selection activeCell="OI69" sqref="OI69"/>
    </sheetView>
  </sheetViews>
  <sheetFormatPr defaultRowHeight="48" customHeight="1" x14ac:dyDescent="0.3"/>
  <cols>
    <col min="1" max="1" width="9.140625" style="3" customWidth="1"/>
    <col min="2" max="3" width="9.140625" style="1" customWidth="1"/>
    <col min="4" max="4" width="9.140625" style="12" customWidth="1"/>
    <col min="5" max="6" width="9.140625" style="3" customWidth="1"/>
    <col min="7" max="39" width="9.140625" style="1" customWidth="1"/>
    <col min="40" max="41" width="9.140625" style="16" customWidth="1"/>
    <col min="42" max="212" width="9.140625" style="1" customWidth="1"/>
    <col min="213" max="16384" width="9.140625" style="1"/>
  </cols>
  <sheetData>
    <row r="1" spans="3:781" ht="48" customHeight="1" thickBot="1" x14ac:dyDescent="0.35">
      <c r="AR1" s="291"/>
      <c r="AS1" s="291"/>
      <c r="AT1" s="291"/>
      <c r="AU1" s="291"/>
      <c r="AV1" s="291"/>
      <c r="AW1" s="291"/>
      <c r="AX1" s="291"/>
    </row>
    <row r="2" spans="3:781" ht="48" customHeight="1" x14ac:dyDescent="0.3">
      <c r="G2" s="155" t="s">
        <v>627</v>
      </c>
      <c r="I2" s="155" t="s">
        <v>627</v>
      </c>
      <c r="AC2" s="384" t="s">
        <v>0</v>
      </c>
      <c r="AD2" s="384"/>
      <c r="AE2" s="384"/>
      <c r="AF2" s="384"/>
      <c r="AG2" s="384"/>
      <c r="AR2" s="536" t="s">
        <v>940</v>
      </c>
      <c r="AS2" s="537"/>
      <c r="AT2" s="291"/>
      <c r="AU2" s="291"/>
      <c r="AV2" s="291"/>
      <c r="AW2" s="291"/>
      <c r="AX2" s="291"/>
      <c r="BB2" s="173" t="s">
        <v>627</v>
      </c>
      <c r="BD2" s="445" t="s">
        <v>631</v>
      </c>
      <c r="BE2" s="445"/>
      <c r="BF2" s="445"/>
      <c r="BG2" s="445"/>
      <c r="BH2" s="445"/>
      <c r="BI2" s="445"/>
      <c r="BJ2" s="445"/>
      <c r="BK2" s="172" t="s">
        <v>630</v>
      </c>
    </row>
    <row r="3" spans="3:781" ht="48" customHeight="1" thickBot="1" x14ac:dyDescent="0.35">
      <c r="AR3" s="538"/>
      <c r="AS3" s="539"/>
      <c r="BD3" s="446" t="s">
        <v>831</v>
      </c>
      <c r="BE3" s="446"/>
      <c r="BF3" s="446"/>
      <c r="BG3" s="446"/>
      <c r="BH3" s="446"/>
      <c r="BI3" s="446"/>
      <c r="BJ3" s="446"/>
      <c r="BK3" s="172" t="s">
        <v>630</v>
      </c>
      <c r="BO3" s="379"/>
      <c r="BQ3" s="178"/>
      <c r="BR3" s="179"/>
      <c r="BS3" s="180"/>
      <c r="CS3" s="448" t="s">
        <v>958</v>
      </c>
      <c r="CT3" s="449"/>
      <c r="CU3" s="450"/>
      <c r="DD3" s="173" t="s">
        <v>627</v>
      </c>
      <c r="DF3" s="445" t="s">
        <v>631</v>
      </c>
      <c r="DG3" s="445"/>
      <c r="DH3" s="445"/>
      <c r="DI3" s="445"/>
      <c r="DJ3" s="445"/>
      <c r="DK3" s="445"/>
      <c r="DL3" s="445"/>
      <c r="DM3" s="172" t="s">
        <v>630</v>
      </c>
      <c r="FN3" s="445" t="s">
        <v>631</v>
      </c>
      <c r="FO3" s="445"/>
      <c r="FP3" s="445"/>
      <c r="FQ3" s="445"/>
      <c r="FR3" s="445"/>
      <c r="FS3" s="445"/>
      <c r="FT3" s="445"/>
      <c r="FU3" s="172" t="s">
        <v>630</v>
      </c>
      <c r="HZ3" s="445" t="s">
        <v>631</v>
      </c>
      <c r="IA3" s="445"/>
      <c r="IB3" s="445"/>
      <c r="IC3" s="445"/>
      <c r="ID3" s="445"/>
      <c r="IE3" s="445"/>
      <c r="IF3" s="445"/>
      <c r="IG3" s="172" t="s">
        <v>630</v>
      </c>
      <c r="LG3" s="445" t="s">
        <v>631</v>
      </c>
      <c r="LH3" s="445"/>
      <c r="LI3" s="445"/>
      <c r="LJ3" s="445"/>
      <c r="LK3" s="445"/>
      <c r="LL3" s="445"/>
      <c r="LM3" s="445"/>
      <c r="LN3" s="172" t="s">
        <v>630</v>
      </c>
      <c r="OM3" s="445" t="s">
        <v>631</v>
      </c>
      <c r="ON3" s="445"/>
      <c r="OO3" s="445"/>
      <c r="OP3" s="445"/>
      <c r="OQ3" s="445"/>
      <c r="OR3" s="445"/>
      <c r="OS3" s="445"/>
      <c r="OT3" s="172" t="s">
        <v>630</v>
      </c>
      <c r="RI3" s="445" t="s">
        <v>631</v>
      </c>
      <c r="RJ3" s="445"/>
      <c r="RK3" s="445"/>
      <c r="RL3" s="445"/>
      <c r="RM3" s="445"/>
      <c r="RN3" s="445"/>
      <c r="RO3" s="445"/>
      <c r="RP3" s="172" t="s">
        <v>630</v>
      </c>
      <c r="VB3" s="445" t="s">
        <v>631</v>
      </c>
      <c r="VC3" s="445"/>
      <c r="VD3" s="445"/>
      <c r="VE3" s="445"/>
      <c r="VF3" s="445"/>
      <c r="VG3" s="445"/>
      <c r="VH3" s="445"/>
      <c r="VI3" s="172" t="s">
        <v>630</v>
      </c>
      <c r="YT3" s="445" t="s">
        <v>631</v>
      </c>
      <c r="YU3" s="445"/>
      <c r="YV3" s="445"/>
      <c r="YW3" s="445"/>
      <c r="YX3" s="445"/>
      <c r="YY3" s="445"/>
      <c r="YZ3" s="445"/>
      <c r="ZA3" s="172" t="s">
        <v>630</v>
      </c>
      <c r="ABO3" s="445" t="s">
        <v>631</v>
      </c>
      <c r="ABP3" s="445"/>
      <c r="ABQ3" s="445"/>
      <c r="ABR3" s="445"/>
      <c r="ABS3" s="445"/>
      <c r="ABT3" s="445"/>
      <c r="ABU3" s="445"/>
      <c r="ABV3" s="172" t="s">
        <v>630</v>
      </c>
    </row>
    <row r="4" spans="3:781" ht="48" customHeight="1" thickBot="1" x14ac:dyDescent="0.35">
      <c r="G4" s="292" t="s">
        <v>611</v>
      </c>
      <c r="H4" s="292" t="s">
        <v>612</v>
      </c>
      <c r="I4" s="292" t="s">
        <v>613</v>
      </c>
      <c r="J4" s="292" t="s">
        <v>614</v>
      </c>
      <c r="K4" s="292" t="s">
        <v>615</v>
      </c>
      <c r="L4" s="292" t="s">
        <v>616</v>
      </c>
      <c r="V4" s="173" t="s">
        <v>627</v>
      </c>
      <c r="AB4" s="594" t="s">
        <v>1</v>
      </c>
      <c r="AC4" s="594"/>
      <c r="AD4" s="594"/>
      <c r="AE4" s="594"/>
      <c r="AF4" s="594"/>
      <c r="AG4" s="594"/>
      <c r="AH4" s="595">
        <f>'Ввод значений статус решения'!X13</f>
        <v>25000</v>
      </c>
      <c r="AI4" s="595"/>
      <c r="AJ4" s="384" t="s">
        <v>4</v>
      </c>
      <c r="AK4" s="384"/>
      <c r="BD4" s="446" t="s">
        <v>831</v>
      </c>
      <c r="BE4" s="446"/>
      <c r="BF4" s="446"/>
      <c r="BG4" s="446"/>
      <c r="BH4" s="446"/>
      <c r="BI4" s="446"/>
      <c r="BJ4" s="446"/>
      <c r="BK4" s="172" t="s">
        <v>628</v>
      </c>
      <c r="BO4" s="471"/>
      <c r="BQ4" s="181"/>
      <c r="BR4" s="182"/>
      <c r="BS4" s="183"/>
      <c r="CS4" s="451"/>
      <c r="CT4" s="452"/>
      <c r="CU4" s="453"/>
      <c r="DF4" s="446" t="s">
        <v>831</v>
      </c>
      <c r="DG4" s="446"/>
      <c r="DH4" s="446"/>
      <c r="DI4" s="446"/>
      <c r="DJ4" s="446"/>
      <c r="DK4" s="446"/>
      <c r="DL4" s="446"/>
      <c r="DM4" s="172" t="s">
        <v>630</v>
      </c>
      <c r="FL4" s="173" t="s">
        <v>627</v>
      </c>
      <c r="FN4" s="446" t="s">
        <v>831</v>
      </c>
      <c r="FO4" s="446"/>
      <c r="FP4" s="446"/>
      <c r="FQ4" s="446"/>
      <c r="FR4" s="446"/>
      <c r="FS4" s="446"/>
      <c r="FT4" s="446"/>
      <c r="FU4" s="172" t="s">
        <v>630</v>
      </c>
      <c r="HX4" s="173" t="s">
        <v>627</v>
      </c>
      <c r="HZ4" s="446" t="s">
        <v>831</v>
      </c>
      <c r="IA4" s="446"/>
      <c r="IB4" s="446"/>
      <c r="IC4" s="446"/>
      <c r="ID4" s="446"/>
      <c r="IE4" s="446"/>
      <c r="IF4" s="446"/>
      <c r="IG4" s="172" t="s">
        <v>630</v>
      </c>
      <c r="LE4" s="173" t="s">
        <v>627</v>
      </c>
      <c r="LG4" s="446" t="s">
        <v>831</v>
      </c>
      <c r="LH4" s="446"/>
      <c r="LI4" s="446"/>
      <c r="LJ4" s="446"/>
      <c r="LK4" s="446"/>
      <c r="LL4" s="446"/>
      <c r="LM4" s="446"/>
      <c r="LN4" s="172" t="s">
        <v>630</v>
      </c>
      <c r="OK4" s="173" t="s">
        <v>627</v>
      </c>
      <c r="OM4" s="446" t="s">
        <v>831</v>
      </c>
      <c r="ON4" s="446"/>
      <c r="OO4" s="446"/>
      <c r="OP4" s="446"/>
      <c r="OQ4" s="446"/>
      <c r="OR4" s="446"/>
      <c r="OS4" s="446"/>
      <c r="OT4" s="172" t="s">
        <v>630</v>
      </c>
      <c r="RG4" s="173" t="s">
        <v>627</v>
      </c>
      <c r="RI4" s="446" t="s">
        <v>831</v>
      </c>
      <c r="RJ4" s="446"/>
      <c r="RK4" s="446"/>
      <c r="RL4" s="446"/>
      <c r="RM4" s="446"/>
      <c r="RN4" s="446"/>
      <c r="RO4" s="446"/>
      <c r="RP4" s="172" t="s">
        <v>630</v>
      </c>
      <c r="UZ4" s="173" t="s">
        <v>627</v>
      </c>
      <c r="VB4" s="446" t="s">
        <v>831</v>
      </c>
      <c r="VC4" s="446"/>
      <c r="VD4" s="446"/>
      <c r="VE4" s="446"/>
      <c r="VF4" s="446"/>
      <c r="VG4" s="446"/>
      <c r="VH4" s="446"/>
      <c r="VI4" s="172" t="s">
        <v>630</v>
      </c>
      <c r="YR4" s="173" t="s">
        <v>627</v>
      </c>
      <c r="YT4" s="446" t="s">
        <v>831</v>
      </c>
      <c r="YU4" s="446"/>
      <c r="YV4" s="446"/>
      <c r="YW4" s="446"/>
      <c r="YX4" s="446"/>
      <c r="YY4" s="446"/>
      <c r="YZ4" s="446"/>
      <c r="ZA4" s="172" t="s">
        <v>630</v>
      </c>
      <c r="ABM4" s="173" t="s">
        <v>627</v>
      </c>
      <c r="ABO4" s="446" t="s">
        <v>831</v>
      </c>
      <c r="ABP4" s="446"/>
      <c r="ABQ4" s="446"/>
      <c r="ABR4" s="446"/>
      <c r="ABS4" s="446"/>
      <c r="ABT4" s="446"/>
      <c r="ABU4" s="446"/>
      <c r="ABV4" s="172" t="s">
        <v>630</v>
      </c>
    </row>
    <row r="5" spans="3:781" ht="48" customHeight="1" x14ac:dyDescent="0.3">
      <c r="G5" s="292" t="s">
        <v>617</v>
      </c>
      <c r="H5" s="292" t="s">
        <v>618</v>
      </c>
      <c r="I5" s="292" t="s">
        <v>82</v>
      </c>
      <c r="J5" s="292" t="s">
        <v>619</v>
      </c>
      <c r="K5" s="292" t="s">
        <v>620</v>
      </c>
      <c r="L5" s="292" t="s">
        <v>621</v>
      </c>
      <c r="AB5" s="594" t="s">
        <v>3</v>
      </c>
      <c r="AC5" s="594"/>
      <c r="AD5" s="594"/>
      <c r="AE5" s="594"/>
      <c r="AF5" s="594"/>
      <c r="AG5" s="594"/>
      <c r="AH5" s="595">
        <f>'Ввод значений статус решения'!X14</f>
        <v>3600</v>
      </c>
      <c r="AI5" s="595"/>
      <c r="AJ5" s="384" t="s">
        <v>5</v>
      </c>
      <c r="AK5" s="384"/>
      <c r="AR5" s="536" t="s">
        <v>944</v>
      </c>
      <c r="AS5" s="537"/>
      <c r="BD5" s="446" t="s">
        <v>925</v>
      </c>
      <c r="BE5" s="446"/>
      <c r="BF5" s="446"/>
      <c r="BG5" s="446"/>
      <c r="BH5" s="446"/>
      <c r="BI5" s="446"/>
      <c r="BJ5" s="446"/>
      <c r="BK5" s="172" t="s">
        <v>924</v>
      </c>
      <c r="BQ5" s="184"/>
      <c r="BR5" s="185"/>
      <c r="BS5" s="186"/>
      <c r="CS5" s="555"/>
      <c r="CT5" s="556"/>
      <c r="CU5" s="557"/>
      <c r="DF5" s="446" t="s">
        <v>831</v>
      </c>
      <c r="DG5" s="446"/>
      <c r="DH5" s="446"/>
      <c r="DI5" s="446"/>
      <c r="DJ5" s="446"/>
      <c r="DK5" s="446"/>
      <c r="DL5" s="446"/>
      <c r="DM5" s="172" t="s">
        <v>628</v>
      </c>
      <c r="FN5" s="446" t="s">
        <v>831</v>
      </c>
      <c r="FO5" s="446"/>
      <c r="FP5" s="446"/>
      <c r="FQ5" s="446"/>
      <c r="FR5" s="446"/>
      <c r="FS5" s="446"/>
      <c r="FT5" s="446"/>
      <c r="FU5" s="172" t="s">
        <v>628</v>
      </c>
      <c r="HZ5" s="446" t="s">
        <v>831</v>
      </c>
      <c r="IA5" s="446"/>
      <c r="IB5" s="446"/>
      <c r="IC5" s="446"/>
      <c r="ID5" s="446"/>
      <c r="IE5" s="446"/>
      <c r="IF5" s="446"/>
      <c r="IG5" s="172" t="s">
        <v>628</v>
      </c>
      <c r="LG5" s="446" t="s">
        <v>831</v>
      </c>
      <c r="LH5" s="446"/>
      <c r="LI5" s="446"/>
      <c r="LJ5" s="446"/>
      <c r="LK5" s="446"/>
      <c r="LL5" s="446"/>
      <c r="LM5" s="446"/>
      <c r="LN5" s="172" t="s">
        <v>628</v>
      </c>
      <c r="OM5" s="446" t="s">
        <v>831</v>
      </c>
      <c r="ON5" s="446"/>
      <c r="OO5" s="446"/>
      <c r="OP5" s="446"/>
      <c r="OQ5" s="446"/>
      <c r="OR5" s="446"/>
      <c r="OS5" s="446"/>
      <c r="OT5" s="172" t="s">
        <v>628</v>
      </c>
      <c r="RI5" s="446" t="s">
        <v>831</v>
      </c>
      <c r="RJ5" s="446"/>
      <c r="RK5" s="446"/>
      <c r="RL5" s="446"/>
      <c r="RM5" s="446"/>
      <c r="RN5" s="446"/>
      <c r="RO5" s="446"/>
      <c r="RP5" s="172" t="s">
        <v>628</v>
      </c>
      <c r="VB5" s="446" t="s">
        <v>831</v>
      </c>
      <c r="VC5" s="446"/>
      <c r="VD5" s="446"/>
      <c r="VE5" s="446"/>
      <c r="VF5" s="446"/>
      <c r="VG5" s="446"/>
      <c r="VH5" s="446"/>
      <c r="VI5" s="172" t="s">
        <v>628</v>
      </c>
      <c r="YT5" s="446" t="s">
        <v>831</v>
      </c>
      <c r="YU5" s="446"/>
      <c r="YV5" s="446"/>
      <c r="YW5" s="446"/>
      <c r="YX5" s="446"/>
      <c r="YY5" s="446"/>
      <c r="YZ5" s="446"/>
      <c r="ZA5" s="172" t="s">
        <v>628</v>
      </c>
      <c r="ABO5" s="446" t="s">
        <v>831</v>
      </c>
      <c r="ABP5" s="446"/>
      <c r="ABQ5" s="446"/>
      <c r="ABR5" s="446"/>
      <c r="ABS5" s="446"/>
      <c r="ABT5" s="446"/>
      <c r="ABU5" s="446"/>
      <c r="ABV5" s="172" t="s">
        <v>628</v>
      </c>
    </row>
    <row r="6" spans="3:781" ht="48" customHeight="1" thickBot="1" x14ac:dyDescent="0.35">
      <c r="G6" s="292" t="s">
        <v>939</v>
      </c>
      <c r="H6" s="292" t="s">
        <v>919</v>
      </c>
      <c r="I6" s="292" t="s">
        <v>918</v>
      </c>
      <c r="J6" s="292" t="s">
        <v>920</v>
      </c>
      <c r="K6" s="292" t="s">
        <v>922</v>
      </c>
      <c r="L6" s="292" t="s">
        <v>923</v>
      </c>
      <c r="N6" s="146" t="s">
        <v>627</v>
      </c>
      <c r="O6" s="145" t="s">
        <v>630</v>
      </c>
      <c r="P6" s="145" t="s">
        <v>628</v>
      </c>
      <c r="R6" s="445" t="s">
        <v>631</v>
      </c>
      <c r="S6" s="445"/>
      <c r="T6" s="445"/>
      <c r="U6" s="445"/>
      <c r="V6" s="445"/>
      <c r="W6" s="445"/>
      <c r="X6" s="445"/>
      <c r="Y6" s="145" t="s">
        <v>630</v>
      </c>
      <c r="AB6" s="594" t="s">
        <v>2</v>
      </c>
      <c r="AC6" s="594"/>
      <c r="AD6" s="594"/>
      <c r="AE6" s="594"/>
      <c r="AF6" s="594"/>
      <c r="AG6" s="594"/>
      <c r="AH6" s="595">
        <v>380</v>
      </c>
      <c r="AI6" s="595"/>
      <c r="AJ6" s="384" t="s">
        <v>6</v>
      </c>
      <c r="AK6" s="384"/>
      <c r="AR6" s="538"/>
      <c r="AS6" s="539"/>
      <c r="DF6" s="446" t="s">
        <v>925</v>
      </c>
      <c r="DG6" s="446"/>
      <c r="DH6" s="446"/>
      <c r="DI6" s="446"/>
      <c r="DJ6" s="446"/>
      <c r="DK6" s="446"/>
      <c r="DL6" s="446"/>
      <c r="DM6" s="172" t="s">
        <v>924</v>
      </c>
      <c r="FN6" s="446" t="s">
        <v>925</v>
      </c>
      <c r="FO6" s="446"/>
      <c r="FP6" s="446"/>
      <c r="FQ6" s="446"/>
      <c r="FR6" s="446"/>
      <c r="FS6" s="446"/>
      <c r="FT6" s="446"/>
      <c r="FU6" s="172" t="s">
        <v>924</v>
      </c>
      <c r="GY6" s="365" t="s">
        <v>624</v>
      </c>
      <c r="GZ6" s="366"/>
      <c r="HA6" s="366"/>
      <c r="HB6" s="366"/>
      <c r="HC6" s="366"/>
      <c r="HD6" s="367"/>
      <c r="HF6" s="337" t="s">
        <v>624</v>
      </c>
      <c r="HG6" s="337"/>
      <c r="HH6" s="337"/>
      <c r="HI6" s="337"/>
      <c r="HJ6" s="337"/>
      <c r="HL6" s="337" t="s">
        <v>624</v>
      </c>
      <c r="HM6" s="337"/>
      <c r="HN6" s="337"/>
      <c r="HO6" s="337"/>
      <c r="HQ6" s="365" t="s">
        <v>624</v>
      </c>
      <c r="HR6" s="366"/>
      <c r="HS6" s="367"/>
      <c r="HZ6" s="446" t="s">
        <v>925</v>
      </c>
      <c r="IA6" s="446"/>
      <c r="IB6" s="446"/>
      <c r="IC6" s="446"/>
      <c r="ID6" s="446"/>
      <c r="IE6" s="446"/>
      <c r="IF6" s="446"/>
      <c r="IG6" s="172" t="s">
        <v>924</v>
      </c>
      <c r="JI6" s="365" t="s">
        <v>624</v>
      </c>
      <c r="JJ6" s="366"/>
      <c r="JK6" s="366"/>
      <c r="JL6" s="366"/>
      <c r="JM6" s="366"/>
      <c r="JN6" s="367"/>
      <c r="JP6" s="337" t="s">
        <v>624</v>
      </c>
      <c r="JQ6" s="337"/>
      <c r="JR6" s="337"/>
      <c r="JS6" s="337"/>
      <c r="JT6" s="337"/>
      <c r="JV6" s="337" t="s">
        <v>624</v>
      </c>
      <c r="JW6" s="337"/>
      <c r="JX6" s="337"/>
      <c r="JY6" s="337"/>
      <c r="KA6" s="365" t="s">
        <v>624</v>
      </c>
      <c r="KB6" s="366"/>
      <c r="KC6" s="367"/>
      <c r="LG6" s="446" t="s">
        <v>925</v>
      </c>
      <c r="LH6" s="446"/>
      <c r="LI6" s="446"/>
      <c r="LJ6" s="446"/>
      <c r="LK6" s="446"/>
      <c r="LL6" s="446"/>
      <c r="LM6" s="446"/>
      <c r="LN6" s="172" t="s">
        <v>924</v>
      </c>
      <c r="MU6" s="365" t="s">
        <v>624</v>
      </c>
      <c r="MV6" s="366"/>
      <c r="MW6" s="366"/>
      <c r="MX6" s="366"/>
      <c r="MY6" s="366"/>
      <c r="MZ6" s="367"/>
      <c r="NB6" s="337" t="s">
        <v>624</v>
      </c>
      <c r="NC6" s="337"/>
      <c r="ND6" s="337"/>
      <c r="NE6" s="337"/>
      <c r="NF6" s="337"/>
      <c r="NH6" s="337" t="s">
        <v>624</v>
      </c>
      <c r="NI6" s="337"/>
      <c r="NJ6" s="337"/>
      <c r="NK6" s="337"/>
      <c r="NM6" s="365" t="s">
        <v>624</v>
      </c>
      <c r="NN6" s="366"/>
      <c r="NO6" s="367"/>
      <c r="OM6" s="446" t="s">
        <v>925</v>
      </c>
      <c r="ON6" s="446"/>
      <c r="OO6" s="446"/>
      <c r="OP6" s="446"/>
      <c r="OQ6" s="446"/>
      <c r="OR6" s="446"/>
      <c r="OS6" s="446"/>
      <c r="OT6" s="172" t="s">
        <v>924</v>
      </c>
      <c r="QD6" s="365" t="s">
        <v>624</v>
      </c>
      <c r="QE6" s="366"/>
      <c r="QF6" s="366"/>
      <c r="QG6" s="366"/>
      <c r="QH6" s="366"/>
      <c r="QI6" s="367"/>
      <c r="QK6" s="337" t="s">
        <v>624</v>
      </c>
      <c r="QL6" s="337"/>
      <c r="QM6" s="337"/>
      <c r="QN6" s="337"/>
      <c r="QO6" s="337"/>
      <c r="QQ6" s="337" t="s">
        <v>624</v>
      </c>
      <c r="QR6" s="337"/>
      <c r="QS6" s="337"/>
      <c r="QT6" s="337"/>
      <c r="QV6" s="365" t="s">
        <v>624</v>
      </c>
      <c r="QW6" s="366"/>
      <c r="QX6" s="367"/>
      <c r="RI6" s="446" t="s">
        <v>925</v>
      </c>
      <c r="RJ6" s="446"/>
      <c r="RK6" s="446"/>
      <c r="RL6" s="446"/>
      <c r="RM6" s="446"/>
      <c r="RN6" s="446"/>
      <c r="RO6" s="446"/>
      <c r="RP6" s="172" t="s">
        <v>924</v>
      </c>
      <c r="TA6" s="365" t="s">
        <v>624</v>
      </c>
      <c r="TB6" s="366"/>
      <c r="TC6" s="366"/>
      <c r="TD6" s="366"/>
      <c r="TE6" s="366"/>
      <c r="TF6" s="367"/>
      <c r="TH6" s="337" t="s">
        <v>624</v>
      </c>
      <c r="TI6" s="337"/>
      <c r="TJ6" s="337"/>
      <c r="TK6" s="337"/>
      <c r="TL6" s="337"/>
      <c r="TN6" s="337" t="s">
        <v>624</v>
      </c>
      <c r="TO6" s="337"/>
      <c r="TP6" s="337"/>
      <c r="TQ6" s="337"/>
      <c r="TS6" s="365" t="s">
        <v>624</v>
      </c>
      <c r="TT6" s="366"/>
      <c r="TU6" s="367"/>
      <c r="VB6" s="446" t="s">
        <v>925</v>
      </c>
      <c r="VC6" s="446"/>
      <c r="VD6" s="446"/>
      <c r="VE6" s="446"/>
      <c r="VF6" s="446"/>
      <c r="VG6" s="446"/>
      <c r="VH6" s="446"/>
      <c r="VI6" s="172" t="s">
        <v>924</v>
      </c>
      <c r="WT6" s="365" t="s">
        <v>624</v>
      </c>
      <c r="WU6" s="366"/>
      <c r="WV6" s="366"/>
      <c r="WW6" s="366"/>
      <c r="WX6" s="366"/>
      <c r="WY6" s="367"/>
      <c r="XA6" s="337" t="s">
        <v>624</v>
      </c>
      <c r="XB6" s="337"/>
      <c r="XC6" s="337"/>
      <c r="XD6" s="337"/>
      <c r="XE6" s="337"/>
      <c r="XG6" s="337" t="s">
        <v>624</v>
      </c>
      <c r="XH6" s="337"/>
      <c r="XI6" s="337"/>
      <c r="XJ6" s="337"/>
      <c r="XL6" s="365" t="s">
        <v>624</v>
      </c>
      <c r="XM6" s="366"/>
      <c r="XN6" s="367"/>
      <c r="YT6" s="446" t="s">
        <v>925</v>
      </c>
      <c r="YU6" s="446"/>
      <c r="YV6" s="446"/>
      <c r="YW6" s="446"/>
      <c r="YX6" s="446"/>
      <c r="YY6" s="446"/>
      <c r="YZ6" s="446"/>
      <c r="ZA6" s="172" t="s">
        <v>924</v>
      </c>
      <c r="AAI6" s="365" t="s">
        <v>624</v>
      </c>
      <c r="AAJ6" s="366"/>
      <c r="AAK6" s="366"/>
      <c r="AAL6" s="366"/>
      <c r="AAM6" s="366"/>
      <c r="AAN6" s="367"/>
      <c r="AAP6" s="337" t="s">
        <v>624</v>
      </c>
      <c r="AAQ6" s="337"/>
      <c r="AAR6" s="337"/>
      <c r="AAS6" s="337"/>
      <c r="AAT6" s="337"/>
      <c r="AAV6" s="337" t="s">
        <v>624</v>
      </c>
      <c r="AAW6" s="337"/>
      <c r="AAX6" s="337"/>
      <c r="AAY6" s="337"/>
      <c r="ABA6" s="365" t="s">
        <v>624</v>
      </c>
      <c r="ABB6" s="366"/>
      <c r="ABC6" s="367"/>
      <c r="ABO6" s="446" t="s">
        <v>925</v>
      </c>
      <c r="ABP6" s="446"/>
      <c r="ABQ6" s="446"/>
      <c r="ABR6" s="446"/>
      <c r="ABS6" s="446"/>
      <c r="ABT6" s="446"/>
      <c r="ABU6" s="446"/>
      <c r="ABV6" s="172" t="s">
        <v>924</v>
      </c>
    </row>
    <row r="7" spans="3:781" ht="48" customHeight="1" x14ac:dyDescent="0.55000000000000004">
      <c r="G7" s="292" t="s">
        <v>934</v>
      </c>
      <c r="H7" s="292" t="s">
        <v>921</v>
      </c>
      <c r="I7" s="293"/>
      <c r="J7" s="292"/>
      <c r="K7" s="292"/>
      <c r="L7" s="293"/>
      <c r="N7" s="597" t="s">
        <v>626</v>
      </c>
      <c r="O7" s="597"/>
      <c r="P7" s="597"/>
      <c r="R7" s="446" t="s">
        <v>831</v>
      </c>
      <c r="S7" s="446"/>
      <c r="T7" s="446"/>
      <c r="U7" s="446"/>
      <c r="V7" s="446"/>
      <c r="W7" s="446"/>
      <c r="X7" s="446"/>
      <c r="Y7" s="172" t="s">
        <v>630</v>
      </c>
      <c r="AB7" s="384" t="s">
        <v>11</v>
      </c>
      <c r="AC7" s="384"/>
      <c r="AD7" s="384"/>
      <c r="AE7" s="384"/>
      <c r="AF7" s="384"/>
      <c r="AG7" s="384"/>
      <c r="AH7" s="596">
        <v>50</v>
      </c>
      <c r="AI7" s="596"/>
      <c r="AJ7" s="384" t="s">
        <v>12</v>
      </c>
      <c r="AK7" s="384"/>
      <c r="BC7" s="23"/>
      <c r="GY7" s="396"/>
      <c r="GZ7" s="397"/>
      <c r="HA7" s="397"/>
      <c r="HB7" s="397"/>
      <c r="HC7" s="397"/>
      <c r="HD7" s="398"/>
      <c r="HF7" s="399"/>
      <c r="HG7" s="399"/>
      <c r="HH7" s="399"/>
      <c r="HI7" s="399"/>
      <c r="HJ7" s="399"/>
      <c r="HL7" s="338"/>
      <c r="HM7" s="339"/>
      <c r="HN7" s="339"/>
      <c r="HO7" s="340"/>
      <c r="HQ7" s="396"/>
      <c r="HR7" s="397"/>
      <c r="HS7" s="398"/>
      <c r="JI7" s="396"/>
      <c r="JJ7" s="397"/>
      <c r="JK7" s="397"/>
      <c r="JL7" s="397"/>
      <c r="JM7" s="397"/>
      <c r="JN7" s="398"/>
      <c r="JP7" s="399"/>
      <c r="JQ7" s="399"/>
      <c r="JR7" s="399"/>
      <c r="JS7" s="399"/>
      <c r="JT7" s="399"/>
      <c r="JV7" s="338"/>
      <c r="JW7" s="339"/>
      <c r="JX7" s="339"/>
      <c r="JY7" s="340"/>
      <c r="KA7" s="396"/>
      <c r="KB7" s="397"/>
      <c r="KC7" s="398"/>
      <c r="MU7" s="396"/>
      <c r="MV7" s="397"/>
      <c r="MW7" s="397"/>
      <c r="MX7" s="397"/>
      <c r="MY7" s="397"/>
      <c r="MZ7" s="398"/>
      <c r="NB7" s="399"/>
      <c r="NC7" s="399"/>
      <c r="ND7" s="399"/>
      <c r="NE7" s="399"/>
      <c r="NF7" s="399"/>
      <c r="NH7" s="338"/>
      <c r="NI7" s="339"/>
      <c r="NJ7" s="339"/>
      <c r="NK7" s="340"/>
      <c r="NM7" s="396"/>
      <c r="NN7" s="397"/>
      <c r="NO7" s="398"/>
      <c r="QD7" s="396"/>
      <c r="QE7" s="397"/>
      <c r="QF7" s="397"/>
      <c r="QG7" s="397"/>
      <c r="QH7" s="397"/>
      <c r="QI7" s="398"/>
      <c r="QK7" s="399"/>
      <c r="QL7" s="399"/>
      <c r="QM7" s="399"/>
      <c r="QN7" s="399"/>
      <c r="QO7" s="399"/>
      <c r="QQ7" s="338"/>
      <c r="QR7" s="339"/>
      <c r="QS7" s="339"/>
      <c r="QT7" s="340"/>
      <c r="QV7" s="396"/>
      <c r="QW7" s="397"/>
      <c r="QX7" s="398"/>
      <c r="TA7" s="396"/>
      <c r="TB7" s="397"/>
      <c r="TC7" s="397"/>
      <c r="TD7" s="397"/>
      <c r="TE7" s="397"/>
      <c r="TF7" s="398"/>
      <c r="TH7" s="399"/>
      <c r="TI7" s="399"/>
      <c r="TJ7" s="399"/>
      <c r="TK7" s="399"/>
      <c r="TL7" s="399"/>
      <c r="TN7" s="338"/>
      <c r="TO7" s="339"/>
      <c r="TP7" s="339"/>
      <c r="TQ7" s="340"/>
      <c r="TS7" s="396"/>
      <c r="TT7" s="397"/>
      <c r="TU7" s="398"/>
      <c r="WT7" s="396"/>
      <c r="WU7" s="397"/>
      <c r="WV7" s="397"/>
      <c r="WW7" s="397"/>
      <c r="WX7" s="397"/>
      <c r="WY7" s="398"/>
      <c r="XA7" s="399"/>
      <c r="XB7" s="399"/>
      <c r="XC7" s="399"/>
      <c r="XD7" s="399"/>
      <c r="XE7" s="399"/>
      <c r="XG7" s="338"/>
      <c r="XH7" s="339"/>
      <c r="XI7" s="339"/>
      <c r="XJ7" s="340"/>
      <c r="XL7" s="396"/>
      <c r="XM7" s="397"/>
      <c r="XN7" s="398"/>
      <c r="AAI7" s="396"/>
      <c r="AAJ7" s="397"/>
      <c r="AAK7" s="397"/>
      <c r="AAL7" s="397"/>
      <c r="AAM7" s="397"/>
      <c r="AAN7" s="398"/>
      <c r="AAP7" s="399"/>
      <c r="AAQ7" s="399"/>
      <c r="AAR7" s="399"/>
      <c r="AAS7" s="399"/>
      <c r="AAT7" s="399"/>
      <c r="AAV7" s="338"/>
      <c r="AAW7" s="339"/>
      <c r="AAX7" s="339"/>
      <c r="AAY7" s="340"/>
      <c r="ABA7" s="396"/>
      <c r="ABB7" s="397"/>
      <c r="ABC7" s="398"/>
    </row>
    <row r="8" spans="3:781" ht="48" customHeight="1" thickBot="1" x14ac:dyDescent="0.35">
      <c r="C8" s="291"/>
      <c r="D8" s="291"/>
      <c r="E8" s="291"/>
      <c r="F8" s="291"/>
      <c r="R8" s="446" t="s">
        <v>831</v>
      </c>
      <c r="S8" s="446"/>
      <c r="T8" s="446"/>
      <c r="U8" s="446"/>
      <c r="V8" s="446"/>
      <c r="W8" s="446"/>
      <c r="X8" s="446"/>
      <c r="Y8" s="172" t="s">
        <v>628</v>
      </c>
      <c r="CO8" s="365" t="s">
        <v>624</v>
      </c>
      <c r="CP8" s="366"/>
      <c r="CQ8" s="366"/>
      <c r="CR8" s="366"/>
      <c r="CS8" s="366"/>
      <c r="CT8" s="367"/>
      <c r="CV8" s="365" t="s">
        <v>624</v>
      </c>
      <c r="CW8" s="366"/>
      <c r="CX8" s="367"/>
      <c r="GY8" s="341"/>
      <c r="GZ8" s="342"/>
      <c r="HA8" s="342"/>
      <c r="HB8" s="342"/>
      <c r="HC8" s="342"/>
      <c r="HD8" s="343"/>
      <c r="HF8" s="400"/>
      <c r="HG8" s="400"/>
      <c r="HH8" s="400"/>
      <c r="HI8" s="400"/>
      <c r="HJ8" s="400"/>
      <c r="HL8" s="341"/>
      <c r="HM8" s="342"/>
      <c r="HN8" s="342"/>
      <c r="HO8" s="343"/>
      <c r="HQ8" s="341"/>
      <c r="HR8" s="342"/>
      <c r="HS8" s="343"/>
      <c r="JI8" s="341"/>
      <c r="JJ8" s="342"/>
      <c r="JK8" s="342"/>
      <c r="JL8" s="342"/>
      <c r="JM8" s="342"/>
      <c r="JN8" s="343"/>
      <c r="JP8" s="400"/>
      <c r="JQ8" s="400"/>
      <c r="JR8" s="400"/>
      <c r="JS8" s="400"/>
      <c r="JT8" s="400"/>
      <c r="JV8" s="341"/>
      <c r="JW8" s="342"/>
      <c r="JX8" s="342"/>
      <c r="JY8" s="343"/>
      <c r="KA8" s="341"/>
      <c r="KB8" s="342"/>
      <c r="KC8" s="343"/>
      <c r="MU8" s="341"/>
      <c r="MV8" s="342"/>
      <c r="MW8" s="342"/>
      <c r="MX8" s="342"/>
      <c r="MY8" s="342"/>
      <c r="MZ8" s="343"/>
      <c r="NB8" s="400"/>
      <c r="NC8" s="400"/>
      <c r="ND8" s="400"/>
      <c r="NE8" s="400"/>
      <c r="NF8" s="400"/>
      <c r="NH8" s="341"/>
      <c r="NI8" s="342"/>
      <c r="NJ8" s="342"/>
      <c r="NK8" s="343"/>
      <c r="NM8" s="341"/>
      <c r="NN8" s="342"/>
      <c r="NO8" s="343"/>
      <c r="QD8" s="341"/>
      <c r="QE8" s="342"/>
      <c r="QF8" s="342"/>
      <c r="QG8" s="342"/>
      <c r="QH8" s="342"/>
      <c r="QI8" s="343"/>
      <c r="QK8" s="400"/>
      <c r="QL8" s="400"/>
      <c r="QM8" s="400"/>
      <c r="QN8" s="400"/>
      <c r="QO8" s="400"/>
      <c r="QQ8" s="341"/>
      <c r="QR8" s="342"/>
      <c r="QS8" s="342"/>
      <c r="QT8" s="343"/>
      <c r="QV8" s="341"/>
      <c r="QW8" s="342"/>
      <c r="QX8" s="343"/>
      <c r="TA8" s="341"/>
      <c r="TB8" s="342"/>
      <c r="TC8" s="342"/>
      <c r="TD8" s="342"/>
      <c r="TE8" s="342"/>
      <c r="TF8" s="343"/>
      <c r="TH8" s="400"/>
      <c r="TI8" s="400"/>
      <c r="TJ8" s="400"/>
      <c r="TK8" s="400"/>
      <c r="TL8" s="400"/>
      <c r="TN8" s="341"/>
      <c r="TO8" s="342"/>
      <c r="TP8" s="342"/>
      <c r="TQ8" s="343"/>
      <c r="TS8" s="341"/>
      <c r="TT8" s="342"/>
      <c r="TU8" s="343"/>
      <c r="WT8" s="341"/>
      <c r="WU8" s="342"/>
      <c r="WV8" s="342"/>
      <c r="WW8" s="342"/>
      <c r="WX8" s="342"/>
      <c r="WY8" s="343"/>
      <c r="XA8" s="400"/>
      <c r="XB8" s="400"/>
      <c r="XC8" s="400"/>
      <c r="XD8" s="400"/>
      <c r="XE8" s="400"/>
      <c r="XG8" s="341"/>
      <c r="XH8" s="342"/>
      <c r="XI8" s="342"/>
      <c r="XJ8" s="343"/>
      <c r="XL8" s="341"/>
      <c r="XM8" s="342"/>
      <c r="XN8" s="343"/>
      <c r="AAI8" s="341"/>
      <c r="AAJ8" s="342"/>
      <c r="AAK8" s="342"/>
      <c r="AAL8" s="342"/>
      <c r="AAM8" s="342"/>
      <c r="AAN8" s="343"/>
      <c r="AAP8" s="400"/>
      <c r="AAQ8" s="400"/>
      <c r="AAR8" s="400"/>
      <c r="AAS8" s="400"/>
      <c r="AAT8" s="400"/>
      <c r="AAV8" s="341"/>
      <c r="AAW8" s="342"/>
      <c r="AAX8" s="342"/>
      <c r="AAY8" s="343"/>
      <c r="ABA8" s="341"/>
      <c r="ABB8" s="342"/>
      <c r="ABC8" s="343"/>
    </row>
    <row r="9" spans="3:781" ht="48" customHeight="1" x14ac:dyDescent="0.3">
      <c r="D9" s="291"/>
      <c r="E9" s="291"/>
      <c r="F9" s="291"/>
      <c r="G9" s="3"/>
      <c r="H9" s="365" t="s">
        <v>1049</v>
      </c>
      <c r="I9" s="366"/>
      <c r="J9" s="366"/>
      <c r="K9" s="367"/>
      <c r="R9" s="446" t="s">
        <v>925</v>
      </c>
      <c r="S9" s="446"/>
      <c r="T9" s="446"/>
      <c r="U9" s="446"/>
      <c r="V9" s="446"/>
      <c r="W9" s="446"/>
      <c r="X9" s="446"/>
      <c r="Y9" s="172" t="s">
        <v>924</v>
      </c>
      <c r="AA9" s="270"/>
      <c r="AB9" s="391" t="s">
        <v>927</v>
      </c>
      <c r="AC9" s="486"/>
      <c r="AD9" s="276"/>
      <c r="AE9" s="391" t="s">
        <v>917</v>
      </c>
      <c r="AF9" s="486"/>
      <c r="AG9" s="486"/>
      <c r="AH9" s="486"/>
      <c r="AI9" s="486"/>
      <c r="AJ9" s="486"/>
      <c r="AK9" s="486"/>
      <c r="AL9" s="486"/>
      <c r="AM9" s="486"/>
      <c r="AN9" s="486"/>
      <c r="AO9" s="487"/>
      <c r="AP9" s="270"/>
      <c r="BS9" s="281"/>
      <c r="BT9" s="391" t="s">
        <v>941</v>
      </c>
      <c r="BU9" s="486"/>
      <c r="BV9" s="281"/>
      <c r="BW9" s="391" t="s">
        <v>942</v>
      </c>
      <c r="BX9" s="486"/>
      <c r="BY9" s="486"/>
      <c r="BZ9" s="486"/>
      <c r="CA9" s="486"/>
      <c r="CB9" s="486"/>
      <c r="CC9" s="486"/>
      <c r="CD9" s="486"/>
      <c r="CE9" s="486"/>
      <c r="CF9" s="486"/>
      <c r="CG9" s="487"/>
      <c r="CH9" s="281"/>
      <c r="CO9" s="396"/>
      <c r="CP9" s="397"/>
      <c r="CQ9" s="397"/>
      <c r="CR9" s="397"/>
      <c r="CS9" s="397"/>
      <c r="CT9" s="398"/>
      <c r="CV9" s="396"/>
      <c r="CW9" s="397"/>
      <c r="CX9" s="398"/>
      <c r="DR9" s="315"/>
      <c r="DS9" s="391" t="s">
        <v>941</v>
      </c>
      <c r="DT9" s="486"/>
      <c r="DU9" s="315"/>
      <c r="DV9" s="391" t="s">
        <v>1023</v>
      </c>
      <c r="DW9" s="486"/>
      <c r="DX9" s="486"/>
      <c r="DY9" s="486"/>
      <c r="DZ9" s="486"/>
      <c r="EA9" s="486"/>
      <c r="EB9" s="486"/>
      <c r="EC9" s="486"/>
      <c r="ED9" s="486"/>
      <c r="EE9" s="486"/>
      <c r="EF9" s="487"/>
      <c r="EG9" s="315"/>
      <c r="FY9" s="315"/>
      <c r="FZ9" s="391" t="s">
        <v>1016</v>
      </c>
      <c r="GA9" s="486"/>
      <c r="GB9" s="315"/>
      <c r="GC9" s="391" t="s">
        <v>1039</v>
      </c>
      <c r="GD9" s="486"/>
      <c r="GE9" s="486"/>
      <c r="GF9" s="486"/>
      <c r="GG9" s="486"/>
      <c r="GH9" s="486"/>
      <c r="GI9" s="486"/>
      <c r="GJ9" s="486"/>
      <c r="GK9" s="486"/>
      <c r="GL9" s="486"/>
      <c r="GM9" s="487"/>
      <c r="GN9" s="315"/>
      <c r="IJ9" s="315"/>
      <c r="IK9" s="391" t="s">
        <v>1017</v>
      </c>
      <c r="IL9" s="486"/>
      <c r="IM9" s="315"/>
      <c r="IN9" s="391" t="s">
        <v>1069</v>
      </c>
      <c r="IO9" s="486"/>
      <c r="IP9" s="486"/>
      <c r="IQ9" s="486"/>
      <c r="IR9" s="486"/>
      <c r="IS9" s="486"/>
      <c r="IT9" s="486"/>
      <c r="IU9" s="486"/>
      <c r="IV9" s="486"/>
      <c r="IW9" s="486"/>
      <c r="IX9" s="487"/>
      <c r="IY9" s="315"/>
      <c r="LR9" s="315"/>
      <c r="LS9" s="391" t="s">
        <v>1018</v>
      </c>
      <c r="LT9" s="486"/>
      <c r="LU9" s="315"/>
      <c r="LV9" s="391" t="s">
        <v>1070</v>
      </c>
      <c r="LW9" s="486"/>
      <c r="LX9" s="486"/>
      <c r="LY9" s="486"/>
      <c r="LZ9" s="486"/>
      <c r="MA9" s="486"/>
      <c r="MB9" s="486"/>
      <c r="MC9" s="486"/>
      <c r="MD9" s="486"/>
      <c r="ME9" s="486"/>
      <c r="MF9" s="487"/>
      <c r="MG9" s="315"/>
      <c r="PB9" s="315"/>
      <c r="PC9" s="391" t="s">
        <v>1019</v>
      </c>
      <c r="PD9" s="486"/>
      <c r="PE9" s="315"/>
      <c r="PF9" s="391" t="s">
        <v>1071</v>
      </c>
      <c r="PG9" s="486"/>
      <c r="PH9" s="486"/>
      <c r="PI9" s="486"/>
      <c r="PJ9" s="486"/>
      <c r="PK9" s="486"/>
      <c r="PL9" s="486"/>
      <c r="PM9" s="486"/>
      <c r="PN9" s="486"/>
      <c r="PO9" s="486"/>
      <c r="PP9" s="487"/>
      <c r="PQ9" s="315"/>
      <c r="RZ9" s="315"/>
      <c r="SA9" s="391" t="s">
        <v>1020</v>
      </c>
      <c r="SB9" s="486"/>
      <c r="SC9" s="315"/>
      <c r="SD9" s="391" t="s">
        <v>1072</v>
      </c>
      <c r="SE9" s="486"/>
      <c r="SF9" s="486"/>
      <c r="SG9" s="486"/>
      <c r="SH9" s="486"/>
      <c r="SI9" s="486"/>
      <c r="SJ9" s="486"/>
      <c r="SK9" s="486"/>
      <c r="SL9" s="486"/>
      <c r="SM9" s="486"/>
      <c r="SN9" s="487"/>
      <c r="SO9" s="315"/>
      <c r="VN9" s="315"/>
      <c r="VO9" s="391" t="s">
        <v>1021</v>
      </c>
      <c r="VP9" s="486"/>
      <c r="VQ9" s="315"/>
      <c r="VR9" s="391" t="s">
        <v>1073</v>
      </c>
      <c r="VS9" s="486"/>
      <c r="VT9" s="486"/>
      <c r="VU9" s="486"/>
      <c r="VV9" s="486"/>
      <c r="VW9" s="486"/>
      <c r="VX9" s="486"/>
      <c r="VY9" s="486"/>
      <c r="VZ9" s="486"/>
      <c r="WA9" s="486"/>
      <c r="WB9" s="487"/>
      <c r="WC9" s="315"/>
      <c r="ZI9" s="315"/>
      <c r="ZJ9" s="391" t="s">
        <v>1022</v>
      </c>
      <c r="ZK9" s="486"/>
      <c r="ZL9" s="315"/>
      <c r="ZM9" s="391" t="s">
        <v>1074</v>
      </c>
      <c r="ZN9" s="486"/>
      <c r="ZO9" s="486"/>
      <c r="ZP9" s="486"/>
      <c r="ZQ9" s="486"/>
      <c r="ZR9" s="486"/>
      <c r="ZS9" s="486"/>
      <c r="ZT9" s="486"/>
      <c r="ZU9" s="486"/>
      <c r="ZV9" s="486"/>
      <c r="ZW9" s="487"/>
      <c r="ZX9" s="315"/>
      <c r="ACH9" s="315"/>
      <c r="ACI9" s="391" t="s">
        <v>1046</v>
      </c>
      <c r="ACJ9" s="486"/>
      <c r="ACK9" s="315"/>
      <c r="ACL9" s="391"/>
      <c r="ACM9" s="486"/>
      <c r="ACN9" s="486"/>
      <c r="ACO9" s="486"/>
      <c r="ACP9" s="486"/>
      <c r="ACQ9" s="486"/>
      <c r="ACR9" s="486"/>
      <c r="ACS9" s="486"/>
      <c r="ACT9" s="486"/>
      <c r="ACU9" s="486"/>
      <c r="ACV9" s="487"/>
      <c r="ACW9" s="315"/>
    </row>
    <row r="10" spans="3:781" ht="48" customHeight="1" thickBot="1" x14ac:dyDescent="0.35">
      <c r="C10" s="291"/>
      <c r="D10" s="291"/>
      <c r="E10" s="291"/>
      <c r="F10" s="291"/>
      <c r="G10" s="3"/>
      <c r="J10" s="12"/>
      <c r="K10" s="3"/>
      <c r="AN10" s="289"/>
      <c r="AO10" s="289"/>
      <c r="BA10" s="286"/>
      <c r="CO10" s="341"/>
      <c r="CP10" s="342"/>
      <c r="CQ10" s="342"/>
      <c r="CR10" s="342"/>
      <c r="CS10" s="342"/>
      <c r="CT10" s="343"/>
      <c r="CV10" s="341"/>
      <c r="CW10" s="342"/>
      <c r="CX10" s="343"/>
    </row>
    <row r="11" spans="3:781" ht="48" customHeight="1" thickBot="1" x14ac:dyDescent="0.35">
      <c r="C11" s="291"/>
      <c r="D11" s="291"/>
      <c r="E11" s="291"/>
      <c r="F11" s="291"/>
      <c r="G11" s="172" t="s">
        <v>627</v>
      </c>
      <c r="H11" s="145" t="s">
        <v>642</v>
      </c>
      <c r="I11" s="172" t="s">
        <v>630</v>
      </c>
      <c r="J11" s="172" t="s">
        <v>643</v>
      </c>
      <c r="K11" s="172" t="s">
        <v>924</v>
      </c>
      <c r="L11" s="286"/>
      <c r="M11" s="286"/>
      <c r="Z11" s="356"/>
      <c r="AA11" s="583">
        <v>2.1</v>
      </c>
      <c r="AB11" s="583"/>
      <c r="AC11" s="225"/>
      <c r="AD11" s="147" t="s">
        <v>634</v>
      </c>
      <c r="AE11" s="147" t="s">
        <v>635</v>
      </c>
      <c r="AF11" s="148" t="s">
        <v>636</v>
      </c>
      <c r="AG11" s="175"/>
      <c r="AH11" s="175"/>
      <c r="AI11" s="175"/>
      <c r="AJ11" s="225"/>
      <c r="AK11" s="173" t="s">
        <v>629</v>
      </c>
      <c r="AL11" s="570" t="s">
        <v>623</v>
      </c>
      <c r="AM11" s="571"/>
      <c r="AN11" s="602" t="s">
        <v>189</v>
      </c>
      <c r="AO11" s="603"/>
      <c r="AP11" s="363" t="s">
        <v>910</v>
      </c>
      <c r="AQ11" s="364"/>
      <c r="AR11" s="365" t="s">
        <v>638</v>
      </c>
      <c r="AS11" s="366"/>
      <c r="AT11" s="366"/>
      <c r="AU11" s="367"/>
      <c r="AV11" s="365" t="s">
        <v>624</v>
      </c>
      <c r="AW11" s="366"/>
      <c r="AX11" s="367"/>
      <c r="BA11" s="286"/>
      <c r="BO11" s="356"/>
      <c r="BP11" s="572" t="s">
        <v>947</v>
      </c>
      <c r="BQ11" s="572"/>
      <c r="BR11" s="281"/>
      <c r="BS11" s="175"/>
      <c r="BT11" s="175"/>
      <c r="BU11" s="175"/>
      <c r="BV11" s="175"/>
      <c r="BW11" s="281"/>
      <c r="BX11" s="172" t="s">
        <v>908</v>
      </c>
      <c r="BY11" s="281"/>
      <c r="BZ11" s="173" t="s">
        <v>629</v>
      </c>
      <c r="CA11" s="570" t="s">
        <v>623</v>
      </c>
      <c r="CB11" s="571"/>
      <c r="CC11" s="382" t="s">
        <v>189</v>
      </c>
      <c r="CD11" s="383"/>
      <c r="CE11" s="363" t="s">
        <v>910</v>
      </c>
      <c r="CF11" s="364"/>
      <c r="CG11" s="365" t="s">
        <v>638</v>
      </c>
      <c r="CH11" s="366"/>
      <c r="CI11" s="366"/>
      <c r="CJ11" s="367"/>
      <c r="DQ11" s="448" t="s">
        <v>957</v>
      </c>
      <c r="DR11" s="449"/>
      <c r="DS11" s="450"/>
      <c r="DT11" s="356"/>
      <c r="DU11" s="297" t="s">
        <v>604</v>
      </c>
      <c r="DV11" s="316" t="s">
        <v>49</v>
      </c>
      <c r="DW11" s="307"/>
      <c r="DX11" s="175"/>
      <c r="DY11" s="175"/>
      <c r="DZ11" s="175"/>
      <c r="EA11" s="175"/>
      <c r="EB11" s="175"/>
      <c r="EC11" s="175"/>
      <c r="ED11" s="307"/>
      <c r="EE11" s="173" t="s">
        <v>629</v>
      </c>
      <c r="EF11" s="359" t="s">
        <v>623</v>
      </c>
      <c r="EG11" s="381"/>
      <c r="EH11" s="382" t="s">
        <v>189</v>
      </c>
      <c r="EI11" s="383"/>
      <c r="EJ11" s="363" t="s">
        <v>910</v>
      </c>
      <c r="EK11" s="364"/>
      <c r="EL11" s="365" t="s">
        <v>638</v>
      </c>
      <c r="EM11" s="366"/>
      <c r="EN11" s="366"/>
      <c r="EO11" s="367"/>
      <c r="FW11" s="356"/>
      <c r="FX11" s="297" t="s">
        <v>604</v>
      </c>
      <c r="FY11" s="298"/>
      <c r="FZ11" s="315"/>
      <c r="GA11" s="175"/>
      <c r="GB11" s="175"/>
      <c r="GC11" s="175"/>
      <c r="GD11" s="175"/>
      <c r="GE11" s="175"/>
      <c r="GF11" s="175"/>
      <c r="GG11" s="315"/>
      <c r="GH11" s="173" t="s">
        <v>629</v>
      </c>
      <c r="GI11" s="359" t="s">
        <v>623</v>
      </c>
      <c r="GJ11" s="381"/>
      <c r="GK11" s="382" t="s">
        <v>189</v>
      </c>
      <c r="GL11" s="383"/>
      <c r="GM11" s="363" t="s">
        <v>910</v>
      </c>
      <c r="GN11" s="364"/>
      <c r="GO11" s="365" t="s">
        <v>638</v>
      </c>
      <c r="GP11" s="366"/>
      <c r="GQ11" s="366"/>
      <c r="GR11" s="367"/>
      <c r="IH11" s="356"/>
      <c r="II11" s="297" t="s">
        <v>604</v>
      </c>
      <c r="IJ11" s="298"/>
      <c r="IK11" s="315"/>
      <c r="IL11" s="175"/>
      <c r="IM11" s="175"/>
      <c r="IN11" s="175"/>
      <c r="IO11" s="175"/>
      <c r="IP11" s="175"/>
      <c r="IQ11" s="175"/>
      <c r="IR11" s="315"/>
      <c r="IS11" s="173" t="s">
        <v>629</v>
      </c>
      <c r="IT11" s="359" t="s">
        <v>623</v>
      </c>
      <c r="IU11" s="381"/>
      <c r="IV11" s="382" t="s">
        <v>189</v>
      </c>
      <c r="IW11" s="383"/>
      <c r="IX11" s="363" t="s">
        <v>910</v>
      </c>
      <c r="IY11" s="364"/>
      <c r="IZ11" s="365" t="s">
        <v>638</v>
      </c>
      <c r="JA11" s="366"/>
      <c r="JB11" s="366"/>
      <c r="JC11" s="367"/>
      <c r="LP11" s="356"/>
      <c r="LQ11" s="297" t="s">
        <v>604</v>
      </c>
      <c r="LR11" s="298"/>
      <c r="LS11" s="315"/>
      <c r="LT11" s="175"/>
      <c r="LU11" s="175"/>
      <c r="LV11" s="175"/>
      <c r="LW11" s="175"/>
      <c r="LX11" s="175"/>
      <c r="LY11" s="175"/>
      <c r="LZ11" s="315"/>
      <c r="MA11" s="173" t="s">
        <v>629</v>
      </c>
      <c r="MB11" s="359" t="s">
        <v>623</v>
      </c>
      <c r="MC11" s="381"/>
      <c r="MD11" s="382" t="s">
        <v>189</v>
      </c>
      <c r="ME11" s="383"/>
      <c r="MF11" s="363" t="s">
        <v>910</v>
      </c>
      <c r="MG11" s="364"/>
      <c r="MH11" s="365" t="s">
        <v>638</v>
      </c>
      <c r="MI11" s="366"/>
      <c r="MJ11" s="366"/>
      <c r="MK11" s="367"/>
      <c r="OZ11" s="356"/>
      <c r="PA11" s="297" t="s">
        <v>604</v>
      </c>
      <c r="PB11" s="298"/>
      <c r="PC11" s="315"/>
      <c r="PD11" s="175"/>
      <c r="PE11" s="175"/>
      <c r="PF11" s="175"/>
      <c r="PG11" s="175"/>
      <c r="PH11" s="175"/>
      <c r="PI11" s="175"/>
      <c r="PJ11" s="315"/>
      <c r="PK11" s="173" t="s">
        <v>629</v>
      </c>
      <c r="PL11" s="359" t="s">
        <v>623</v>
      </c>
      <c r="PM11" s="381"/>
      <c r="PN11" s="382" t="s">
        <v>189</v>
      </c>
      <c r="PO11" s="383"/>
      <c r="PP11" s="363" t="s">
        <v>910</v>
      </c>
      <c r="PQ11" s="364"/>
      <c r="PR11" s="365" t="s">
        <v>638</v>
      </c>
      <c r="PS11" s="366"/>
      <c r="PT11" s="366"/>
      <c r="PU11" s="367"/>
      <c r="RX11" s="356"/>
      <c r="RY11" s="297" t="s">
        <v>604</v>
      </c>
      <c r="RZ11" s="298"/>
      <c r="SA11" s="315"/>
      <c r="SB11" s="175"/>
      <c r="SC11" s="175"/>
      <c r="SD11" s="175"/>
      <c r="SE11" s="175"/>
      <c r="SF11" s="175"/>
      <c r="SG11" s="175"/>
      <c r="SH11" s="315"/>
      <c r="SI11" s="173" t="s">
        <v>629</v>
      </c>
      <c r="SJ11" s="359" t="s">
        <v>623</v>
      </c>
      <c r="SK11" s="381"/>
      <c r="SL11" s="382" t="s">
        <v>189</v>
      </c>
      <c r="SM11" s="383"/>
      <c r="SN11" s="363" t="s">
        <v>910</v>
      </c>
      <c r="SO11" s="364"/>
      <c r="SP11" s="365" t="s">
        <v>638</v>
      </c>
      <c r="SQ11" s="366"/>
      <c r="SR11" s="366"/>
      <c r="SS11" s="367"/>
      <c r="VL11" s="356"/>
      <c r="VM11" s="297" t="s">
        <v>604</v>
      </c>
      <c r="VN11" s="298"/>
      <c r="VO11" s="315"/>
      <c r="VP11" s="175"/>
      <c r="VQ11" s="175"/>
      <c r="VR11" s="175"/>
      <c r="VS11" s="175"/>
      <c r="VT11" s="175"/>
      <c r="VU11" s="175"/>
      <c r="VV11" s="315"/>
      <c r="VW11" s="173" t="s">
        <v>629</v>
      </c>
      <c r="VX11" s="359" t="s">
        <v>623</v>
      </c>
      <c r="VY11" s="381"/>
      <c r="VZ11" s="382" t="s">
        <v>189</v>
      </c>
      <c r="WA11" s="383"/>
      <c r="WB11" s="363" t="s">
        <v>910</v>
      </c>
      <c r="WC11" s="364"/>
      <c r="WD11" s="365" t="s">
        <v>638</v>
      </c>
      <c r="WE11" s="366"/>
      <c r="WF11" s="366"/>
      <c r="WG11" s="367"/>
      <c r="ZG11" s="356"/>
      <c r="ZH11" s="297" t="s">
        <v>604</v>
      </c>
      <c r="ZI11" s="298"/>
      <c r="ZJ11" s="315"/>
      <c r="ZK11" s="175"/>
      <c r="ZL11" s="175"/>
      <c r="ZM11" s="175"/>
      <c r="ZN11" s="175"/>
      <c r="ZO11" s="175"/>
      <c r="ZP11" s="175"/>
      <c r="ZQ11" s="315"/>
      <c r="ZR11" s="173" t="s">
        <v>629</v>
      </c>
      <c r="ZS11" s="359" t="s">
        <v>623</v>
      </c>
      <c r="ZT11" s="381"/>
      <c r="ZU11" s="382" t="s">
        <v>189</v>
      </c>
      <c r="ZV11" s="383"/>
      <c r="ZW11" s="363" t="s">
        <v>910</v>
      </c>
      <c r="ZX11" s="364"/>
      <c r="ZY11" s="365" t="s">
        <v>638</v>
      </c>
      <c r="ZZ11" s="366"/>
      <c r="AAA11" s="366"/>
      <c r="AAB11" s="367"/>
      <c r="ACF11" s="356"/>
      <c r="ACG11" s="297" t="s">
        <v>604</v>
      </c>
      <c r="ACH11" s="298"/>
      <c r="ACI11" s="315"/>
      <c r="ACJ11" s="175"/>
      <c r="ACK11" s="175"/>
      <c r="ACL11" s="175"/>
      <c r="ACM11" s="175"/>
      <c r="ACN11" s="175"/>
      <c r="ACO11" s="175"/>
      <c r="ACP11" s="315"/>
      <c r="ACQ11" s="173" t="s">
        <v>629</v>
      </c>
      <c r="ACR11" s="359" t="s">
        <v>623</v>
      </c>
      <c r="ACS11" s="381"/>
      <c r="ACT11" s="382" t="s">
        <v>189</v>
      </c>
      <c r="ACU11" s="383"/>
      <c r="ACV11" s="363" t="s">
        <v>910</v>
      </c>
      <c r="ACW11" s="364"/>
      <c r="ACX11" s="365" t="s">
        <v>638</v>
      </c>
      <c r="ACY11" s="366"/>
      <c r="ACZ11" s="366"/>
      <c r="ADA11" s="367"/>
    </row>
    <row r="12" spans="3:781" ht="48" customHeight="1" x14ac:dyDescent="0.3">
      <c r="C12" s="291"/>
      <c r="D12" s="291"/>
      <c r="E12" s="291"/>
      <c r="G12" s="173" t="s">
        <v>629</v>
      </c>
      <c r="H12" s="172" t="s">
        <v>628</v>
      </c>
      <c r="I12" s="172" t="s">
        <v>633</v>
      </c>
      <c r="J12" s="173" t="s">
        <v>1050</v>
      </c>
      <c r="K12" s="172" t="s">
        <v>908</v>
      </c>
      <c r="L12" s="286"/>
      <c r="M12" s="286"/>
      <c r="Z12" s="357"/>
      <c r="AA12" s="523" t="s">
        <v>10</v>
      </c>
      <c r="AB12" s="573"/>
      <c r="AC12" s="573"/>
      <c r="AD12" s="573"/>
      <c r="AE12" s="573"/>
      <c r="AF12" s="573"/>
      <c r="AG12" s="573"/>
      <c r="AH12" s="573"/>
      <c r="AI12" s="573"/>
      <c r="AJ12" s="573"/>
      <c r="AK12" s="573"/>
      <c r="AL12" s="573"/>
      <c r="AM12" s="573"/>
      <c r="AN12" s="437">
        <f>(60*'Ввод значений статус решения'!X15)/AH5</f>
        <v>1</v>
      </c>
      <c r="AO12" s="438"/>
      <c r="AP12" s="536" t="s">
        <v>940</v>
      </c>
      <c r="AQ12" s="537"/>
      <c r="AR12" s="386"/>
      <c r="AS12" s="416" t="s">
        <v>640</v>
      </c>
      <c r="AT12" s="417"/>
      <c r="AU12" s="379"/>
      <c r="AV12" s="396"/>
      <c r="AW12" s="397"/>
      <c r="AX12" s="398"/>
      <c r="BA12" s="286"/>
      <c r="BB12" s="286"/>
      <c r="BC12" s="286"/>
      <c r="BD12" s="286"/>
      <c r="BE12" s="286"/>
      <c r="BF12" s="286"/>
      <c r="BG12" s="286"/>
      <c r="BH12" s="286"/>
      <c r="BO12" s="357"/>
      <c r="BP12" s="514" t="s">
        <v>1034</v>
      </c>
      <c r="BQ12" s="515"/>
      <c r="BR12" s="515"/>
      <c r="BS12" s="515"/>
      <c r="BT12" s="515"/>
      <c r="BU12" s="515"/>
      <c r="BV12" s="515"/>
      <c r="BW12" s="515"/>
      <c r="BX12" s="515"/>
      <c r="BY12" s="515"/>
      <c r="BZ12" s="515"/>
      <c r="CA12" s="515"/>
      <c r="CB12" s="515"/>
      <c r="CC12" s="424">
        <v>1.2E-2</v>
      </c>
      <c r="CD12" s="425"/>
      <c r="CE12" s="612" t="s">
        <v>916</v>
      </c>
      <c r="CF12" s="613"/>
      <c r="CG12" s="386"/>
      <c r="CH12" s="488" t="s">
        <v>1013</v>
      </c>
      <c r="CI12" s="489"/>
      <c r="CJ12" s="379"/>
      <c r="CP12" s="291"/>
      <c r="CQ12" s="291"/>
      <c r="CR12" s="291"/>
      <c r="CS12" s="291"/>
      <c r="CT12" s="291"/>
      <c r="CU12" s="291"/>
      <c r="CV12" s="291"/>
      <c r="CW12" s="291"/>
      <c r="CX12" s="291"/>
      <c r="CY12" s="291"/>
      <c r="CZ12" s="291"/>
      <c r="DA12" s="291"/>
      <c r="DB12" s="291"/>
      <c r="DC12" s="291"/>
      <c r="DD12" s="291"/>
      <c r="DQ12" s="451"/>
      <c r="DR12" s="452"/>
      <c r="DS12" s="453"/>
      <c r="DT12" s="357"/>
      <c r="DU12" s="384" t="s">
        <v>51</v>
      </c>
      <c r="DV12" s="384"/>
      <c r="DW12" s="384"/>
      <c r="DX12" s="384"/>
      <c r="DY12" s="384"/>
      <c r="DZ12" s="384"/>
      <c r="EA12" s="384"/>
      <c r="EB12" s="384"/>
      <c r="EC12" s="384"/>
      <c r="ED12" s="384"/>
      <c r="EE12" s="384"/>
      <c r="EF12" s="384"/>
      <c r="EG12" s="391"/>
      <c r="EH12" s="348">
        <v>1.5</v>
      </c>
      <c r="EI12" s="349"/>
      <c r="EJ12" s="311"/>
      <c r="EK12" s="312"/>
      <c r="EL12" s="386"/>
      <c r="EM12" s="375" t="s">
        <v>604</v>
      </c>
      <c r="EN12" s="376"/>
      <c r="EO12" s="379"/>
      <c r="FW12" s="357"/>
      <c r="FX12" s="344" t="s">
        <v>64</v>
      </c>
      <c r="FY12" s="345"/>
      <c r="FZ12" s="345"/>
      <c r="GA12" s="345"/>
      <c r="GB12" s="345"/>
      <c r="GC12" s="345"/>
      <c r="GD12" s="345"/>
      <c r="GE12" s="345"/>
      <c r="GF12" s="345"/>
      <c r="GG12" s="345"/>
      <c r="GH12" s="345"/>
      <c r="GI12" s="345"/>
      <c r="GJ12" s="345"/>
      <c r="GK12" s="388">
        <v>0.65</v>
      </c>
      <c r="GL12" s="371"/>
      <c r="GM12" s="406" t="s">
        <v>53</v>
      </c>
      <c r="GN12" s="408"/>
      <c r="GO12" s="386"/>
      <c r="GP12" s="375" t="s">
        <v>604</v>
      </c>
      <c r="GQ12" s="376"/>
      <c r="GR12" s="379"/>
      <c r="IH12" s="357"/>
      <c r="II12" s="344" t="s">
        <v>84</v>
      </c>
      <c r="IJ12" s="345"/>
      <c r="IK12" s="345"/>
      <c r="IL12" s="345"/>
      <c r="IM12" s="345"/>
      <c r="IN12" s="345"/>
      <c r="IO12" s="345"/>
      <c r="IP12" s="345"/>
      <c r="IQ12" s="345"/>
      <c r="IR12" s="345"/>
      <c r="IS12" s="345"/>
      <c r="IT12" s="345"/>
      <c r="IU12" s="345"/>
      <c r="IV12" s="348">
        <f>(AQ56*CC40)/(EH20*EE36)*1000</f>
        <v>5.0514809833863019</v>
      </c>
      <c r="IW12" s="349"/>
      <c r="IX12" s="370"/>
      <c r="IY12" s="371"/>
      <c r="IZ12" s="386"/>
      <c r="JA12" s="375" t="s">
        <v>604</v>
      </c>
      <c r="JB12" s="376"/>
      <c r="JC12" s="379"/>
      <c r="JZ12" s="8" t="s">
        <v>108</v>
      </c>
      <c r="LP12" s="357"/>
      <c r="LQ12" s="344" t="s">
        <v>117</v>
      </c>
      <c r="LR12" s="345"/>
      <c r="LS12" s="345"/>
      <c r="LT12" s="345"/>
      <c r="LU12" s="345"/>
      <c r="LV12" s="345"/>
      <c r="LW12" s="345"/>
      <c r="LX12" s="345"/>
      <c r="LY12" s="345"/>
      <c r="LZ12" s="345"/>
      <c r="MA12" s="345"/>
      <c r="MB12" s="345"/>
      <c r="MC12" s="345"/>
      <c r="MD12" s="348">
        <f>(KX57*(MD16/1000))/((CC100/1000000)*CF52)</f>
        <v>0.11886056139757273</v>
      </c>
      <c r="ME12" s="349"/>
      <c r="MF12" s="390"/>
      <c r="MG12" s="371"/>
      <c r="MH12" s="386"/>
      <c r="MI12" s="375" t="s">
        <v>604</v>
      </c>
      <c r="MJ12" s="376"/>
      <c r="MK12" s="379"/>
      <c r="OZ12" s="357"/>
      <c r="PA12" s="384"/>
      <c r="PB12" s="384"/>
      <c r="PC12" s="384"/>
      <c r="PD12" s="384"/>
      <c r="PE12" s="384"/>
      <c r="PF12" s="384"/>
      <c r="PG12" s="384"/>
      <c r="PH12" s="384"/>
      <c r="PI12" s="384"/>
      <c r="PJ12" s="384"/>
      <c r="PK12" s="384"/>
      <c r="PL12" s="384"/>
      <c r="PM12" s="391"/>
      <c r="PN12" s="348"/>
      <c r="PO12" s="349"/>
      <c r="PP12" s="390"/>
      <c r="PQ12" s="371"/>
      <c r="PR12" s="386"/>
      <c r="PS12" s="375" t="s">
        <v>604</v>
      </c>
      <c r="PT12" s="376"/>
      <c r="PU12" s="379"/>
      <c r="RX12" s="357"/>
      <c r="RY12" s="344"/>
      <c r="RZ12" s="345"/>
      <c r="SA12" s="345"/>
      <c r="SB12" s="345"/>
      <c r="SC12" s="345"/>
      <c r="SD12" s="345"/>
      <c r="SE12" s="345"/>
      <c r="SF12" s="345"/>
      <c r="SG12" s="345"/>
      <c r="SH12" s="345"/>
      <c r="SI12" s="345"/>
      <c r="SJ12" s="345"/>
      <c r="SK12" s="345"/>
      <c r="SL12" s="348"/>
      <c r="SM12" s="349"/>
      <c r="SN12" s="390"/>
      <c r="SO12" s="371"/>
      <c r="SP12" s="386"/>
      <c r="SQ12" s="375" t="s">
        <v>604</v>
      </c>
      <c r="SR12" s="376"/>
      <c r="SS12" s="379"/>
      <c r="VL12" s="357"/>
      <c r="VM12" s="344"/>
      <c r="VN12" s="345"/>
      <c r="VO12" s="345"/>
      <c r="VP12" s="345"/>
      <c r="VQ12" s="345"/>
      <c r="VR12" s="345"/>
      <c r="VS12" s="345"/>
      <c r="VT12" s="345"/>
      <c r="VU12" s="345"/>
      <c r="VV12" s="345"/>
      <c r="VW12" s="345"/>
      <c r="VX12" s="345"/>
      <c r="VY12" s="368"/>
      <c r="VZ12" s="384"/>
      <c r="WA12" s="384"/>
      <c r="WB12" s="370"/>
      <c r="WC12" s="371"/>
      <c r="WD12" s="386"/>
      <c r="WE12" s="375" t="s">
        <v>604</v>
      </c>
      <c r="WF12" s="376"/>
      <c r="WG12" s="379"/>
      <c r="ZG12" s="357"/>
      <c r="ZH12" s="384"/>
      <c r="ZI12" s="384"/>
      <c r="ZJ12" s="384"/>
      <c r="ZK12" s="384"/>
      <c r="ZL12" s="384"/>
      <c r="ZM12" s="384"/>
      <c r="ZN12" s="384"/>
      <c r="ZO12" s="384"/>
      <c r="ZP12" s="384"/>
      <c r="ZQ12" s="384"/>
      <c r="ZR12" s="384"/>
      <c r="ZS12" s="384"/>
      <c r="ZT12" s="384"/>
      <c r="ZU12" s="348"/>
      <c r="ZV12" s="349"/>
      <c r="ZW12" s="370"/>
      <c r="ZX12" s="371"/>
      <c r="ZY12" s="386"/>
      <c r="ZZ12" s="375" t="s">
        <v>604</v>
      </c>
      <c r="AAA12" s="376"/>
      <c r="AAB12" s="379"/>
      <c r="ACF12" s="357"/>
      <c r="ACG12" s="384"/>
      <c r="ACH12" s="384"/>
      <c r="ACI12" s="384"/>
      <c r="ACJ12" s="384"/>
      <c r="ACK12" s="384"/>
      <c r="ACL12" s="384"/>
      <c r="ACM12" s="384"/>
      <c r="ACN12" s="384"/>
      <c r="ACO12" s="384"/>
      <c r="ACP12" s="384"/>
      <c r="ACQ12" s="384"/>
      <c r="ACR12" s="384"/>
      <c r="ACS12" s="384"/>
      <c r="ACT12" s="348"/>
      <c r="ACU12" s="349"/>
      <c r="ACV12" s="370"/>
      <c r="ACW12" s="371"/>
      <c r="ACX12" s="386"/>
      <c r="ACY12" s="375" t="s">
        <v>604</v>
      </c>
      <c r="ACZ12" s="376"/>
      <c r="ADA12" s="379"/>
    </row>
    <row r="13" spans="3:781" ht="48" customHeight="1" thickBot="1" x14ac:dyDescent="0.35">
      <c r="C13" s="291"/>
      <c r="D13" s="291"/>
      <c r="E13" s="291"/>
      <c r="F13" s="291"/>
      <c r="G13" s="173" t="s">
        <v>1054</v>
      </c>
      <c r="H13" s="173" t="s">
        <v>1051</v>
      </c>
      <c r="I13" s="173" t="s">
        <v>1053</v>
      </c>
      <c r="J13" s="173" t="s">
        <v>1052</v>
      </c>
      <c r="K13" s="173"/>
      <c r="L13" s="286"/>
      <c r="M13" s="286"/>
      <c r="N13" s="158"/>
      <c r="P13" s="158"/>
      <c r="R13"/>
      <c r="Z13" s="358"/>
      <c r="AA13" s="575"/>
      <c r="AB13" s="544"/>
      <c r="AC13" s="544"/>
      <c r="AD13" s="544"/>
      <c r="AE13" s="544"/>
      <c r="AF13" s="544"/>
      <c r="AG13" s="544"/>
      <c r="AH13" s="544"/>
      <c r="AI13" s="544"/>
      <c r="AJ13" s="544"/>
      <c r="AK13" s="544"/>
      <c r="AL13" s="544"/>
      <c r="AM13" s="544"/>
      <c r="AN13" s="439"/>
      <c r="AO13" s="440"/>
      <c r="AP13" s="538"/>
      <c r="AQ13" s="539"/>
      <c r="AR13" s="387"/>
      <c r="AS13" s="418"/>
      <c r="AT13" s="419"/>
      <c r="AU13" s="380"/>
      <c r="AV13" s="341"/>
      <c r="AW13" s="342"/>
      <c r="AX13" s="343"/>
      <c r="BA13" s="286"/>
      <c r="BB13" s="286"/>
      <c r="BC13" s="286"/>
      <c r="BD13" s="286"/>
      <c r="BE13" s="286"/>
      <c r="BF13" s="286"/>
      <c r="BG13" s="286"/>
      <c r="BH13" s="286"/>
      <c r="BO13" s="358"/>
      <c r="BP13" s="517"/>
      <c r="BQ13" s="518"/>
      <c r="BR13" s="518"/>
      <c r="BS13" s="518"/>
      <c r="BT13" s="518"/>
      <c r="BU13" s="518"/>
      <c r="BV13" s="518"/>
      <c r="BW13" s="518"/>
      <c r="BX13" s="518"/>
      <c r="BY13" s="518"/>
      <c r="BZ13" s="518"/>
      <c r="CA13" s="518"/>
      <c r="CB13" s="518"/>
      <c r="CC13" s="426"/>
      <c r="CD13" s="427"/>
      <c r="CE13" s="614"/>
      <c r="CF13" s="615"/>
      <c r="CG13" s="387"/>
      <c r="CH13" s="490"/>
      <c r="CI13" s="491"/>
      <c r="CJ13" s="380"/>
      <c r="CP13" s="291"/>
      <c r="CQ13" s="291"/>
      <c r="CR13" s="291"/>
      <c r="CS13" s="291"/>
      <c r="CT13" s="291"/>
      <c r="CU13" s="291"/>
      <c r="CV13" s="291"/>
      <c r="CW13" s="291"/>
      <c r="CX13" s="291"/>
      <c r="CY13" s="291"/>
      <c r="CZ13" s="291"/>
      <c r="DA13" s="291"/>
      <c r="DB13" s="291"/>
      <c r="DC13" s="291"/>
      <c r="DD13" s="291"/>
      <c r="DQ13" s="454"/>
      <c r="DR13" s="455"/>
      <c r="DS13" s="456"/>
      <c r="DT13" s="358"/>
      <c r="DU13" s="385"/>
      <c r="DV13" s="385"/>
      <c r="DW13" s="385"/>
      <c r="DX13" s="385"/>
      <c r="DY13" s="385"/>
      <c r="DZ13" s="385"/>
      <c r="EA13" s="385"/>
      <c r="EB13" s="385"/>
      <c r="EC13" s="385"/>
      <c r="ED13" s="385"/>
      <c r="EE13" s="385"/>
      <c r="EF13" s="385"/>
      <c r="EG13" s="392"/>
      <c r="EH13" s="350"/>
      <c r="EI13" s="351"/>
      <c r="EJ13" s="313"/>
      <c r="EK13" s="314"/>
      <c r="EL13" s="387"/>
      <c r="EM13" s="377"/>
      <c r="EN13" s="378"/>
      <c r="EO13" s="380"/>
      <c r="FW13" s="358"/>
      <c r="FX13" s="346"/>
      <c r="FY13" s="347"/>
      <c r="FZ13" s="347"/>
      <c r="GA13" s="347"/>
      <c r="GB13" s="347"/>
      <c r="GC13" s="347"/>
      <c r="GD13" s="347"/>
      <c r="GE13" s="347"/>
      <c r="GF13" s="347"/>
      <c r="GG13" s="347"/>
      <c r="GH13" s="347"/>
      <c r="GI13" s="347"/>
      <c r="GJ13" s="347"/>
      <c r="GK13" s="389"/>
      <c r="GL13" s="372"/>
      <c r="GM13" s="409"/>
      <c r="GN13" s="411"/>
      <c r="GO13" s="387"/>
      <c r="GP13" s="377"/>
      <c r="GQ13" s="378"/>
      <c r="GR13" s="380"/>
      <c r="IH13" s="358"/>
      <c r="II13" s="346"/>
      <c r="IJ13" s="347"/>
      <c r="IK13" s="347"/>
      <c r="IL13" s="347"/>
      <c r="IM13" s="347"/>
      <c r="IN13" s="347"/>
      <c r="IO13" s="347"/>
      <c r="IP13" s="347"/>
      <c r="IQ13" s="347"/>
      <c r="IR13" s="347"/>
      <c r="IS13" s="347"/>
      <c r="IT13" s="347"/>
      <c r="IU13" s="347"/>
      <c r="IV13" s="350"/>
      <c r="IW13" s="351"/>
      <c r="IX13" s="346"/>
      <c r="IY13" s="372"/>
      <c r="IZ13" s="387"/>
      <c r="JA13" s="377"/>
      <c r="JB13" s="378"/>
      <c r="JC13" s="380"/>
      <c r="JZ13" s="8"/>
      <c r="LP13" s="358"/>
      <c r="LQ13" s="346"/>
      <c r="LR13" s="347"/>
      <c r="LS13" s="347"/>
      <c r="LT13" s="347"/>
      <c r="LU13" s="347"/>
      <c r="LV13" s="347"/>
      <c r="LW13" s="347"/>
      <c r="LX13" s="347"/>
      <c r="LY13" s="347"/>
      <c r="LZ13" s="347"/>
      <c r="MA13" s="347"/>
      <c r="MB13" s="347"/>
      <c r="MC13" s="347"/>
      <c r="MD13" s="350"/>
      <c r="ME13" s="351"/>
      <c r="MF13" s="347"/>
      <c r="MG13" s="372"/>
      <c r="MH13" s="387"/>
      <c r="MI13" s="377"/>
      <c r="MJ13" s="378"/>
      <c r="MK13" s="380"/>
      <c r="OZ13" s="358"/>
      <c r="PA13" s="385"/>
      <c r="PB13" s="385"/>
      <c r="PC13" s="385"/>
      <c r="PD13" s="385"/>
      <c r="PE13" s="385"/>
      <c r="PF13" s="385"/>
      <c r="PG13" s="385"/>
      <c r="PH13" s="385"/>
      <c r="PI13" s="385"/>
      <c r="PJ13" s="385"/>
      <c r="PK13" s="385"/>
      <c r="PL13" s="385"/>
      <c r="PM13" s="392"/>
      <c r="PN13" s="350"/>
      <c r="PO13" s="351"/>
      <c r="PP13" s="347"/>
      <c r="PQ13" s="372"/>
      <c r="PR13" s="387"/>
      <c r="PS13" s="377"/>
      <c r="PT13" s="378"/>
      <c r="PU13" s="380"/>
      <c r="RX13" s="358"/>
      <c r="RY13" s="346"/>
      <c r="RZ13" s="347"/>
      <c r="SA13" s="347"/>
      <c r="SB13" s="347"/>
      <c r="SC13" s="347"/>
      <c r="SD13" s="347"/>
      <c r="SE13" s="347"/>
      <c r="SF13" s="347"/>
      <c r="SG13" s="347"/>
      <c r="SH13" s="347"/>
      <c r="SI13" s="347"/>
      <c r="SJ13" s="347"/>
      <c r="SK13" s="347"/>
      <c r="SL13" s="350"/>
      <c r="SM13" s="351"/>
      <c r="SN13" s="347"/>
      <c r="SO13" s="372"/>
      <c r="SP13" s="387"/>
      <c r="SQ13" s="377"/>
      <c r="SR13" s="378"/>
      <c r="SS13" s="380"/>
      <c r="VL13" s="358"/>
      <c r="VM13" s="346"/>
      <c r="VN13" s="347"/>
      <c r="VO13" s="347"/>
      <c r="VP13" s="347"/>
      <c r="VQ13" s="347"/>
      <c r="VR13" s="347"/>
      <c r="VS13" s="347"/>
      <c r="VT13" s="347"/>
      <c r="VU13" s="347"/>
      <c r="VV13" s="347"/>
      <c r="VW13" s="347"/>
      <c r="VX13" s="347"/>
      <c r="VY13" s="369"/>
      <c r="VZ13" s="385"/>
      <c r="WA13" s="385"/>
      <c r="WB13" s="346"/>
      <c r="WC13" s="372"/>
      <c r="WD13" s="387"/>
      <c r="WE13" s="377"/>
      <c r="WF13" s="378"/>
      <c r="WG13" s="380"/>
      <c r="ZG13" s="358"/>
      <c r="ZH13" s="385"/>
      <c r="ZI13" s="385"/>
      <c r="ZJ13" s="385"/>
      <c r="ZK13" s="385"/>
      <c r="ZL13" s="385"/>
      <c r="ZM13" s="385"/>
      <c r="ZN13" s="385"/>
      <c r="ZO13" s="385"/>
      <c r="ZP13" s="385"/>
      <c r="ZQ13" s="385"/>
      <c r="ZR13" s="385"/>
      <c r="ZS13" s="385"/>
      <c r="ZT13" s="385"/>
      <c r="ZU13" s="350"/>
      <c r="ZV13" s="351"/>
      <c r="ZW13" s="346"/>
      <c r="ZX13" s="372"/>
      <c r="ZY13" s="387"/>
      <c r="ZZ13" s="377"/>
      <c r="AAA13" s="378"/>
      <c r="AAB13" s="380"/>
      <c r="ACF13" s="358"/>
      <c r="ACG13" s="385"/>
      <c r="ACH13" s="385"/>
      <c r="ACI13" s="385"/>
      <c r="ACJ13" s="385"/>
      <c r="ACK13" s="385"/>
      <c r="ACL13" s="385"/>
      <c r="ACM13" s="385"/>
      <c r="ACN13" s="385"/>
      <c r="ACO13" s="385"/>
      <c r="ACP13" s="385"/>
      <c r="ACQ13" s="385"/>
      <c r="ACR13" s="385"/>
      <c r="ACS13" s="385"/>
      <c r="ACT13" s="350"/>
      <c r="ACU13" s="351"/>
      <c r="ACV13" s="346"/>
      <c r="ACW13" s="372"/>
      <c r="ACX13" s="387"/>
      <c r="ACY13" s="377"/>
      <c r="ACZ13" s="378"/>
      <c r="ADA13" s="380"/>
    </row>
    <row r="14" spans="3:781" ht="48" customHeight="1" x14ac:dyDescent="0.3">
      <c r="C14" s="291"/>
      <c r="D14" s="291"/>
      <c r="E14" s="291"/>
      <c r="F14" s="291"/>
      <c r="G14" s="173" t="s">
        <v>1056</v>
      </c>
      <c r="H14" s="173" t="s">
        <v>1058</v>
      </c>
      <c r="I14" s="173" t="s">
        <v>1055</v>
      </c>
      <c r="J14" s="173" t="s">
        <v>1057</v>
      </c>
      <c r="K14" s="173"/>
      <c r="L14" s="286"/>
      <c r="M14" s="286"/>
      <c r="BA14" s="286"/>
      <c r="BB14" s="286"/>
      <c r="BC14" s="286"/>
      <c r="BD14" s="286"/>
      <c r="BE14" s="286"/>
      <c r="BF14" s="286"/>
      <c r="BG14" s="286"/>
      <c r="BH14" s="286"/>
      <c r="BI14" s="154"/>
      <c r="BJ14" s="154"/>
      <c r="BK14" s="154"/>
      <c r="BL14" s="154"/>
      <c r="BM14" s="154"/>
      <c r="BN14" s="154"/>
      <c r="BO14" s="154"/>
      <c r="BP14" s="154"/>
      <c r="BQ14" s="154"/>
      <c r="BR14" s="154"/>
      <c r="BS14" s="154"/>
      <c r="BT14" s="154"/>
      <c r="BU14" s="154"/>
      <c r="BV14" s="154"/>
      <c r="BW14" s="154"/>
      <c r="BX14" s="154"/>
      <c r="BY14" s="154"/>
      <c r="BZ14" s="154"/>
      <c r="CA14" s="154"/>
      <c r="CB14" s="154"/>
      <c r="CP14" s="291"/>
      <c r="CQ14" s="291"/>
      <c r="CR14" s="291"/>
      <c r="CS14" s="291"/>
      <c r="CT14" s="291"/>
      <c r="CU14" s="291"/>
      <c r="CV14" s="291"/>
      <c r="CW14" s="291"/>
      <c r="CX14" s="291"/>
      <c r="CY14" s="291"/>
      <c r="CZ14" s="291"/>
      <c r="DA14" s="291"/>
      <c r="DB14" s="291"/>
      <c r="DC14" s="291"/>
      <c r="DD14" s="291"/>
      <c r="JZ14" s="8"/>
    </row>
    <row r="15" spans="3:781" ht="48" customHeight="1" thickBot="1" x14ac:dyDescent="0.35">
      <c r="C15" s="291"/>
      <c r="D15" s="291"/>
      <c r="E15" s="291"/>
      <c r="F15" s="291"/>
      <c r="J15" s="291"/>
      <c r="K15" s="291"/>
      <c r="L15" s="291"/>
      <c r="M15" s="291"/>
      <c r="Z15" s="356"/>
      <c r="AA15" s="583">
        <v>2.2000000000000002</v>
      </c>
      <c r="AB15" s="583"/>
      <c r="AC15" s="225"/>
      <c r="AD15" s="147" t="s">
        <v>634</v>
      </c>
      <c r="AE15" s="147" t="s">
        <v>635</v>
      </c>
      <c r="AF15" s="148" t="s">
        <v>636</v>
      </c>
      <c r="AG15" s="175"/>
      <c r="AH15" s="175"/>
      <c r="AI15" s="175"/>
      <c r="AJ15" s="225"/>
      <c r="AK15" s="173" t="s">
        <v>629</v>
      </c>
      <c r="AL15" s="570" t="s">
        <v>623</v>
      </c>
      <c r="AM15" s="571"/>
      <c r="AN15" s="382" t="s">
        <v>189</v>
      </c>
      <c r="AO15" s="383"/>
      <c r="AP15" s="363" t="s">
        <v>910</v>
      </c>
      <c r="AQ15" s="364"/>
      <c r="AR15" s="365" t="s">
        <v>638</v>
      </c>
      <c r="AS15" s="366"/>
      <c r="AT15" s="366"/>
      <c r="AU15" s="367"/>
      <c r="BA15" s="286"/>
      <c r="BB15" s="286"/>
      <c r="BC15" s="286"/>
      <c r="BD15" s="286"/>
      <c r="BE15" s="286"/>
      <c r="BF15" s="286"/>
      <c r="BG15" s="286"/>
      <c r="BH15" s="286"/>
      <c r="BI15" s="154"/>
      <c r="BJ15" s="154"/>
      <c r="BK15" s="154"/>
      <c r="BL15" s="154"/>
      <c r="BM15" s="154"/>
      <c r="BN15" s="154"/>
      <c r="BO15" s="356"/>
      <c r="BP15" s="572" t="s">
        <v>948</v>
      </c>
      <c r="BQ15" s="572"/>
      <c r="BR15" s="281"/>
      <c r="BS15" s="175"/>
      <c r="BT15" s="175"/>
      <c r="BU15" s="175"/>
      <c r="BV15" s="175"/>
      <c r="BW15" s="281"/>
      <c r="BX15" s="172" t="s">
        <v>908</v>
      </c>
      <c r="BY15" s="281"/>
      <c r="BZ15" s="173" t="s">
        <v>629</v>
      </c>
      <c r="CA15" s="359" t="s">
        <v>623</v>
      </c>
      <c r="CB15" s="381"/>
      <c r="CC15" s="382" t="s">
        <v>189</v>
      </c>
      <c r="CD15" s="383"/>
      <c r="CE15" s="363" t="s">
        <v>910</v>
      </c>
      <c r="CF15" s="364"/>
      <c r="CG15" s="365" t="s">
        <v>638</v>
      </c>
      <c r="CH15" s="366"/>
      <c r="CI15" s="366"/>
      <c r="CJ15" s="367"/>
      <c r="CP15" s="291"/>
      <c r="CQ15" s="291"/>
      <c r="CR15" s="291"/>
      <c r="CS15" s="291"/>
      <c r="CT15" s="291"/>
      <c r="CU15" s="291"/>
      <c r="CV15" s="291"/>
      <c r="CW15" s="291"/>
      <c r="CX15" s="291"/>
      <c r="CY15" s="291"/>
      <c r="CZ15" s="291"/>
      <c r="DA15" s="291"/>
      <c r="DB15" s="291"/>
      <c r="DC15" s="291"/>
      <c r="DD15" s="291"/>
      <c r="DQ15" s="448" t="s">
        <v>957</v>
      </c>
      <c r="DR15" s="449"/>
      <c r="DS15" s="450"/>
      <c r="DT15" s="356"/>
      <c r="DU15" s="297" t="s">
        <v>604</v>
      </c>
      <c r="DV15" s="298"/>
      <c r="DW15" s="295"/>
      <c r="DX15" s="175"/>
      <c r="DY15" s="175"/>
      <c r="DZ15" s="175"/>
      <c r="EA15" s="175"/>
      <c r="EB15" s="175"/>
      <c r="EC15" s="175"/>
      <c r="ED15" s="295"/>
      <c r="EE15" s="173" t="s">
        <v>629</v>
      </c>
      <c r="EF15" s="359" t="s">
        <v>623</v>
      </c>
      <c r="EG15" s="381"/>
      <c r="EH15" s="382" t="s">
        <v>189</v>
      </c>
      <c r="EI15" s="383"/>
      <c r="EJ15" s="363" t="s">
        <v>910</v>
      </c>
      <c r="EK15" s="364"/>
      <c r="EL15" s="365" t="s">
        <v>638</v>
      </c>
      <c r="EM15" s="366"/>
      <c r="EN15" s="366"/>
      <c r="EO15" s="367"/>
      <c r="FW15" s="356"/>
      <c r="FX15" s="297" t="s">
        <v>604</v>
      </c>
      <c r="FY15" s="298"/>
      <c r="FZ15" s="315"/>
      <c r="GA15" s="175"/>
      <c r="GB15" s="175"/>
      <c r="GC15" s="175"/>
      <c r="GD15" s="175"/>
      <c r="GE15" s="175"/>
      <c r="GF15" s="175"/>
      <c r="GG15" s="315"/>
      <c r="GH15" s="173" t="s">
        <v>629</v>
      </c>
      <c r="GI15" s="359" t="s">
        <v>623</v>
      </c>
      <c r="GJ15" s="381"/>
      <c r="GK15" s="382" t="s">
        <v>189</v>
      </c>
      <c r="GL15" s="383"/>
      <c r="GM15" s="363" t="s">
        <v>910</v>
      </c>
      <c r="GN15" s="364"/>
      <c r="GO15" s="365" t="s">
        <v>638</v>
      </c>
      <c r="GP15" s="366"/>
      <c r="GQ15" s="366"/>
      <c r="GR15" s="367"/>
      <c r="IH15" s="356"/>
      <c r="II15" s="297" t="s">
        <v>604</v>
      </c>
      <c r="IJ15" s="298"/>
      <c r="IK15" s="330"/>
      <c r="IL15" s="175"/>
      <c r="IM15" s="175"/>
      <c r="IN15" s="175"/>
      <c r="IO15" s="175"/>
      <c r="IP15" s="175"/>
      <c r="IQ15" s="175"/>
      <c r="IR15" s="330"/>
      <c r="IS15" s="173" t="s">
        <v>629</v>
      </c>
      <c r="IT15" s="393" t="s">
        <v>623</v>
      </c>
      <c r="IU15" s="394"/>
      <c r="IV15" s="361" t="s">
        <v>189</v>
      </c>
      <c r="IW15" s="362"/>
      <c r="IX15" s="363" t="s">
        <v>910</v>
      </c>
      <c r="IY15" s="364"/>
      <c r="IZ15" s="365" t="s">
        <v>638</v>
      </c>
      <c r="JA15" s="366"/>
      <c r="JB15" s="366"/>
      <c r="JC15" s="367"/>
      <c r="JZ15" s="8"/>
      <c r="LP15" s="356"/>
      <c r="LQ15" s="297" t="s">
        <v>604</v>
      </c>
      <c r="LR15" s="298"/>
      <c r="LS15" s="315"/>
      <c r="LT15" s="175"/>
      <c r="LU15" s="175"/>
      <c r="LV15" s="175"/>
      <c r="LW15" s="175"/>
      <c r="LX15" s="175"/>
      <c r="LY15" s="175"/>
      <c r="LZ15" s="315"/>
      <c r="MA15" s="173" t="s">
        <v>629</v>
      </c>
      <c r="MB15" s="359" t="s">
        <v>623</v>
      </c>
      <c r="MC15" s="381"/>
      <c r="MD15" s="382" t="s">
        <v>189</v>
      </c>
      <c r="ME15" s="383"/>
      <c r="MF15" s="363" t="s">
        <v>910</v>
      </c>
      <c r="MG15" s="364"/>
      <c r="MH15" s="365" t="s">
        <v>638</v>
      </c>
      <c r="MI15" s="366"/>
      <c r="MJ15" s="366"/>
      <c r="MK15" s="367"/>
      <c r="OZ15" s="356"/>
      <c r="PA15" s="297" t="s">
        <v>604</v>
      </c>
      <c r="PB15" s="298"/>
      <c r="PC15" s="315"/>
      <c r="PD15" s="175"/>
      <c r="PE15" s="175"/>
      <c r="PF15" s="175"/>
      <c r="PG15" s="175"/>
      <c r="PH15" s="175"/>
      <c r="PI15" s="175"/>
      <c r="PJ15" s="315"/>
      <c r="PK15" s="173" t="s">
        <v>629</v>
      </c>
      <c r="PL15" s="359" t="s">
        <v>623</v>
      </c>
      <c r="PM15" s="381"/>
      <c r="PN15" s="382" t="s">
        <v>189</v>
      </c>
      <c r="PO15" s="383"/>
      <c r="PP15" s="363" t="s">
        <v>910</v>
      </c>
      <c r="PQ15" s="364"/>
      <c r="PR15" s="365" t="s">
        <v>638</v>
      </c>
      <c r="PS15" s="366"/>
      <c r="PT15" s="366"/>
      <c r="PU15" s="367"/>
      <c r="RX15" s="356"/>
      <c r="RY15" s="297" t="s">
        <v>604</v>
      </c>
      <c r="RZ15" s="298"/>
      <c r="SA15" s="315"/>
      <c r="SB15" s="175"/>
      <c r="SC15" s="175"/>
      <c r="SD15" s="175"/>
      <c r="SE15" s="175"/>
      <c r="SF15" s="175"/>
      <c r="SG15" s="175"/>
      <c r="SH15" s="315"/>
      <c r="SI15" s="173" t="s">
        <v>629</v>
      </c>
      <c r="SJ15" s="359" t="s">
        <v>623</v>
      </c>
      <c r="SK15" s="381"/>
      <c r="SL15" s="382" t="s">
        <v>189</v>
      </c>
      <c r="SM15" s="383"/>
      <c r="SN15" s="363" t="s">
        <v>910</v>
      </c>
      <c r="SO15" s="364"/>
      <c r="SP15" s="365" t="s">
        <v>638</v>
      </c>
      <c r="SQ15" s="366"/>
      <c r="SR15" s="366"/>
      <c r="SS15" s="367"/>
      <c r="VL15" s="356"/>
      <c r="VM15" s="297" t="s">
        <v>604</v>
      </c>
      <c r="VN15" s="298"/>
      <c r="VO15" s="315"/>
      <c r="VP15" s="175"/>
      <c r="VQ15" s="175"/>
      <c r="VR15" s="175"/>
      <c r="VS15" s="175"/>
      <c r="VT15" s="175"/>
      <c r="VU15" s="175"/>
      <c r="VV15" s="315"/>
      <c r="VW15" s="173" t="s">
        <v>629</v>
      </c>
      <c r="VX15" s="393" t="s">
        <v>623</v>
      </c>
      <c r="VY15" s="394"/>
      <c r="VZ15" s="382" t="s">
        <v>189</v>
      </c>
      <c r="WA15" s="383"/>
      <c r="WB15" s="363" t="s">
        <v>910</v>
      </c>
      <c r="WC15" s="364"/>
      <c r="WD15" s="365" t="s">
        <v>638</v>
      </c>
      <c r="WE15" s="366"/>
      <c r="WF15" s="366"/>
      <c r="WG15" s="367"/>
      <c r="ZG15" s="356"/>
      <c r="ZH15" s="297" t="s">
        <v>604</v>
      </c>
      <c r="ZI15" s="298"/>
      <c r="ZJ15" s="315"/>
      <c r="ZK15" s="175"/>
      <c r="ZL15" s="175"/>
      <c r="ZM15" s="175"/>
      <c r="ZN15" s="175"/>
      <c r="ZO15" s="175"/>
      <c r="ZP15" s="175"/>
      <c r="ZQ15" s="315"/>
      <c r="ZR15" s="173" t="s">
        <v>629</v>
      </c>
      <c r="ZS15" s="359" t="s">
        <v>623</v>
      </c>
      <c r="ZT15" s="381"/>
      <c r="ZU15" s="382" t="s">
        <v>189</v>
      </c>
      <c r="ZV15" s="383"/>
      <c r="ZW15" s="363" t="s">
        <v>910</v>
      </c>
      <c r="ZX15" s="364"/>
      <c r="ZY15" s="365" t="s">
        <v>638</v>
      </c>
      <c r="ZZ15" s="366"/>
      <c r="AAA15" s="366"/>
      <c r="AAB15" s="367"/>
      <c r="ACF15" s="356"/>
      <c r="ACG15" s="297" t="s">
        <v>604</v>
      </c>
      <c r="ACH15" s="298"/>
      <c r="ACI15" s="315"/>
      <c r="ACJ15" s="175"/>
      <c r="ACK15" s="175"/>
      <c r="ACL15" s="175"/>
      <c r="ACM15" s="175"/>
      <c r="ACN15" s="175"/>
      <c r="ACO15" s="175"/>
      <c r="ACP15" s="315"/>
      <c r="ACQ15" s="173" t="s">
        <v>629</v>
      </c>
      <c r="ACR15" s="359" t="s">
        <v>623</v>
      </c>
      <c r="ACS15" s="381"/>
      <c r="ACT15" s="382" t="s">
        <v>189</v>
      </c>
      <c r="ACU15" s="383"/>
      <c r="ACV15" s="363" t="s">
        <v>910</v>
      </c>
      <c r="ACW15" s="364"/>
      <c r="ACX15" s="365" t="s">
        <v>638</v>
      </c>
      <c r="ACY15" s="366"/>
      <c r="ACZ15" s="366"/>
      <c r="ADA15" s="367"/>
    </row>
    <row r="16" spans="3:781" ht="48" customHeight="1" x14ac:dyDescent="0.3">
      <c r="C16" s="291"/>
      <c r="D16" s="291"/>
      <c r="E16" s="291"/>
      <c r="F16" s="291"/>
      <c r="Z16" s="357"/>
      <c r="AA16" s="523" t="s">
        <v>605</v>
      </c>
      <c r="AB16" s="573"/>
      <c r="AC16" s="573"/>
      <c r="AD16" s="573"/>
      <c r="AE16" s="573"/>
      <c r="AF16" s="573"/>
      <c r="AG16" s="573"/>
      <c r="AH16" s="573"/>
      <c r="AI16" s="573"/>
      <c r="AJ16" s="573"/>
      <c r="AK16" s="573"/>
      <c r="AL16" s="573"/>
      <c r="AM16" s="573"/>
      <c r="AN16" s="437">
        <f>2*AN12</f>
        <v>2</v>
      </c>
      <c r="AO16" s="438"/>
      <c r="AP16" s="536" t="s">
        <v>940</v>
      </c>
      <c r="AQ16" s="537"/>
      <c r="AR16" s="379"/>
      <c r="AS16" s="416" t="s">
        <v>590</v>
      </c>
      <c r="AT16" s="417"/>
      <c r="AU16" s="379"/>
      <c r="BA16" s="286"/>
      <c r="BB16" s="286"/>
      <c r="BC16" s="286"/>
      <c r="BD16" s="286"/>
      <c r="BE16" s="286"/>
      <c r="BF16" s="286"/>
      <c r="BG16" s="286"/>
      <c r="BH16" s="286"/>
      <c r="BI16" s="154"/>
      <c r="BJ16" s="154"/>
      <c r="BK16" s="154"/>
      <c r="BL16" s="154"/>
      <c r="BM16" s="154"/>
      <c r="BN16" s="154"/>
      <c r="BO16" s="357"/>
      <c r="BP16" s="514" t="s">
        <v>1035</v>
      </c>
      <c r="BQ16" s="515"/>
      <c r="BR16" s="515"/>
      <c r="BS16" s="515"/>
      <c r="BT16" s="515"/>
      <c r="BU16" s="515"/>
      <c r="BV16" s="515"/>
      <c r="BW16" s="515"/>
      <c r="BX16" s="515"/>
      <c r="BY16" s="515"/>
      <c r="BZ16" s="515"/>
      <c r="CA16" s="515"/>
      <c r="CB16" s="515"/>
      <c r="CC16" s="424">
        <v>1.6E-2</v>
      </c>
      <c r="CD16" s="425"/>
      <c r="CE16" s="612" t="s">
        <v>916</v>
      </c>
      <c r="CF16" s="613"/>
      <c r="CG16" s="386"/>
      <c r="CH16" s="488" t="s">
        <v>1014</v>
      </c>
      <c r="CI16" s="489"/>
      <c r="CJ16" s="379"/>
      <c r="DQ16" s="451"/>
      <c r="DR16" s="452"/>
      <c r="DS16" s="453"/>
      <c r="DT16" s="357"/>
      <c r="DU16" s="384" t="s">
        <v>576</v>
      </c>
      <c r="DV16" s="384"/>
      <c r="DW16" s="384"/>
      <c r="DX16" s="384"/>
      <c r="DY16" s="384"/>
      <c r="DZ16" s="384"/>
      <c r="EA16" s="384"/>
      <c r="EB16" s="384"/>
      <c r="EC16" s="384"/>
      <c r="ED16" s="384"/>
      <c r="EE16" s="384"/>
      <c r="EF16" s="384"/>
      <c r="EG16" s="391"/>
      <c r="EH16" s="478">
        <v>1.85</v>
      </c>
      <c r="EI16" s="479"/>
      <c r="EJ16" s="311"/>
      <c r="EK16" s="312"/>
      <c r="EL16" s="386"/>
      <c r="EM16" s="375" t="s">
        <v>604</v>
      </c>
      <c r="EN16" s="376"/>
      <c r="EO16" s="379"/>
      <c r="FW16" s="357"/>
      <c r="FX16" s="344" t="s">
        <v>63</v>
      </c>
      <c r="FY16" s="345"/>
      <c r="FZ16" s="345"/>
      <c r="GA16" s="345"/>
      <c r="GB16" s="345"/>
      <c r="GC16" s="345"/>
      <c r="GD16" s="345"/>
      <c r="GE16" s="345"/>
      <c r="GF16" s="345"/>
      <c r="GG16" s="345"/>
      <c r="GH16" s="345"/>
      <c r="GI16" s="345"/>
      <c r="GJ16" s="345"/>
      <c r="GK16" s="388">
        <f>AN32</f>
        <v>0.17058500000000001</v>
      </c>
      <c r="GL16" s="371"/>
      <c r="GM16" s="406"/>
      <c r="GN16" s="408"/>
      <c r="GO16" s="386"/>
      <c r="GP16" s="375" t="s">
        <v>604</v>
      </c>
      <c r="GQ16" s="376"/>
      <c r="GR16" s="379"/>
      <c r="IH16" s="357"/>
      <c r="II16" s="344" t="s">
        <v>85</v>
      </c>
      <c r="IJ16" s="345"/>
      <c r="IK16" s="345"/>
      <c r="IL16" s="345"/>
      <c r="IM16" s="345"/>
      <c r="IN16" s="345"/>
      <c r="IO16" s="345"/>
      <c r="IP16" s="345"/>
      <c r="IQ16" s="345"/>
      <c r="IR16" s="345"/>
      <c r="IS16" s="345"/>
      <c r="IT16" s="345"/>
      <c r="IU16" s="345"/>
      <c r="IV16" s="348">
        <f>(AQ56*GK32)/(EH16*EE36)*1000</f>
        <v>5.6904148201375548</v>
      </c>
      <c r="IW16" s="349"/>
      <c r="IX16" s="352"/>
      <c r="IY16" s="353"/>
      <c r="IZ16" s="386"/>
      <c r="JA16" s="375" t="s">
        <v>604</v>
      </c>
      <c r="JB16" s="376"/>
      <c r="JC16" s="379"/>
      <c r="JZ16" s="8"/>
      <c r="LP16" s="357"/>
      <c r="LQ16" s="344" t="s">
        <v>118</v>
      </c>
      <c r="LR16" s="345"/>
      <c r="LS16" s="345"/>
      <c r="LT16" s="345"/>
      <c r="LU16" s="345"/>
      <c r="LV16" s="345"/>
      <c r="LW16" s="345"/>
      <c r="LX16" s="345"/>
      <c r="LY16" s="345"/>
      <c r="LZ16" s="345"/>
      <c r="MA16" s="345"/>
      <c r="MB16" s="345"/>
      <c r="MC16" s="345"/>
      <c r="MD16" s="482">
        <f>(MD20)*CC64</f>
        <v>38744.174705185003</v>
      </c>
      <c r="ME16" s="483"/>
      <c r="MF16" s="390"/>
      <c r="MG16" s="371"/>
      <c r="MH16" s="386"/>
      <c r="MI16" s="375" t="s">
        <v>604</v>
      </c>
      <c r="MJ16" s="376"/>
      <c r="MK16" s="379"/>
      <c r="OZ16" s="357"/>
      <c r="PA16" s="384"/>
      <c r="PB16" s="384"/>
      <c r="PC16" s="384"/>
      <c r="PD16" s="384"/>
      <c r="PE16" s="384"/>
      <c r="PF16" s="384"/>
      <c r="PG16" s="384"/>
      <c r="PH16" s="384"/>
      <c r="PI16" s="384"/>
      <c r="PJ16" s="384"/>
      <c r="PK16" s="384"/>
      <c r="PL16" s="384"/>
      <c r="PM16" s="391"/>
      <c r="PN16" s="348"/>
      <c r="PO16" s="349"/>
      <c r="PP16" s="390"/>
      <c r="PQ16" s="371"/>
      <c r="PR16" s="386"/>
      <c r="PS16" s="375" t="s">
        <v>604</v>
      </c>
      <c r="PT16" s="376"/>
      <c r="PU16" s="379"/>
      <c r="RX16" s="357"/>
      <c r="RY16" s="344"/>
      <c r="RZ16" s="345"/>
      <c r="SA16" s="345"/>
      <c r="SB16" s="345"/>
      <c r="SC16" s="345"/>
      <c r="SD16" s="345"/>
      <c r="SE16" s="345"/>
      <c r="SF16" s="345"/>
      <c r="SG16" s="345"/>
      <c r="SH16" s="345"/>
      <c r="SI16" s="345"/>
      <c r="SJ16" s="345"/>
      <c r="SK16" s="345"/>
      <c r="SL16" s="348"/>
      <c r="SM16" s="349"/>
      <c r="SN16" s="390"/>
      <c r="SO16" s="371"/>
      <c r="SP16" s="386"/>
      <c r="SQ16" s="375" t="s">
        <v>604</v>
      </c>
      <c r="SR16" s="376"/>
      <c r="SS16" s="379"/>
      <c r="VL16" s="357"/>
      <c r="VM16" s="370"/>
      <c r="VN16" s="390"/>
      <c r="VO16" s="390"/>
      <c r="VP16" s="390"/>
      <c r="VQ16" s="390"/>
      <c r="VR16" s="390"/>
      <c r="VS16" s="390"/>
      <c r="VT16" s="390"/>
      <c r="VU16" s="390"/>
      <c r="VV16" s="390"/>
      <c r="VW16" s="390"/>
      <c r="VX16" s="390"/>
      <c r="VY16" s="395"/>
      <c r="VZ16" s="384"/>
      <c r="WA16" s="384"/>
      <c r="WB16" s="370"/>
      <c r="WC16" s="371"/>
      <c r="WD16" s="386"/>
      <c r="WE16" s="375" t="s">
        <v>604</v>
      </c>
      <c r="WF16" s="376"/>
      <c r="WG16" s="379"/>
      <c r="ZG16" s="357"/>
      <c r="ZH16" s="384"/>
      <c r="ZI16" s="384"/>
      <c r="ZJ16" s="384"/>
      <c r="ZK16" s="384"/>
      <c r="ZL16" s="384"/>
      <c r="ZM16" s="384"/>
      <c r="ZN16" s="384"/>
      <c r="ZO16" s="384"/>
      <c r="ZP16" s="384"/>
      <c r="ZQ16" s="384"/>
      <c r="ZR16" s="384"/>
      <c r="ZS16" s="384"/>
      <c r="ZT16" s="384"/>
      <c r="ZU16" s="348"/>
      <c r="ZV16" s="349"/>
      <c r="ZW16" s="370"/>
      <c r="ZX16" s="371"/>
      <c r="ZY16" s="386"/>
      <c r="ZZ16" s="375" t="s">
        <v>604</v>
      </c>
      <c r="AAA16" s="376"/>
      <c r="AAB16" s="379"/>
      <c r="ACF16" s="357"/>
      <c r="ACG16" s="384"/>
      <c r="ACH16" s="384"/>
      <c r="ACI16" s="384"/>
      <c r="ACJ16" s="384"/>
      <c r="ACK16" s="384"/>
      <c r="ACL16" s="384"/>
      <c r="ACM16" s="384"/>
      <c r="ACN16" s="384"/>
      <c r="ACO16" s="384"/>
      <c r="ACP16" s="384"/>
      <c r="ACQ16" s="384"/>
      <c r="ACR16" s="384"/>
      <c r="ACS16" s="384"/>
      <c r="ACT16" s="348"/>
      <c r="ACU16" s="349"/>
      <c r="ACV16" s="370"/>
      <c r="ACW16" s="371"/>
      <c r="ACX16" s="386"/>
      <c r="ACY16" s="375" t="s">
        <v>604</v>
      </c>
      <c r="ACZ16" s="376"/>
      <c r="ADA16" s="379"/>
    </row>
    <row r="17" spans="1:781" ht="48" customHeight="1" thickBot="1" x14ac:dyDescent="0.35">
      <c r="C17" s="291"/>
      <c r="D17" s="291"/>
      <c r="E17" s="291"/>
      <c r="F17" s="291"/>
      <c r="G17" s="286"/>
      <c r="H17" s="12"/>
      <c r="N17" s="384">
        <v>3000</v>
      </c>
      <c r="O17" s="384"/>
      <c r="P17" s="384">
        <f>3000/N17</f>
        <v>1</v>
      </c>
      <c r="Q17" s="384"/>
      <c r="Z17" s="358"/>
      <c r="AA17" s="575"/>
      <c r="AB17" s="544"/>
      <c r="AC17" s="544"/>
      <c r="AD17" s="544"/>
      <c r="AE17" s="544"/>
      <c r="AF17" s="544"/>
      <c r="AG17" s="544"/>
      <c r="AH17" s="544"/>
      <c r="AI17" s="544"/>
      <c r="AJ17" s="544"/>
      <c r="AK17" s="544"/>
      <c r="AL17" s="544"/>
      <c r="AM17" s="544"/>
      <c r="AN17" s="439"/>
      <c r="AO17" s="440"/>
      <c r="AP17" s="538"/>
      <c r="AQ17" s="539"/>
      <c r="AR17" s="380"/>
      <c r="AS17" s="418"/>
      <c r="AT17" s="419"/>
      <c r="AU17" s="380"/>
      <c r="BA17" s="286"/>
      <c r="BB17" s="286"/>
      <c r="BC17" s="286"/>
      <c r="BD17" s="286"/>
      <c r="BE17" s="286"/>
      <c r="BF17" s="286"/>
      <c r="BG17" s="286"/>
      <c r="BH17" s="286"/>
      <c r="BI17" s="154"/>
      <c r="BJ17" s="154"/>
      <c r="BK17" s="154"/>
      <c r="BL17" s="154"/>
      <c r="BM17" s="154"/>
      <c r="BN17" s="154"/>
      <c r="BO17" s="358"/>
      <c r="BP17" s="517"/>
      <c r="BQ17" s="518"/>
      <c r="BR17" s="518"/>
      <c r="BS17" s="518"/>
      <c r="BT17" s="518"/>
      <c r="BU17" s="518"/>
      <c r="BV17" s="518"/>
      <c r="BW17" s="518"/>
      <c r="BX17" s="518"/>
      <c r="BY17" s="518"/>
      <c r="BZ17" s="518"/>
      <c r="CA17" s="518"/>
      <c r="CB17" s="518"/>
      <c r="CC17" s="426"/>
      <c r="CD17" s="427"/>
      <c r="CE17" s="614"/>
      <c r="CF17" s="615"/>
      <c r="CG17" s="387"/>
      <c r="CH17" s="490"/>
      <c r="CI17" s="491"/>
      <c r="CJ17" s="380"/>
      <c r="DQ17" s="454"/>
      <c r="DR17" s="455"/>
      <c r="DS17" s="456"/>
      <c r="DT17" s="358"/>
      <c r="DU17" s="385"/>
      <c r="DV17" s="385"/>
      <c r="DW17" s="385"/>
      <c r="DX17" s="385"/>
      <c r="DY17" s="385"/>
      <c r="DZ17" s="385"/>
      <c r="EA17" s="385"/>
      <c r="EB17" s="385"/>
      <c r="EC17" s="385"/>
      <c r="ED17" s="385"/>
      <c r="EE17" s="385"/>
      <c r="EF17" s="385"/>
      <c r="EG17" s="392"/>
      <c r="EH17" s="480"/>
      <c r="EI17" s="481"/>
      <c r="EJ17" s="313"/>
      <c r="EK17" s="314"/>
      <c r="EL17" s="387"/>
      <c r="EM17" s="377"/>
      <c r="EN17" s="378"/>
      <c r="EO17" s="380"/>
      <c r="FW17" s="358"/>
      <c r="FX17" s="346"/>
      <c r="FY17" s="347"/>
      <c r="FZ17" s="347"/>
      <c r="GA17" s="347"/>
      <c r="GB17" s="347"/>
      <c r="GC17" s="347"/>
      <c r="GD17" s="347"/>
      <c r="GE17" s="347"/>
      <c r="GF17" s="347"/>
      <c r="GG17" s="347"/>
      <c r="GH17" s="347"/>
      <c r="GI17" s="347"/>
      <c r="GJ17" s="347"/>
      <c r="GK17" s="389"/>
      <c r="GL17" s="372"/>
      <c r="GM17" s="409"/>
      <c r="GN17" s="411"/>
      <c r="GO17" s="387"/>
      <c r="GP17" s="377"/>
      <c r="GQ17" s="378"/>
      <c r="GR17" s="380"/>
      <c r="IH17" s="358"/>
      <c r="II17" s="346"/>
      <c r="IJ17" s="347"/>
      <c r="IK17" s="347"/>
      <c r="IL17" s="347"/>
      <c r="IM17" s="347"/>
      <c r="IN17" s="347"/>
      <c r="IO17" s="347"/>
      <c r="IP17" s="347"/>
      <c r="IQ17" s="347"/>
      <c r="IR17" s="347"/>
      <c r="IS17" s="347"/>
      <c r="IT17" s="347"/>
      <c r="IU17" s="347"/>
      <c r="IV17" s="350"/>
      <c r="IW17" s="351"/>
      <c r="IX17" s="354"/>
      <c r="IY17" s="355"/>
      <c r="IZ17" s="387"/>
      <c r="JA17" s="377"/>
      <c r="JB17" s="378"/>
      <c r="JC17" s="380"/>
      <c r="JZ17" s="8"/>
      <c r="LP17" s="358"/>
      <c r="LQ17" s="346"/>
      <c r="LR17" s="347"/>
      <c r="LS17" s="347"/>
      <c r="LT17" s="347"/>
      <c r="LU17" s="347"/>
      <c r="LV17" s="347"/>
      <c r="LW17" s="347"/>
      <c r="LX17" s="347"/>
      <c r="LY17" s="347"/>
      <c r="LZ17" s="347"/>
      <c r="MA17" s="347"/>
      <c r="MB17" s="347"/>
      <c r="MC17" s="347"/>
      <c r="MD17" s="484"/>
      <c r="ME17" s="485"/>
      <c r="MF17" s="347"/>
      <c r="MG17" s="372"/>
      <c r="MH17" s="387"/>
      <c r="MI17" s="377"/>
      <c r="MJ17" s="378"/>
      <c r="MK17" s="380"/>
      <c r="OZ17" s="358"/>
      <c r="PA17" s="385"/>
      <c r="PB17" s="385"/>
      <c r="PC17" s="385"/>
      <c r="PD17" s="385"/>
      <c r="PE17" s="385"/>
      <c r="PF17" s="385"/>
      <c r="PG17" s="385"/>
      <c r="PH17" s="385"/>
      <c r="PI17" s="385"/>
      <c r="PJ17" s="385"/>
      <c r="PK17" s="385"/>
      <c r="PL17" s="385"/>
      <c r="PM17" s="392"/>
      <c r="PN17" s="350"/>
      <c r="PO17" s="351"/>
      <c r="PP17" s="347"/>
      <c r="PQ17" s="372"/>
      <c r="PR17" s="387"/>
      <c r="PS17" s="377"/>
      <c r="PT17" s="378"/>
      <c r="PU17" s="380"/>
      <c r="RX17" s="358"/>
      <c r="RY17" s="346"/>
      <c r="RZ17" s="347"/>
      <c r="SA17" s="347"/>
      <c r="SB17" s="347"/>
      <c r="SC17" s="347"/>
      <c r="SD17" s="347"/>
      <c r="SE17" s="347"/>
      <c r="SF17" s="347"/>
      <c r="SG17" s="347"/>
      <c r="SH17" s="347"/>
      <c r="SI17" s="347"/>
      <c r="SJ17" s="347"/>
      <c r="SK17" s="347"/>
      <c r="SL17" s="350"/>
      <c r="SM17" s="351"/>
      <c r="SN17" s="347"/>
      <c r="SO17" s="372"/>
      <c r="SP17" s="387"/>
      <c r="SQ17" s="377"/>
      <c r="SR17" s="378"/>
      <c r="SS17" s="380"/>
      <c r="VL17" s="358"/>
      <c r="VM17" s="346"/>
      <c r="VN17" s="347"/>
      <c r="VO17" s="347"/>
      <c r="VP17" s="347"/>
      <c r="VQ17" s="347"/>
      <c r="VR17" s="347"/>
      <c r="VS17" s="347"/>
      <c r="VT17" s="347"/>
      <c r="VU17" s="347"/>
      <c r="VV17" s="347"/>
      <c r="VW17" s="347"/>
      <c r="VX17" s="347"/>
      <c r="VY17" s="369"/>
      <c r="VZ17" s="385"/>
      <c r="WA17" s="385"/>
      <c r="WB17" s="346"/>
      <c r="WC17" s="372"/>
      <c r="WD17" s="387"/>
      <c r="WE17" s="377"/>
      <c r="WF17" s="378"/>
      <c r="WG17" s="380"/>
      <c r="ZG17" s="358"/>
      <c r="ZH17" s="385"/>
      <c r="ZI17" s="385"/>
      <c r="ZJ17" s="385"/>
      <c r="ZK17" s="385"/>
      <c r="ZL17" s="385"/>
      <c r="ZM17" s="385"/>
      <c r="ZN17" s="385"/>
      <c r="ZO17" s="385"/>
      <c r="ZP17" s="385"/>
      <c r="ZQ17" s="385"/>
      <c r="ZR17" s="385"/>
      <c r="ZS17" s="385"/>
      <c r="ZT17" s="385"/>
      <c r="ZU17" s="350"/>
      <c r="ZV17" s="351"/>
      <c r="ZW17" s="346"/>
      <c r="ZX17" s="372"/>
      <c r="ZY17" s="387"/>
      <c r="ZZ17" s="377"/>
      <c r="AAA17" s="378"/>
      <c r="AAB17" s="380"/>
      <c r="ACF17" s="358"/>
      <c r="ACG17" s="385"/>
      <c r="ACH17" s="385"/>
      <c r="ACI17" s="385"/>
      <c r="ACJ17" s="385"/>
      <c r="ACK17" s="385"/>
      <c r="ACL17" s="385"/>
      <c r="ACM17" s="385"/>
      <c r="ACN17" s="385"/>
      <c r="ACO17" s="385"/>
      <c r="ACP17" s="385"/>
      <c r="ACQ17" s="385"/>
      <c r="ACR17" s="385"/>
      <c r="ACS17" s="385"/>
      <c r="ACT17" s="350"/>
      <c r="ACU17" s="351"/>
      <c r="ACV17" s="346"/>
      <c r="ACW17" s="372"/>
      <c r="ACX17" s="387"/>
      <c r="ACY17" s="377"/>
      <c r="ACZ17" s="378"/>
      <c r="ADA17" s="380"/>
    </row>
    <row r="18" spans="1:781" ht="48" customHeight="1" x14ac:dyDescent="0.3">
      <c r="C18" s="291"/>
      <c r="D18" s="291"/>
      <c r="E18" s="291"/>
      <c r="F18" s="291"/>
      <c r="G18" s="286"/>
      <c r="N18" s="384">
        <v>1500</v>
      </c>
      <c r="O18" s="384"/>
      <c r="P18" s="384">
        <f>3000/N18</f>
        <v>2</v>
      </c>
      <c r="Q18" s="384"/>
      <c r="BA18" s="286"/>
      <c r="BB18" s="286"/>
      <c r="BC18" s="286"/>
      <c r="BD18" s="286"/>
      <c r="BE18" s="286"/>
      <c r="BF18" s="286"/>
      <c r="BG18" s="286"/>
      <c r="BH18" s="286"/>
      <c r="BI18" s="154"/>
      <c r="BJ18" s="154"/>
      <c r="BK18" s="154"/>
      <c r="BL18" s="154"/>
      <c r="BM18" s="154"/>
      <c r="BN18" s="154"/>
      <c r="BO18" s="154"/>
      <c r="BP18" s="154"/>
      <c r="BQ18" s="154"/>
      <c r="BR18" s="154"/>
      <c r="BS18" s="154"/>
      <c r="BT18" s="154"/>
      <c r="BU18" s="154"/>
      <c r="BV18" s="154"/>
      <c r="BW18" s="154"/>
      <c r="BX18" s="154"/>
      <c r="BY18" s="154"/>
      <c r="BZ18" s="154"/>
      <c r="CA18" s="154"/>
      <c r="CB18" s="154"/>
      <c r="JZ18" s="8"/>
    </row>
    <row r="19" spans="1:781" ht="48" customHeight="1" thickBot="1" x14ac:dyDescent="0.35">
      <c r="A19" s="322"/>
      <c r="B19" s="322"/>
      <c r="C19" s="322"/>
      <c r="D19" s="322"/>
      <c r="E19" s="291"/>
      <c r="F19" s="291"/>
      <c r="G19" s="286"/>
      <c r="N19" s="384">
        <v>750</v>
      </c>
      <c r="O19" s="384"/>
      <c r="P19" s="384">
        <f>3000/N19</f>
        <v>4</v>
      </c>
      <c r="Q19" s="384"/>
      <c r="Z19" s="356"/>
      <c r="AA19" s="583">
        <v>2.2000000000000002</v>
      </c>
      <c r="AB19" s="583"/>
      <c r="AC19" s="225"/>
      <c r="AD19" s="147" t="s">
        <v>634</v>
      </c>
      <c r="AE19" s="147" t="s">
        <v>635</v>
      </c>
      <c r="AF19" s="148" t="s">
        <v>636</v>
      </c>
      <c r="AG19" s="175"/>
      <c r="AH19" s="175"/>
      <c r="AI19" s="175"/>
      <c r="AJ19" s="225"/>
      <c r="AK19" s="173" t="s">
        <v>629</v>
      </c>
      <c r="AL19" s="570" t="s">
        <v>623</v>
      </c>
      <c r="AM19" s="571"/>
      <c r="AN19" s="361" t="s">
        <v>189</v>
      </c>
      <c r="AO19" s="362"/>
      <c r="AP19" s="363" t="s">
        <v>910</v>
      </c>
      <c r="AQ19" s="364"/>
      <c r="AR19" s="365" t="s">
        <v>638</v>
      </c>
      <c r="AS19" s="366"/>
      <c r="AT19" s="366"/>
      <c r="AU19" s="367"/>
      <c r="BA19" s="286"/>
      <c r="BB19" s="286"/>
      <c r="BC19" s="286"/>
      <c r="BD19" s="286"/>
      <c r="BE19" s="286"/>
      <c r="BF19" s="286"/>
      <c r="BG19" s="286"/>
      <c r="BH19" s="286"/>
      <c r="BO19" s="356"/>
      <c r="BP19" s="572" t="s">
        <v>949</v>
      </c>
      <c r="BQ19" s="572"/>
      <c r="BR19" s="281"/>
      <c r="BS19" s="175"/>
      <c r="BT19" s="175"/>
      <c r="BU19" s="175"/>
      <c r="BV19" s="175"/>
      <c r="BW19" s="175"/>
      <c r="BX19" s="175"/>
      <c r="BY19" s="281"/>
      <c r="BZ19" s="173" t="s">
        <v>629</v>
      </c>
      <c r="CA19" s="359" t="s">
        <v>623</v>
      </c>
      <c r="CB19" s="381"/>
      <c r="CC19" s="382" t="s">
        <v>189</v>
      </c>
      <c r="CD19" s="383"/>
      <c r="CE19" s="363" t="s">
        <v>910</v>
      </c>
      <c r="CF19" s="364"/>
      <c r="CG19" s="365" t="s">
        <v>638</v>
      </c>
      <c r="CH19" s="366"/>
      <c r="CI19" s="366"/>
      <c r="CJ19" s="367"/>
      <c r="CK19" s="337" t="s">
        <v>624</v>
      </c>
      <c r="CL19" s="337"/>
      <c r="CM19" s="337"/>
      <c r="CN19" s="337"/>
      <c r="DQ19" s="448" t="s">
        <v>957</v>
      </c>
      <c r="DR19" s="449"/>
      <c r="DS19" s="450"/>
      <c r="DT19" s="356"/>
      <c r="DU19" s="297"/>
      <c r="DV19" s="298"/>
      <c r="DW19" s="295"/>
      <c r="DX19" s="175"/>
      <c r="DY19" s="175"/>
      <c r="DZ19" s="175"/>
      <c r="EA19" s="175"/>
      <c r="EB19" s="175"/>
      <c r="EC19" s="175"/>
      <c r="ED19" s="295"/>
      <c r="EE19" s="173" t="s">
        <v>629</v>
      </c>
      <c r="EF19" s="359" t="s">
        <v>623</v>
      </c>
      <c r="EG19" s="381"/>
      <c r="EH19" s="382" t="s">
        <v>189</v>
      </c>
      <c r="EI19" s="383"/>
      <c r="EJ19" s="363" t="s">
        <v>910</v>
      </c>
      <c r="EK19" s="364"/>
      <c r="EL19" s="365" t="s">
        <v>638</v>
      </c>
      <c r="EM19" s="366"/>
      <c r="EN19" s="366"/>
      <c r="EO19" s="367"/>
      <c r="FW19" s="356"/>
      <c r="FX19" s="297" t="s">
        <v>604</v>
      </c>
      <c r="FY19" s="298"/>
      <c r="FZ19" s="315"/>
      <c r="GA19" s="175"/>
      <c r="GB19" s="175"/>
      <c r="GC19" s="175"/>
      <c r="GD19" s="175"/>
      <c r="GE19" s="175"/>
      <c r="GF19" s="175"/>
      <c r="GG19" s="315"/>
      <c r="GH19" s="173" t="s">
        <v>629</v>
      </c>
      <c r="GI19" s="359" t="s">
        <v>623</v>
      </c>
      <c r="GJ19" s="381"/>
      <c r="GK19" s="382" t="s">
        <v>189</v>
      </c>
      <c r="GL19" s="383"/>
      <c r="GM19" s="363" t="s">
        <v>910</v>
      </c>
      <c r="GN19" s="364"/>
      <c r="GO19" s="365" t="s">
        <v>638</v>
      </c>
      <c r="GP19" s="366"/>
      <c r="GQ19" s="366"/>
      <c r="GR19" s="367"/>
      <c r="IH19" s="356"/>
      <c r="II19" s="297" t="s">
        <v>604</v>
      </c>
      <c r="IJ19" s="298"/>
      <c r="IK19" s="315"/>
      <c r="IL19" s="175"/>
      <c r="IM19" s="175"/>
      <c r="IN19" s="175"/>
      <c r="IO19" s="175"/>
      <c r="IP19" s="175"/>
      <c r="IQ19" s="175"/>
      <c r="IR19" s="315"/>
      <c r="IS19" s="173" t="s">
        <v>629</v>
      </c>
      <c r="IT19" s="393" t="s">
        <v>623</v>
      </c>
      <c r="IU19" s="394"/>
      <c r="IV19" s="382" t="s">
        <v>189</v>
      </c>
      <c r="IW19" s="383"/>
      <c r="IX19" s="363" t="s">
        <v>910</v>
      </c>
      <c r="IY19" s="364"/>
      <c r="IZ19" s="365" t="s">
        <v>638</v>
      </c>
      <c r="JA19" s="366"/>
      <c r="JB19" s="366"/>
      <c r="JC19" s="367"/>
      <c r="LP19" s="356"/>
      <c r="LQ19" s="297" t="s">
        <v>604</v>
      </c>
      <c r="LR19" s="298"/>
      <c r="LS19" s="315"/>
      <c r="LT19" s="175"/>
      <c r="LU19" s="175"/>
      <c r="LV19" s="175"/>
      <c r="LW19" s="175"/>
      <c r="LX19" s="175"/>
      <c r="LY19" s="175"/>
      <c r="LZ19" s="315"/>
      <c r="MA19" s="173" t="s">
        <v>629</v>
      </c>
      <c r="MB19" s="359" t="s">
        <v>623</v>
      </c>
      <c r="MC19" s="381"/>
      <c r="MD19" s="382" t="s">
        <v>189</v>
      </c>
      <c r="ME19" s="383"/>
      <c r="MF19" s="363" t="s">
        <v>910</v>
      </c>
      <c r="MG19" s="364"/>
      <c r="MH19" s="365" t="s">
        <v>638</v>
      </c>
      <c r="MI19" s="366"/>
      <c r="MJ19" s="366"/>
      <c r="MK19" s="367"/>
      <c r="OZ19" s="356"/>
      <c r="PA19" s="297" t="s">
        <v>604</v>
      </c>
      <c r="PB19" s="298"/>
      <c r="PC19" s="315"/>
      <c r="PD19" s="175"/>
      <c r="PE19" s="175"/>
      <c r="PF19" s="175"/>
      <c r="PG19" s="175"/>
      <c r="PH19" s="175"/>
      <c r="PI19" s="175"/>
      <c r="PJ19" s="315"/>
      <c r="PK19" s="173" t="s">
        <v>629</v>
      </c>
      <c r="PL19" s="359" t="s">
        <v>623</v>
      </c>
      <c r="PM19" s="381"/>
      <c r="PN19" s="382" t="s">
        <v>189</v>
      </c>
      <c r="PO19" s="383"/>
      <c r="PP19" s="363" t="s">
        <v>910</v>
      </c>
      <c r="PQ19" s="364"/>
      <c r="PR19" s="365" t="s">
        <v>638</v>
      </c>
      <c r="PS19" s="366"/>
      <c r="PT19" s="366"/>
      <c r="PU19" s="367"/>
      <c r="RX19" s="356"/>
      <c r="RY19" s="297" t="s">
        <v>604</v>
      </c>
      <c r="RZ19" s="298"/>
      <c r="SA19" s="315"/>
      <c r="SB19" s="175"/>
      <c r="SC19" s="175"/>
      <c r="SD19" s="175"/>
      <c r="SE19" s="175"/>
      <c r="SF19" s="175"/>
      <c r="SG19" s="175"/>
      <c r="SH19" s="315"/>
      <c r="SI19" s="173" t="s">
        <v>629</v>
      </c>
      <c r="SJ19" s="359" t="s">
        <v>623</v>
      </c>
      <c r="SK19" s="381"/>
      <c r="SL19" s="382" t="s">
        <v>189</v>
      </c>
      <c r="SM19" s="383"/>
      <c r="SN19" s="363" t="s">
        <v>910</v>
      </c>
      <c r="SO19" s="364"/>
      <c r="SP19" s="365" t="s">
        <v>638</v>
      </c>
      <c r="SQ19" s="366"/>
      <c r="SR19" s="366"/>
      <c r="SS19" s="367"/>
      <c r="VL19" s="356"/>
      <c r="VM19" s="297" t="s">
        <v>604</v>
      </c>
      <c r="VN19" s="298"/>
      <c r="VO19" s="315"/>
      <c r="VP19" s="175"/>
      <c r="VQ19" s="175"/>
      <c r="VR19" s="175"/>
      <c r="VS19" s="175"/>
      <c r="VT19" s="175"/>
      <c r="VU19" s="175"/>
      <c r="VV19" s="315"/>
      <c r="VW19" s="173" t="s">
        <v>629</v>
      </c>
      <c r="VX19" s="393" t="s">
        <v>623</v>
      </c>
      <c r="VY19" s="394"/>
      <c r="VZ19" s="382" t="s">
        <v>189</v>
      </c>
      <c r="WA19" s="383"/>
      <c r="WB19" s="363" t="s">
        <v>910</v>
      </c>
      <c r="WC19" s="364"/>
      <c r="WD19" s="365" t="s">
        <v>638</v>
      </c>
      <c r="WE19" s="366"/>
      <c r="WF19" s="366"/>
      <c r="WG19" s="367"/>
      <c r="ZG19" s="356"/>
      <c r="ZH19" s="297" t="s">
        <v>604</v>
      </c>
      <c r="ZI19" s="298"/>
      <c r="ZJ19" s="315"/>
      <c r="ZK19" s="175"/>
      <c r="ZL19" s="175"/>
      <c r="ZM19" s="175"/>
      <c r="ZN19" s="175"/>
      <c r="ZO19" s="175"/>
      <c r="ZP19" s="175"/>
      <c r="ZQ19" s="315"/>
      <c r="ZR19" s="173" t="s">
        <v>629</v>
      </c>
      <c r="ZS19" s="359" t="s">
        <v>623</v>
      </c>
      <c r="ZT19" s="381"/>
      <c r="ZU19" s="382" t="s">
        <v>189</v>
      </c>
      <c r="ZV19" s="383"/>
      <c r="ZW19" s="363" t="s">
        <v>910</v>
      </c>
      <c r="ZX19" s="364"/>
      <c r="ZY19" s="365" t="s">
        <v>638</v>
      </c>
      <c r="ZZ19" s="366"/>
      <c r="AAA19" s="366"/>
      <c r="AAB19" s="367"/>
      <c r="ACF19" s="356"/>
      <c r="ACG19" s="297" t="s">
        <v>604</v>
      </c>
      <c r="ACH19" s="298"/>
      <c r="ACI19" s="315"/>
      <c r="ACJ19" s="175"/>
      <c r="ACK19" s="175"/>
      <c r="ACL19" s="175"/>
      <c r="ACM19" s="175"/>
      <c r="ACN19" s="175"/>
      <c r="ACO19" s="175"/>
      <c r="ACP19" s="315"/>
      <c r="ACQ19" s="173" t="s">
        <v>629</v>
      </c>
      <c r="ACR19" s="359" t="s">
        <v>623</v>
      </c>
      <c r="ACS19" s="381"/>
      <c r="ACT19" s="382" t="s">
        <v>189</v>
      </c>
      <c r="ACU19" s="383"/>
      <c r="ACV19" s="363" t="s">
        <v>910</v>
      </c>
      <c r="ACW19" s="364"/>
      <c r="ACX19" s="365" t="s">
        <v>638</v>
      </c>
      <c r="ACY19" s="366"/>
      <c r="ACZ19" s="366"/>
      <c r="ADA19" s="367"/>
    </row>
    <row r="20" spans="1:781" ht="48" customHeight="1" x14ac:dyDescent="0.3">
      <c r="A20" s="322"/>
      <c r="B20" s="322"/>
      <c r="C20" s="322"/>
      <c r="D20" s="322"/>
      <c r="E20" s="291"/>
      <c r="F20" s="291"/>
      <c r="G20" s="286"/>
      <c r="Z20" s="357"/>
      <c r="AA20" s="523" t="s">
        <v>9</v>
      </c>
      <c r="AB20" s="573"/>
      <c r="AC20" s="573"/>
      <c r="AD20" s="573"/>
      <c r="AE20" s="573"/>
      <c r="AF20" s="573"/>
      <c r="AG20" s="573"/>
      <c r="AH20" s="573"/>
      <c r="AI20" s="573"/>
      <c r="AJ20" s="573"/>
      <c r="AK20" s="573"/>
      <c r="AL20" s="573"/>
      <c r="AM20" s="574"/>
      <c r="AN20" s="540">
        <f>'Ввод значений статус решения'!AL11</f>
        <v>0.313</v>
      </c>
      <c r="AO20" s="542"/>
      <c r="AP20" s="579" t="s">
        <v>916</v>
      </c>
      <c r="AQ20" s="580"/>
      <c r="AR20" s="379"/>
      <c r="AS20" s="416" t="s">
        <v>639</v>
      </c>
      <c r="AT20" s="417"/>
      <c r="AU20" s="379"/>
      <c r="BA20" s="286"/>
      <c r="BB20" s="286"/>
      <c r="BC20" s="286"/>
      <c r="BD20" s="286"/>
      <c r="BE20" s="286"/>
      <c r="BF20" s="286"/>
      <c r="BG20" s="286"/>
      <c r="BH20" s="286"/>
      <c r="BO20" s="357"/>
      <c r="BP20" s="514" t="s">
        <v>1005</v>
      </c>
      <c r="BQ20" s="515"/>
      <c r="BR20" s="515"/>
      <c r="BS20" s="515"/>
      <c r="BT20" s="515"/>
      <c r="BU20" s="515"/>
      <c r="BV20" s="515"/>
      <c r="BW20" s="515"/>
      <c r="BX20" s="515"/>
      <c r="BY20" s="515"/>
      <c r="BZ20" s="515"/>
      <c r="CA20" s="515"/>
      <c r="CB20" s="515"/>
      <c r="CC20" s="388">
        <f>(3.14*AN32)/CC12</f>
        <v>44.636408333333343</v>
      </c>
      <c r="CD20" s="371"/>
      <c r="CE20" s="536" t="s">
        <v>944</v>
      </c>
      <c r="CF20" s="537"/>
      <c r="CG20" s="386"/>
      <c r="CH20" s="375" t="s">
        <v>969</v>
      </c>
      <c r="CI20" s="376"/>
      <c r="CJ20" s="379"/>
      <c r="CK20" s="399"/>
      <c r="CL20" s="399"/>
      <c r="CM20" s="399"/>
      <c r="CN20" s="399"/>
      <c r="DQ20" s="451"/>
      <c r="DR20" s="452"/>
      <c r="DS20" s="453"/>
      <c r="DT20" s="357"/>
      <c r="DU20" s="384" t="s">
        <v>52</v>
      </c>
      <c r="DV20" s="384"/>
      <c r="DW20" s="384"/>
      <c r="DX20" s="384"/>
      <c r="DY20" s="384"/>
      <c r="DZ20" s="384"/>
      <c r="EA20" s="384"/>
      <c r="EB20" s="384"/>
      <c r="EC20" s="384"/>
      <c r="ED20" s="384"/>
      <c r="EE20" s="384"/>
      <c r="EF20" s="384"/>
      <c r="EG20" s="391"/>
      <c r="EH20" s="478">
        <v>1.9</v>
      </c>
      <c r="EI20" s="479"/>
      <c r="EK20" s="300"/>
      <c r="EL20" s="386"/>
      <c r="EM20" s="375" t="s">
        <v>604</v>
      </c>
      <c r="EN20" s="376"/>
      <c r="EO20" s="379"/>
      <c r="FW20" s="357"/>
      <c r="FX20" s="344" t="s">
        <v>67</v>
      </c>
      <c r="FY20" s="345"/>
      <c r="FZ20" s="345"/>
      <c r="GA20" s="345"/>
      <c r="GB20" s="345"/>
      <c r="GC20" s="345"/>
      <c r="GD20" s="345"/>
      <c r="GE20" s="345"/>
      <c r="GF20" s="345"/>
      <c r="GG20" s="345"/>
      <c r="GH20" s="345"/>
      <c r="GI20" s="345"/>
      <c r="GJ20" s="345"/>
      <c r="GK20" s="388">
        <f>AN20</f>
        <v>0.313</v>
      </c>
      <c r="GL20" s="371"/>
      <c r="GM20" s="406"/>
      <c r="GN20" s="408"/>
      <c r="GO20" s="386"/>
      <c r="GP20" s="375" t="s">
        <v>604</v>
      </c>
      <c r="GQ20" s="376"/>
      <c r="GR20" s="379"/>
      <c r="IH20" s="357"/>
      <c r="II20" s="344" t="s">
        <v>86</v>
      </c>
      <c r="IJ20" s="345"/>
      <c r="IK20" s="345"/>
      <c r="IL20" s="345"/>
      <c r="IM20" s="345"/>
      <c r="IN20" s="345"/>
      <c r="IO20" s="345"/>
      <c r="IP20" s="345"/>
      <c r="IQ20" s="345"/>
      <c r="IR20" s="345"/>
      <c r="IS20" s="345"/>
      <c r="IT20" s="345"/>
      <c r="IU20" s="345"/>
      <c r="IV20" s="348">
        <f>CC84*1000/(EE32*AN77*EE36)</f>
        <v>2.9999999999999996</v>
      </c>
      <c r="IW20" s="349"/>
      <c r="IX20" s="352"/>
      <c r="IY20" s="353"/>
      <c r="IZ20" s="386"/>
      <c r="JA20" s="375" t="s">
        <v>604</v>
      </c>
      <c r="JB20" s="376"/>
      <c r="JC20" s="379"/>
      <c r="JZ20" s="8"/>
      <c r="LP20" s="357"/>
      <c r="LQ20" s="344" t="s">
        <v>119</v>
      </c>
      <c r="LR20" s="345"/>
      <c r="LS20" s="345"/>
      <c r="LT20" s="345"/>
      <c r="LU20" s="345"/>
      <c r="LV20" s="345"/>
      <c r="LW20" s="345"/>
      <c r="LX20" s="345"/>
      <c r="LY20" s="345"/>
      <c r="LZ20" s="345"/>
      <c r="MA20" s="345"/>
      <c r="MB20" s="345"/>
      <c r="MC20" s="345"/>
      <c r="MD20" s="348">
        <f>2*(AN77*1000+MD24)</f>
        <v>368.99214004938096</v>
      </c>
      <c r="ME20" s="349"/>
      <c r="MF20" s="390"/>
      <c r="MG20" s="371"/>
      <c r="MH20" s="386"/>
      <c r="MI20" s="375" t="s">
        <v>604</v>
      </c>
      <c r="MJ20" s="376"/>
      <c r="MK20" s="379"/>
      <c r="OZ20" s="357"/>
      <c r="PA20" s="384"/>
      <c r="PB20" s="384"/>
      <c r="PC20" s="384"/>
      <c r="PD20" s="384"/>
      <c r="PE20" s="384"/>
      <c r="PF20" s="384"/>
      <c r="PG20" s="384"/>
      <c r="PH20" s="384"/>
      <c r="PI20" s="384"/>
      <c r="PJ20" s="384"/>
      <c r="PK20" s="384"/>
      <c r="PL20" s="384"/>
      <c r="PM20" s="391"/>
      <c r="PN20" s="348"/>
      <c r="PO20" s="349"/>
      <c r="PP20" s="390"/>
      <c r="PQ20" s="371"/>
      <c r="PR20" s="386"/>
      <c r="PS20" s="375" t="s">
        <v>604</v>
      </c>
      <c r="PT20" s="376"/>
      <c r="PU20" s="379"/>
      <c r="RX20" s="357"/>
      <c r="RY20" s="344"/>
      <c r="RZ20" s="345"/>
      <c r="SA20" s="345"/>
      <c r="SB20" s="345"/>
      <c r="SC20" s="345"/>
      <c r="SD20" s="345"/>
      <c r="SE20" s="345"/>
      <c r="SF20" s="345"/>
      <c r="SG20" s="345"/>
      <c r="SH20" s="345"/>
      <c r="SI20" s="345"/>
      <c r="SJ20" s="345"/>
      <c r="SK20" s="345"/>
      <c r="SL20" s="348"/>
      <c r="SM20" s="349"/>
      <c r="SN20" s="390"/>
      <c r="SO20" s="371"/>
      <c r="SP20" s="386"/>
      <c r="SQ20" s="375" t="s">
        <v>604</v>
      </c>
      <c r="SR20" s="376"/>
      <c r="SS20" s="379"/>
      <c r="VL20" s="357"/>
      <c r="VM20" s="370"/>
      <c r="VN20" s="390"/>
      <c r="VO20" s="390"/>
      <c r="VP20" s="390"/>
      <c r="VQ20" s="390"/>
      <c r="VR20" s="390"/>
      <c r="VS20" s="390"/>
      <c r="VT20" s="390"/>
      <c r="VU20" s="390"/>
      <c r="VV20" s="390"/>
      <c r="VW20" s="390"/>
      <c r="VX20" s="390"/>
      <c r="VY20" s="395"/>
      <c r="VZ20" s="384"/>
      <c r="WA20" s="384"/>
      <c r="WB20" s="370"/>
      <c r="WC20" s="371"/>
      <c r="WD20" s="386"/>
      <c r="WE20" s="375" t="s">
        <v>604</v>
      </c>
      <c r="WF20" s="376"/>
      <c r="WG20" s="379"/>
      <c r="ZG20" s="357"/>
      <c r="ZH20" s="384"/>
      <c r="ZI20" s="384"/>
      <c r="ZJ20" s="384"/>
      <c r="ZK20" s="384"/>
      <c r="ZL20" s="384"/>
      <c r="ZM20" s="384"/>
      <c r="ZN20" s="384"/>
      <c r="ZO20" s="384"/>
      <c r="ZP20" s="384"/>
      <c r="ZQ20" s="384"/>
      <c r="ZR20" s="384"/>
      <c r="ZS20" s="384"/>
      <c r="ZT20" s="384"/>
      <c r="ZU20" s="348"/>
      <c r="ZV20" s="349"/>
      <c r="ZW20" s="370"/>
      <c r="ZX20" s="371"/>
      <c r="ZY20" s="386"/>
      <c r="ZZ20" s="375" t="s">
        <v>604</v>
      </c>
      <c r="AAA20" s="376"/>
      <c r="AAB20" s="379"/>
      <c r="ACF20" s="357"/>
      <c r="ACG20" s="384"/>
      <c r="ACH20" s="384"/>
      <c r="ACI20" s="384"/>
      <c r="ACJ20" s="384"/>
      <c r="ACK20" s="384"/>
      <c r="ACL20" s="384"/>
      <c r="ACM20" s="384"/>
      <c r="ACN20" s="384"/>
      <c r="ACO20" s="384"/>
      <c r="ACP20" s="384"/>
      <c r="ACQ20" s="384"/>
      <c r="ACR20" s="384"/>
      <c r="ACS20" s="384"/>
      <c r="ACT20" s="348"/>
      <c r="ACU20" s="349"/>
      <c r="ACV20" s="370"/>
      <c r="ACW20" s="371"/>
      <c r="ACX20" s="386"/>
      <c r="ACY20" s="375" t="s">
        <v>604</v>
      </c>
      <c r="ACZ20" s="376"/>
      <c r="ADA20" s="379"/>
    </row>
    <row r="21" spans="1:781" ht="48" customHeight="1" thickBot="1" x14ac:dyDescent="0.35">
      <c r="A21" s="322"/>
      <c r="B21" s="322"/>
      <c r="C21" s="322"/>
      <c r="D21" s="322"/>
      <c r="E21" s="291"/>
      <c r="F21" s="291"/>
      <c r="G21" s="286"/>
      <c r="P21" s="2"/>
      <c r="Q21" s="2"/>
      <c r="R21" s="2"/>
      <c r="Z21" s="358"/>
      <c r="AA21" s="575"/>
      <c r="AB21" s="544"/>
      <c r="AC21" s="544"/>
      <c r="AD21" s="544"/>
      <c r="AE21" s="544"/>
      <c r="AF21" s="544"/>
      <c r="AG21" s="544"/>
      <c r="AH21" s="544"/>
      <c r="AI21" s="544"/>
      <c r="AJ21" s="544"/>
      <c r="AK21" s="544"/>
      <c r="AL21" s="544"/>
      <c r="AM21" s="576"/>
      <c r="AN21" s="543"/>
      <c r="AO21" s="545"/>
      <c r="AP21" s="581"/>
      <c r="AQ21" s="582"/>
      <c r="AR21" s="380"/>
      <c r="AS21" s="418"/>
      <c r="AT21" s="419"/>
      <c r="AU21" s="380"/>
      <c r="BA21" s="286"/>
      <c r="BB21" s="286"/>
      <c r="BC21" s="286"/>
      <c r="BD21" s="286"/>
      <c r="BE21" s="286"/>
      <c r="BF21" s="286"/>
      <c r="BG21" s="286"/>
      <c r="BH21" s="286"/>
      <c r="BO21" s="358"/>
      <c r="BP21" s="517"/>
      <c r="BQ21" s="518"/>
      <c r="BR21" s="518"/>
      <c r="BS21" s="518"/>
      <c r="BT21" s="518"/>
      <c r="BU21" s="518"/>
      <c r="BV21" s="518"/>
      <c r="BW21" s="518"/>
      <c r="BX21" s="518"/>
      <c r="BY21" s="518"/>
      <c r="BZ21" s="518"/>
      <c r="CA21" s="518"/>
      <c r="CB21" s="518"/>
      <c r="CC21" s="389"/>
      <c r="CD21" s="372"/>
      <c r="CE21" s="538"/>
      <c r="CF21" s="539"/>
      <c r="CG21" s="387"/>
      <c r="CH21" s="377"/>
      <c r="CI21" s="378"/>
      <c r="CJ21" s="380"/>
      <c r="CK21" s="400"/>
      <c r="CL21" s="400"/>
      <c r="CM21" s="400"/>
      <c r="CN21" s="400"/>
      <c r="DQ21" s="454"/>
      <c r="DR21" s="455"/>
      <c r="DS21" s="456"/>
      <c r="DT21" s="358"/>
      <c r="DU21" s="385"/>
      <c r="DV21" s="385"/>
      <c r="DW21" s="385"/>
      <c r="DX21" s="385"/>
      <c r="DY21" s="385"/>
      <c r="DZ21" s="385"/>
      <c r="EA21" s="385"/>
      <c r="EB21" s="385"/>
      <c r="EC21" s="385"/>
      <c r="ED21" s="385"/>
      <c r="EE21" s="385"/>
      <c r="EF21" s="385"/>
      <c r="EG21" s="392"/>
      <c r="EH21" s="480"/>
      <c r="EI21" s="481"/>
      <c r="EJ21" s="317"/>
      <c r="EK21" s="301"/>
      <c r="EL21" s="387"/>
      <c r="EM21" s="377"/>
      <c r="EN21" s="378"/>
      <c r="EO21" s="380"/>
      <c r="FW21" s="358"/>
      <c r="FX21" s="346"/>
      <c r="FY21" s="347"/>
      <c r="FZ21" s="347"/>
      <c r="GA21" s="347"/>
      <c r="GB21" s="347"/>
      <c r="GC21" s="347"/>
      <c r="GD21" s="347"/>
      <c r="GE21" s="347"/>
      <c r="GF21" s="347"/>
      <c r="GG21" s="347"/>
      <c r="GH21" s="347"/>
      <c r="GI21" s="347"/>
      <c r="GJ21" s="347"/>
      <c r="GK21" s="389"/>
      <c r="GL21" s="372"/>
      <c r="GM21" s="409"/>
      <c r="GN21" s="411"/>
      <c r="GO21" s="387"/>
      <c r="GP21" s="377"/>
      <c r="GQ21" s="378"/>
      <c r="GR21" s="380"/>
      <c r="IH21" s="358"/>
      <c r="II21" s="346"/>
      <c r="IJ21" s="347"/>
      <c r="IK21" s="347"/>
      <c r="IL21" s="347"/>
      <c r="IM21" s="347"/>
      <c r="IN21" s="347"/>
      <c r="IO21" s="347"/>
      <c r="IP21" s="347"/>
      <c r="IQ21" s="347"/>
      <c r="IR21" s="347"/>
      <c r="IS21" s="347"/>
      <c r="IT21" s="347"/>
      <c r="IU21" s="347"/>
      <c r="IV21" s="350"/>
      <c r="IW21" s="351"/>
      <c r="IX21" s="354"/>
      <c r="IY21" s="355"/>
      <c r="IZ21" s="387"/>
      <c r="JA21" s="377"/>
      <c r="JB21" s="378"/>
      <c r="JC21" s="380"/>
      <c r="LP21" s="358"/>
      <c r="LQ21" s="346"/>
      <c r="LR21" s="347"/>
      <c r="LS21" s="347"/>
      <c r="LT21" s="347"/>
      <c r="LU21" s="347"/>
      <c r="LV21" s="347"/>
      <c r="LW21" s="347"/>
      <c r="LX21" s="347"/>
      <c r="LY21" s="347"/>
      <c r="LZ21" s="347"/>
      <c r="MA21" s="347"/>
      <c r="MB21" s="347"/>
      <c r="MC21" s="347"/>
      <c r="MD21" s="350"/>
      <c r="ME21" s="351"/>
      <c r="MF21" s="347"/>
      <c r="MG21" s="372"/>
      <c r="MH21" s="387"/>
      <c r="MI21" s="377"/>
      <c r="MJ21" s="378"/>
      <c r="MK21" s="380"/>
      <c r="OZ21" s="358"/>
      <c r="PA21" s="385"/>
      <c r="PB21" s="385"/>
      <c r="PC21" s="385"/>
      <c r="PD21" s="385"/>
      <c r="PE21" s="385"/>
      <c r="PF21" s="385"/>
      <c r="PG21" s="385"/>
      <c r="PH21" s="385"/>
      <c r="PI21" s="385"/>
      <c r="PJ21" s="385"/>
      <c r="PK21" s="385"/>
      <c r="PL21" s="385"/>
      <c r="PM21" s="392"/>
      <c r="PN21" s="350"/>
      <c r="PO21" s="351"/>
      <c r="PP21" s="347"/>
      <c r="PQ21" s="372"/>
      <c r="PR21" s="387"/>
      <c r="PS21" s="377"/>
      <c r="PT21" s="378"/>
      <c r="PU21" s="380"/>
      <c r="RX21" s="358"/>
      <c r="RY21" s="346"/>
      <c r="RZ21" s="347"/>
      <c r="SA21" s="347"/>
      <c r="SB21" s="347"/>
      <c r="SC21" s="347"/>
      <c r="SD21" s="347"/>
      <c r="SE21" s="347"/>
      <c r="SF21" s="347"/>
      <c r="SG21" s="347"/>
      <c r="SH21" s="347"/>
      <c r="SI21" s="347"/>
      <c r="SJ21" s="347"/>
      <c r="SK21" s="347"/>
      <c r="SL21" s="350"/>
      <c r="SM21" s="351"/>
      <c r="SN21" s="347"/>
      <c r="SO21" s="372"/>
      <c r="SP21" s="387"/>
      <c r="SQ21" s="377"/>
      <c r="SR21" s="378"/>
      <c r="SS21" s="380"/>
      <c r="VL21" s="358"/>
      <c r="VM21" s="346"/>
      <c r="VN21" s="347"/>
      <c r="VO21" s="347"/>
      <c r="VP21" s="347"/>
      <c r="VQ21" s="347"/>
      <c r="VR21" s="347"/>
      <c r="VS21" s="347"/>
      <c r="VT21" s="347"/>
      <c r="VU21" s="347"/>
      <c r="VV21" s="347"/>
      <c r="VW21" s="347"/>
      <c r="VX21" s="347"/>
      <c r="VY21" s="369"/>
      <c r="VZ21" s="385"/>
      <c r="WA21" s="385"/>
      <c r="WB21" s="346"/>
      <c r="WC21" s="372"/>
      <c r="WD21" s="387"/>
      <c r="WE21" s="377"/>
      <c r="WF21" s="378"/>
      <c r="WG21" s="380"/>
      <c r="ZG21" s="358"/>
      <c r="ZH21" s="385"/>
      <c r="ZI21" s="385"/>
      <c r="ZJ21" s="385"/>
      <c r="ZK21" s="385"/>
      <c r="ZL21" s="385"/>
      <c r="ZM21" s="385"/>
      <c r="ZN21" s="385"/>
      <c r="ZO21" s="385"/>
      <c r="ZP21" s="385"/>
      <c r="ZQ21" s="385"/>
      <c r="ZR21" s="385"/>
      <c r="ZS21" s="385"/>
      <c r="ZT21" s="385"/>
      <c r="ZU21" s="350"/>
      <c r="ZV21" s="351"/>
      <c r="ZW21" s="346"/>
      <c r="ZX21" s="372"/>
      <c r="ZY21" s="387"/>
      <c r="ZZ21" s="377"/>
      <c r="AAA21" s="378"/>
      <c r="AAB21" s="380"/>
      <c r="ACF21" s="358"/>
      <c r="ACG21" s="385"/>
      <c r="ACH21" s="385"/>
      <c r="ACI21" s="385"/>
      <c r="ACJ21" s="385"/>
      <c r="ACK21" s="385"/>
      <c r="ACL21" s="385"/>
      <c r="ACM21" s="385"/>
      <c r="ACN21" s="385"/>
      <c r="ACO21" s="385"/>
      <c r="ACP21" s="385"/>
      <c r="ACQ21" s="385"/>
      <c r="ACR21" s="385"/>
      <c r="ACS21" s="385"/>
      <c r="ACT21" s="350"/>
      <c r="ACU21" s="351"/>
      <c r="ACV21" s="346"/>
      <c r="ACW21" s="372"/>
      <c r="ACX21" s="387"/>
      <c r="ACY21" s="377"/>
      <c r="ACZ21" s="378"/>
      <c r="ADA21" s="380"/>
    </row>
    <row r="22" spans="1:781" ht="48" customHeight="1" x14ac:dyDescent="0.3">
      <c r="A22" s="322"/>
      <c r="B22" s="322"/>
      <c r="C22" s="322"/>
      <c r="D22" s="322"/>
      <c r="E22" s="291"/>
      <c r="F22" s="291"/>
      <c r="G22" s="286"/>
      <c r="K22" s="2"/>
      <c r="L22" s="2"/>
      <c r="M22" s="2"/>
      <c r="P22" s="2"/>
      <c r="Q22" s="2"/>
      <c r="BA22" s="286"/>
      <c r="BB22" s="286"/>
      <c r="BC22" s="286"/>
      <c r="BD22" s="286"/>
      <c r="BE22" s="286"/>
      <c r="BF22" s="286"/>
      <c r="BG22" s="286"/>
      <c r="BH22" s="286"/>
      <c r="EV22" s="291"/>
      <c r="EW22" s="291"/>
      <c r="EX22" s="291"/>
      <c r="EY22" s="291"/>
      <c r="EZ22" s="291"/>
      <c r="FA22" s="291"/>
      <c r="FB22" s="291"/>
      <c r="FC22" s="291"/>
      <c r="FD22" s="291"/>
      <c r="FE22" s="291"/>
      <c r="FF22" s="291"/>
      <c r="FG22" s="291"/>
      <c r="FH22" s="291"/>
      <c r="FI22" s="291"/>
      <c r="FJ22" s="291"/>
      <c r="FK22" s="291"/>
      <c r="FL22" s="291"/>
      <c r="FM22" s="291"/>
      <c r="JZ22" s="8"/>
    </row>
    <row r="23" spans="1:781" ht="48" customHeight="1" thickBot="1" x14ac:dyDescent="0.35">
      <c r="A23" s="322"/>
      <c r="B23" s="322"/>
      <c r="C23" s="322"/>
      <c r="D23" s="322"/>
      <c r="E23" s="291"/>
      <c r="F23" s="291"/>
      <c r="G23" s="286"/>
      <c r="Z23" s="356"/>
      <c r="AA23" s="583">
        <v>2.2000000000000002</v>
      </c>
      <c r="AB23" s="583"/>
      <c r="AC23" s="225"/>
      <c r="AD23" s="147" t="s">
        <v>634</v>
      </c>
      <c r="AE23" s="147" t="s">
        <v>635</v>
      </c>
      <c r="AF23" s="148" t="s">
        <v>636</v>
      </c>
      <c r="AG23" s="175"/>
      <c r="AH23" s="175"/>
      <c r="AI23" s="173" t="s">
        <v>643</v>
      </c>
      <c r="AJ23" s="225"/>
      <c r="AK23" s="173" t="s">
        <v>629</v>
      </c>
      <c r="AL23" s="570" t="s">
        <v>623</v>
      </c>
      <c r="AM23" s="571"/>
      <c r="AN23" s="361" t="s">
        <v>189</v>
      </c>
      <c r="AO23" s="362"/>
      <c r="AP23" s="363" t="s">
        <v>910</v>
      </c>
      <c r="AQ23" s="364"/>
      <c r="AR23" s="365" t="s">
        <v>638</v>
      </c>
      <c r="AS23" s="366"/>
      <c r="AT23" s="366"/>
      <c r="AU23" s="367"/>
      <c r="BA23" s="286"/>
      <c r="BB23" s="286"/>
      <c r="BC23" s="286"/>
      <c r="BD23" s="286"/>
      <c r="BE23" s="286"/>
      <c r="BF23" s="286"/>
      <c r="BG23" s="286"/>
      <c r="BH23" s="286"/>
      <c r="BO23" s="356"/>
      <c r="BP23" s="572" t="s">
        <v>950</v>
      </c>
      <c r="BQ23" s="572"/>
      <c r="BR23" s="281"/>
      <c r="BS23" s="175"/>
      <c r="BT23" s="175"/>
      <c r="BU23" s="175"/>
      <c r="BV23" s="175"/>
      <c r="BW23" s="175"/>
      <c r="BX23" s="175"/>
      <c r="BY23" s="281"/>
      <c r="BZ23" s="173" t="s">
        <v>629</v>
      </c>
      <c r="CA23" s="359" t="s">
        <v>623</v>
      </c>
      <c r="CB23" s="381"/>
      <c r="CC23" s="382" t="s">
        <v>189</v>
      </c>
      <c r="CD23" s="383"/>
      <c r="CE23" s="363" t="s">
        <v>910</v>
      </c>
      <c r="CF23" s="364"/>
      <c r="CG23" s="365" t="s">
        <v>638</v>
      </c>
      <c r="CH23" s="366"/>
      <c r="CI23" s="366"/>
      <c r="CJ23" s="367"/>
      <c r="CK23" s="337" t="s">
        <v>624</v>
      </c>
      <c r="CL23" s="337"/>
      <c r="CM23" s="337"/>
      <c r="CN23" s="337"/>
      <c r="DQ23" s="356"/>
      <c r="DR23" s="297" t="s">
        <v>604</v>
      </c>
      <c r="DS23" s="298"/>
      <c r="DT23" s="295"/>
      <c r="DU23" s="175"/>
      <c r="DV23" s="175"/>
      <c r="DW23" s="175"/>
      <c r="DX23" s="175"/>
      <c r="DY23" s="175"/>
      <c r="DZ23" s="175"/>
      <c r="EA23" s="295"/>
      <c r="EB23" s="173" t="s">
        <v>629</v>
      </c>
      <c r="EC23" s="359" t="s">
        <v>623</v>
      </c>
      <c r="ED23" s="381"/>
      <c r="EE23" s="382" t="s">
        <v>189</v>
      </c>
      <c r="EF23" s="383"/>
      <c r="EG23" s="363" t="s">
        <v>910</v>
      </c>
      <c r="EH23" s="364"/>
      <c r="EI23" s="365" t="s">
        <v>638</v>
      </c>
      <c r="EJ23" s="366"/>
      <c r="EK23" s="366"/>
      <c r="EL23" s="367"/>
      <c r="EM23" s="365" t="s">
        <v>624</v>
      </c>
      <c r="EN23" s="366"/>
      <c r="EO23" s="366"/>
      <c r="EP23" s="367"/>
      <c r="FW23" s="356"/>
      <c r="FX23" s="297" t="s">
        <v>604</v>
      </c>
      <c r="FY23" s="298"/>
      <c r="FZ23" s="315"/>
      <c r="GA23" s="175"/>
      <c r="GB23" s="175"/>
      <c r="GC23" s="175"/>
      <c r="GD23" s="175"/>
      <c r="GE23" s="175"/>
      <c r="GF23" s="175"/>
      <c r="GG23" s="315"/>
      <c r="GH23" s="173" t="s">
        <v>629</v>
      </c>
      <c r="GI23" s="359" t="s">
        <v>623</v>
      </c>
      <c r="GJ23" s="381"/>
      <c r="GK23" s="382" t="s">
        <v>189</v>
      </c>
      <c r="GL23" s="383"/>
      <c r="GM23" s="363" t="s">
        <v>910</v>
      </c>
      <c r="GN23" s="364"/>
      <c r="GO23" s="365" t="s">
        <v>638</v>
      </c>
      <c r="GP23" s="366"/>
      <c r="GQ23" s="366"/>
      <c r="GR23" s="367"/>
      <c r="IH23" s="356"/>
      <c r="II23" s="297" t="s">
        <v>604</v>
      </c>
      <c r="IJ23" s="298"/>
      <c r="IK23" s="315"/>
      <c r="IL23" s="175"/>
      <c r="IM23" s="175"/>
      <c r="IN23" s="175"/>
      <c r="IO23" s="175"/>
      <c r="IP23" s="175"/>
      <c r="IQ23" s="175"/>
      <c r="IR23" s="315"/>
      <c r="IS23" s="173" t="s">
        <v>629</v>
      </c>
      <c r="IT23" s="393" t="s">
        <v>623</v>
      </c>
      <c r="IU23" s="394"/>
      <c r="IV23" s="382" t="s">
        <v>189</v>
      </c>
      <c r="IW23" s="383"/>
      <c r="IX23" s="363" t="s">
        <v>910</v>
      </c>
      <c r="IY23" s="364"/>
      <c r="IZ23" s="365" t="s">
        <v>638</v>
      </c>
      <c r="JA23" s="366"/>
      <c r="JB23" s="366"/>
      <c r="JC23" s="367"/>
      <c r="JZ23" s="8"/>
      <c r="LP23" s="356"/>
      <c r="LQ23" s="297" t="s">
        <v>604</v>
      </c>
      <c r="LR23" s="298"/>
      <c r="LS23" s="315"/>
      <c r="LT23" s="175"/>
      <c r="LU23" s="175"/>
      <c r="LV23" s="175"/>
      <c r="LW23" s="175"/>
      <c r="LX23" s="175"/>
      <c r="LY23" s="175"/>
      <c r="LZ23" s="315"/>
      <c r="MA23" s="173" t="s">
        <v>629</v>
      </c>
      <c r="MB23" s="359" t="s">
        <v>623</v>
      </c>
      <c r="MC23" s="381"/>
      <c r="MD23" s="382" t="s">
        <v>189</v>
      </c>
      <c r="ME23" s="383"/>
      <c r="MF23" s="363" t="s">
        <v>910</v>
      </c>
      <c r="MG23" s="364"/>
      <c r="MH23" s="365" t="s">
        <v>638</v>
      </c>
      <c r="MI23" s="366"/>
      <c r="MJ23" s="366"/>
      <c r="MK23" s="367"/>
      <c r="OZ23" s="356"/>
      <c r="PA23" s="297" t="s">
        <v>604</v>
      </c>
      <c r="PB23" s="298"/>
      <c r="PC23" s="315"/>
      <c r="PD23" s="175"/>
      <c r="PE23" s="175"/>
      <c r="PF23" s="175"/>
      <c r="PG23" s="175"/>
      <c r="PH23" s="175"/>
      <c r="PI23" s="175"/>
      <c r="PJ23" s="315"/>
      <c r="PK23" s="173" t="s">
        <v>629</v>
      </c>
      <c r="PL23" s="359" t="s">
        <v>623</v>
      </c>
      <c r="PM23" s="381"/>
      <c r="PN23" s="382" t="s">
        <v>189</v>
      </c>
      <c r="PO23" s="383"/>
      <c r="PP23" s="363" t="s">
        <v>910</v>
      </c>
      <c r="PQ23" s="364"/>
      <c r="PR23" s="365" t="s">
        <v>638</v>
      </c>
      <c r="PS23" s="366"/>
      <c r="PT23" s="366"/>
      <c r="PU23" s="367"/>
      <c r="RX23" s="356"/>
      <c r="RY23" s="297" t="s">
        <v>604</v>
      </c>
      <c r="RZ23" s="298"/>
      <c r="SA23" s="315"/>
      <c r="SB23" s="175"/>
      <c r="SC23" s="175"/>
      <c r="SD23" s="175"/>
      <c r="SE23" s="175"/>
      <c r="SF23" s="175"/>
      <c r="SG23" s="175"/>
      <c r="SH23" s="315"/>
      <c r="SI23" s="173" t="s">
        <v>629</v>
      </c>
      <c r="SJ23" s="359" t="s">
        <v>623</v>
      </c>
      <c r="SK23" s="381"/>
      <c r="SL23" s="382" t="s">
        <v>189</v>
      </c>
      <c r="SM23" s="383"/>
      <c r="SN23" s="363" t="s">
        <v>910</v>
      </c>
      <c r="SO23" s="364"/>
      <c r="SP23" s="365" t="s">
        <v>638</v>
      </c>
      <c r="SQ23" s="366"/>
      <c r="SR23" s="366"/>
      <c r="SS23" s="367"/>
      <c r="VL23" s="356"/>
      <c r="VM23" s="297" t="s">
        <v>604</v>
      </c>
      <c r="VN23" s="298"/>
      <c r="VO23" s="315"/>
      <c r="VP23" s="175"/>
      <c r="VQ23" s="175"/>
      <c r="VR23" s="175"/>
      <c r="VS23" s="175"/>
      <c r="VT23" s="175"/>
      <c r="VU23" s="175"/>
      <c r="VV23" s="315"/>
      <c r="VW23" s="173" t="s">
        <v>629</v>
      </c>
      <c r="VX23" s="393" t="s">
        <v>623</v>
      </c>
      <c r="VY23" s="394"/>
      <c r="VZ23" s="382" t="s">
        <v>189</v>
      </c>
      <c r="WA23" s="383"/>
      <c r="WB23" s="363" t="s">
        <v>910</v>
      </c>
      <c r="WC23" s="364"/>
      <c r="WD23" s="365" t="s">
        <v>638</v>
      </c>
      <c r="WE23" s="366"/>
      <c r="WF23" s="366"/>
      <c r="WG23" s="367"/>
      <c r="ZG23" s="356"/>
      <c r="ZH23" s="297" t="s">
        <v>604</v>
      </c>
      <c r="ZI23" s="298"/>
      <c r="ZJ23" s="315"/>
      <c r="ZK23" s="175"/>
      <c r="ZL23" s="175"/>
      <c r="ZM23" s="175"/>
      <c r="ZN23" s="175"/>
      <c r="ZO23" s="175"/>
      <c r="ZP23" s="175"/>
      <c r="ZQ23" s="315"/>
      <c r="ZR23" s="173" t="s">
        <v>629</v>
      </c>
      <c r="ZS23" s="359" t="s">
        <v>623</v>
      </c>
      <c r="ZT23" s="381"/>
      <c r="ZU23" s="382" t="s">
        <v>189</v>
      </c>
      <c r="ZV23" s="383"/>
      <c r="ZW23" s="363" t="s">
        <v>910</v>
      </c>
      <c r="ZX23" s="364"/>
      <c r="ZY23" s="365" t="s">
        <v>638</v>
      </c>
      <c r="ZZ23" s="366"/>
      <c r="AAA23" s="366"/>
      <c r="AAB23" s="367"/>
      <c r="ACF23" s="356"/>
      <c r="ACG23" s="297" t="s">
        <v>604</v>
      </c>
      <c r="ACH23" s="298"/>
      <c r="ACI23" s="315"/>
      <c r="ACJ23" s="175"/>
      <c r="ACK23" s="175"/>
      <c r="ACL23" s="175"/>
      <c r="ACM23" s="175"/>
      <c r="ACN23" s="175"/>
      <c r="ACO23" s="175"/>
      <c r="ACP23" s="315"/>
      <c r="ACQ23" s="173" t="s">
        <v>629</v>
      </c>
      <c r="ACR23" s="359" t="s">
        <v>623</v>
      </c>
      <c r="ACS23" s="381"/>
      <c r="ACT23" s="382" t="s">
        <v>189</v>
      </c>
      <c r="ACU23" s="383"/>
      <c r="ACV23" s="363" t="s">
        <v>910</v>
      </c>
      <c r="ACW23" s="364"/>
      <c r="ACX23" s="365" t="s">
        <v>638</v>
      </c>
      <c r="ACY23" s="366"/>
      <c r="ACZ23" s="366"/>
      <c r="ADA23" s="367"/>
    </row>
    <row r="24" spans="1:781" ht="48" customHeight="1" x14ac:dyDescent="0.3">
      <c r="A24" s="322"/>
      <c r="B24" s="322"/>
      <c r="C24" s="322"/>
      <c r="D24" s="322"/>
      <c r="E24" s="291"/>
      <c r="F24" s="291"/>
      <c r="G24" s="286"/>
      <c r="Z24" s="357"/>
      <c r="AA24" s="523" t="s">
        <v>546</v>
      </c>
      <c r="AB24" s="573"/>
      <c r="AC24" s="573"/>
      <c r="AD24" s="573"/>
      <c r="AE24" s="573"/>
      <c r="AF24" s="573"/>
      <c r="AG24" s="573"/>
      <c r="AH24" s="573"/>
      <c r="AI24" s="573"/>
      <c r="AJ24" s="573"/>
      <c r="AK24" s="573"/>
      <c r="AL24" s="573"/>
      <c r="AM24" s="574"/>
      <c r="AN24" s="590">
        <f>'Программные таблицы'!AK24</f>
        <v>180</v>
      </c>
      <c r="AO24" s="591"/>
      <c r="AP24" s="579" t="s">
        <v>53</v>
      </c>
      <c r="AQ24" s="580"/>
      <c r="AR24" s="379"/>
      <c r="AS24" s="416" t="s">
        <v>376</v>
      </c>
      <c r="AT24" s="417"/>
      <c r="AU24" s="379"/>
      <c r="BA24" s="286"/>
      <c r="BB24" s="286"/>
      <c r="BC24" s="286"/>
      <c r="BD24" s="286"/>
      <c r="BE24" s="286"/>
      <c r="BF24" s="286"/>
      <c r="BG24" s="286"/>
      <c r="BH24" s="286"/>
      <c r="BO24" s="357"/>
      <c r="BP24" s="523" t="s">
        <v>1006</v>
      </c>
      <c r="BQ24" s="515"/>
      <c r="BR24" s="515"/>
      <c r="BS24" s="515"/>
      <c r="BT24" s="515"/>
      <c r="BU24" s="515"/>
      <c r="BV24" s="515"/>
      <c r="BW24" s="515"/>
      <c r="BX24" s="515"/>
      <c r="BY24" s="515"/>
      <c r="BZ24" s="515"/>
      <c r="CA24" s="515"/>
      <c r="CB24" s="515"/>
      <c r="CC24" s="388">
        <f>(3.14*AN32)/CC16</f>
        <v>33.477306250000005</v>
      </c>
      <c r="CD24" s="371"/>
      <c r="CE24" s="536" t="s">
        <v>944</v>
      </c>
      <c r="CF24" s="537"/>
      <c r="CG24" s="386"/>
      <c r="CH24" s="375" t="s">
        <v>968</v>
      </c>
      <c r="CI24" s="376"/>
      <c r="CJ24" s="379"/>
      <c r="CK24" s="399"/>
      <c r="CL24" s="399"/>
      <c r="CM24" s="399"/>
      <c r="CN24" s="399"/>
      <c r="CW24" s="291"/>
      <c r="CX24" s="291"/>
      <c r="CY24" s="291"/>
      <c r="CZ24" s="291"/>
      <c r="DA24" s="291"/>
      <c r="DB24" s="291"/>
      <c r="DC24" s="291"/>
      <c r="DD24" s="291"/>
      <c r="DE24" s="291"/>
      <c r="DF24" s="291"/>
      <c r="DG24" s="291"/>
      <c r="DH24" s="291"/>
      <c r="DI24" s="291"/>
      <c r="DJ24" s="291"/>
      <c r="DK24" s="291"/>
      <c r="DL24" s="291"/>
      <c r="DM24" s="291"/>
      <c r="DN24" s="291"/>
      <c r="DO24" s="291"/>
      <c r="DQ24" s="357"/>
      <c r="DR24" s="384" t="s">
        <v>1028</v>
      </c>
      <c r="DS24" s="384"/>
      <c r="DT24" s="384"/>
      <c r="DU24" s="384"/>
      <c r="DV24" s="384"/>
      <c r="DW24" s="384"/>
      <c r="DX24" s="384"/>
      <c r="DY24" s="384"/>
      <c r="DZ24" s="384"/>
      <c r="EA24" s="384"/>
      <c r="EB24" s="384"/>
      <c r="EC24" s="384"/>
      <c r="ED24" s="391"/>
      <c r="EE24" s="478">
        <v>1.45</v>
      </c>
      <c r="EF24" s="479"/>
      <c r="EH24" s="300"/>
      <c r="EI24" s="386"/>
      <c r="EJ24" s="375" t="s">
        <v>604</v>
      </c>
      <c r="EK24" s="376"/>
      <c r="EL24" s="379"/>
      <c r="EM24" s="396"/>
      <c r="EN24" s="397"/>
      <c r="EO24" s="397"/>
      <c r="EP24" s="398"/>
      <c r="FW24" s="357"/>
      <c r="FX24" s="344" t="s">
        <v>66</v>
      </c>
      <c r="FY24" s="345"/>
      <c r="FZ24" s="345"/>
      <c r="GA24" s="345"/>
      <c r="GB24" s="345"/>
      <c r="GC24" s="345"/>
      <c r="GD24" s="345"/>
      <c r="GE24" s="345"/>
      <c r="GF24" s="345"/>
      <c r="GG24" s="345"/>
      <c r="GH24" s="345"/>
      <c r="GI24" s="345"/>
      <c r="GJ24" s="345"/>
      <c r="GK24" s="388">
        <v>38</v>
      </c>
      <c r="GL24" s="371"/>
      <c r="GM24" s="406"/>
      <c r="GN24" s="408"/>
      <c r="GO24" s="386"/>
      <c r="GP24" s="375" t="s">
        <v>604</v>
      </c>
      <c r="GQ24" s="376"/>
      <c r="GR24" s="379"/>
      <c r="IH24" s="357"/>
      <c r="II24" s="344" t="s">
        <v>87</v>
      </c>
      <c r="IJ24" s="345"/>
      <c r="IK24" s="345"/>
      <c r="IL24" s="345"/>
      <c r="IM24" s="345"/>
      <c r="IN24" s="345"/>
      <c r="IO24" s="345"/>
      <c r="IP24" s="345"/>
      <c r="IQ24" s="345"/>
      <c r="IR24" s="345"/>
      <c r="IS24" s="345"/>
      <c r="IT24" s="345"/>
      <c r="IU24" s="345"/>
      <c r="IV24" s="348">
        <f>((AN20-AN32)*1000/2)-EE52</f>
        <v>48.911436826311409</v>
      </c>
      <c r="IW24" s="349"/>
      <c r="IX24" s="352"/>
      <c r="IY24" s="353"/>
      <c r="IZ24" s="386"/>
      <c r="JA24" s="375" t="s">
        <v>604</v>
      </c>
      <c r="JB24" s="376"/>
      <c r="JC24" s="379"/>
      <c r="JZ24" s="8" t="s">
        <v>109</v>
      </c>
      <c r="LP24" s="357"/>
      <c r="LQ24" s="344" t="s">
        <v>120</v>
      </c>
      <c r="LR24" s="345"/>
      <c r="LS24" s="345"/>
      <c r="LT24" s="345"/>
      <c r="LU24" s="345"/>
      <c r="LV24" s="345"/>
      <c r="LW24" s="345"/>
      <c r="LX24" s="345"/>
      <c r="LY24" s="345"/>
      <c r="LZ24" s="345"/>
      <c r="MA24" s="345"/>
      <c r="MB24" s="345"/>
      <c r="MC24" s="345"/>
      <c r="MD24" s="348">
        <f>MD32*MD28+2*KX60*1000</f>
        <v>62.327165159229295</v>
      </c>
      <c r="ME24" s="349"/>
      <c r="MF24" s="390"/>
      <c r="MG24" s="371"/>
      <c r="MH24" s="386"/>
      <c r="MI24" s="375" t="s">
        <v>604</v>
      </c>
      <c r="MJ24" s="376"/>
      <c r="MK24" s="379"/>
      <c r="OZ24" s="357"/>
      <c r="PA24" s="384"/>
      <c r="PB24" s="384"/>
      <c r="PC24" s="384"/>
      <c r="PD24" s="384"/>
      <c r="PE24" s="384"/>
      <c r="PF24" s="384"/>
      <c r="PG24" s="384"/>
      <c r="PH24" s="384"/>
      <c r="PI24" s="384"/>
      <c r="PJ24" s="384"/>
      <c r="PK24" s="384"/>
      <c r="PL24" s="384"/>
      <c r="PM24" s="391"/>
      <c r="PN24" s="348"/>
      <c r="PO24" s="349"/>
      <c r="PP24" s="390"/>
      <c r="PQ24" s="371"/>
      <c r="PR24" s="386"/>
      <c r="PS24" s="375" t="s">
        <v>604</v>
      </c>
      <c r="PT24" s="376"/>
      <c r="PU24" s="379"/>
      <c r="RX24" s="357"/>
      <c r="RY24" s="344"/>
      <c r="RZ24" s="345"/>
      <c r="SA24" s="345"/>
      <c r="SB24" s="345"/>
      <c r="SC24" s="345"/>
      <c r="SD24" s="345"/>
      <c r="SE24" s="345"/>
      <c r="SF24" s="345"/>
      <c r="SG24" s="345"/>
      <c r="SH24" s="345"/>
      <c r="SI24" s="345"/>
      <c r="SJ24" s="345"/>
      <c r="SK24" s="345"/>
      <c r="SL24" s="348"/>
      <c r="SM24" s="349"/>
      <c r="SN24" s="390"/>
      <c r="SO24" s="371"/>
      <c r="SP24" s="386"/>
      <c r="SQ24" s="375" t="s">
        <v>604</v>
      </c>
      <c r="SR24" s="376"/>
      <c r="SS24" s="379"/>
      <c r="VL24" s="357"/>
      <c r="VM24" s="370"/>
      <c r="VN24" s="390"/>
      <c r="VO24" s="390"/>
      <c r="VP24" s="390"/>
      <c r="VQ24" s="390"/>
      <c r="VR24" s="390"/>
      <c r="VS24" s="390"/>
      <c r="VT24" s="390"/>
      <c r="VU24" s="390"/>
      <c r="VV24" s="390"/>
      <c r="VW24" s="390"/>
      <c r="VX24" s="390"/>
      <c r="VY24" s="395"/>
      <c r="VZ24" s="384"/>
      <c r="WA24" s="384"/>
      <c r="WB24" s="370"/>
      <c r="WC24" s="371"/>
      <c r="WD24" s="386"/>
      <c r="WE24" s="375" t="s">
        <v>604</v>
      </c>
      <c r="WF24" s="376"/>
      <c r="WG24" s="379"/>
      <c r="ZG24" s="357"/>
      <c r="ZH24" s="384"/>
      <c r="ZI24" s="384"/>
      <c r="ZJ24" s="384"/>
      <c r="ZK24" s="384"/>
      <c r="ZL24" s="384"/>
      <c r="ZM24" s="384"/>
      <c r="ZN24" s="384"/>
      <c r="ZO24" s="384"/>
      <c r="ZP24" s="384"/>
      <c r="ZQ24" s="384"/>
      <c r="ZR24" s="384"/>
      <c r="ZS24" s="384"/>
      <c r="ZT24" s="384"/>
      <c r="ZU24" s="348"/>
      <c r="ZV24" s="349"/>
      <c r="ZW24" s="370"/>
      <c r="ZX24" s="371"/>
      <c r="ZY24" s="386"/>
      <c r="ZZ24" s="375" t="s">
        <v>604</v>
      </c>
      <c r="AAA24" s="376"/>
      <c r="AAB24" s="379"/>
      <c r="ACF24" s="357"/>
      <c r="ACG24" s="384"/>
      <c r="ACH24" s="384"/>
      <c r="ACI24" s="384"/>
      <c r="ACJ24" s="384"/>
      <c r="ACK24" s="384"/>
      <c r="ACL24" s="384"/>
      <c r="ACM24" s="384"/>
      <c r="ACN24" s="384"/>
      <c r="ACO24" s="384"/>
      <c r="ACP24" s="384"/>
      <c r="ACQ24" s="384"/>
      <c r="ACR24" s="384"/>
      <c r="ACS24" s="384"/>
      <c r="ACT24" s="348"/>
      <c r="ACU24" s="349"/>
      <c r="ACV24" s="370"/>
      <c r="ACW24" s="371"/>
      <c r="ACX24" s="386"/>
      <c r="ACY24" s="375" t="s">
        <v>604</v>
      </c>
      <c r="ACZ24" s="376"/>
      <c r="ADA24" s="379"/>
    </row>
    <row r="25" spans="1:781" ht="48" customHeight="1" thickBot="1" x14ac:dyDescent="0.35">
      <c r="A25" s="322"/>
      <c r="B25" s="322"/>
      <c r="C25" s="322"/>
      <c r="D25" s="322"/>
      <c r="E25" s="291"/>
      <c r="F25" s="291"/>
      <c r="G25" s="286"/>
      <c r="Z25" s="358"/>
      <c r="AA25" s="575"/>
      <c r="AB25" s="544"/>
      <c r="AC25" s="544"/>
      <c r="AD25" s="544"/>
      <c r="AE25" s="544"/>
      <c r="AF25" s="544"/>
      <c r="AG25" s="544"/>
      <c r="AH25" s="544"/>
      <c r="AI25" s="544"/>
      <c r="AJ25" s="544"/>
      <c r="AK25" s="544"/>
      <c r="AL25" s="544"/>
      <c r="AM25" s="576"/>
      <c r="AN25" s="592"/>
      <c r="AO25" s="593"/>
      <c r="AP25" s="581"/>
      <c r="AQ25" s="582"/>
      <c r="AR25" s="380"/>
      <c r="AS25" s="418"/>
      <c r="AT25" s="419"/>
      <c r="AU25" s="380"/>
      <c r="BA25" s="286"/>
      <c r="BB25" s="286"/>
      <c r="BC25" s="286"/>
      <c r="BD25" s="286"/>
      <c r="BE25" s="286"/>
      <c r="BF25" s="286"/>
      <c r="BG25" s="286"/>
      <c r="BH25" s="286"/>
      <c r="BO25" s="358"/>
      <c r="BP25" s="517"/>
      <c r="BQ25" s="518"/>
      <c r="BR25" s="518"/>
      <c r="BS25" s="518"/>
      <c r="BT25" s="518"/>
      <c r="BU25" s="518"/>
      <c r="BV25" s="518"/>
      <c r="BW25" s="518"/>
      <c r="BX25" s="518"/>
      <c r="BY25" s="518"/>
      <c r="BZ25" s="518"/>
      <c r="CA25" s="518"/>
      <c r="CB25" s="518"/>
      <c r="CC25" s="389"/>
      <c r="CD25" s="372"/>
      <c r="CE25" s="538"/>
      <c r="CF25" s="539"/>
      <c r="CG25" s="387"/>
      <c r="CH25" s="377"/>
      <c r="CI25" s="378"/>
      <c r="CJ25" s="380"/>
      <c r="CK25" s="400"/>
      <c r="CL25" s="400"/>
      <c r="CM25" s="400"/>
      <c r="CN25" s="400"/>
      <c r="CW25" s="291"/>
      <c r="CX25" s="291"/>
      <c r="CY25" s="291"/>
      <c r="CZ25" s="291"/>
      <c r="DA25" s="291"/>
      <c r="DB25" s="291"/>
      <c r="DC25" s="291"/>
      <c r="DD25" s="291"/>
      <c r="DE25" s="291"/>
      <c r="DF25" s="291"/>
      <c r="DG25" s="291"/>
      <c r="DH25" s="291"/>
      <c r="DI25" s="291"/>
      <c r="DJ25" s="291"/>
      <c r="DK25" s="291"/>
      <c r="DL25" s="291"/>
      <c r="DM25" s="291"/>
      <c r="DN25" s="291"/>
      <c r="DO25" s="291"/>
      <c r="DQ25" s="358"/>
      <c r="DR25" s="385"/>
      <c r="DS25" s="385"/>
      <c r="DT25" s="385"/>
      <c r="DU25" s="385"/>
      <c r="DV25" s="385"/>
      <c r="DW25" s="385"/>
      <c r="DX25" s="385"/>
      <c r="DY25" s="385"/>
      <c r="DZ25" s="385"/>
      <c r="EA25" s="385"/>
      <c r="EB25" s="385"/>
      <c r="EC25" s="385"/>
      <c r="ED25" s="392"/>
      <c r="EE25" s="480"/>
      <c r="EF25" s="481"/>
      <c r="EG25" s="317"/>
      <c r="EH25" s="301"/>
      <c r="EI25" s="387"/>
      <c r="EJ25" s="377"/>
      <c r="EK25" s="378"/>
      <c r="EL25" s="380"/>
      <c r="EM25" s="341"/>
      <c r="EN25" s="342"/>
      <c r="EO25" s="342"/>
      <c r="EP25" s="343"/>
      <c r="FW25" s="358"/>
      <c r="FX25" s="346"/>
      <c r="FY25" s="347"/>
      <c r="FZ25" s="347"/>
      <c r="GA25" s="347"/>
      <c r="GB25" s="347"/>
      <c r="GC25" s="347"/>
      <c r="GD25" s="347"/>
      <c r="GE25" s="347"/>
      <c r="GF25" s="347"/>
      <c r="GG25" s="347"/>
      <c r="GH25" s="347"/>
      <c r="GI25" s="347"/>
      <c r="GJ25" s="347"/>
      <c r="GK25" s="389"/>
      <c r="GL25" s="372"/>
      <c r="GM25" s="409"/>
      <c r="GN25" s="411"/>
      <c r="GO25" s="387"/>
      <c r="GP25" s="377"/>
      <c r="GQ25" s="378"/>
      <c r="GR25" s="380"/>
      <c r="HI25" s="297" t="s">
        <v>604</v>
      </c>
      <c r="HJ25" s="298"/>
      <c r="HK25" s="330"/>
      <c r="HL25" s="175"/>
      <c r="HM25" s="175"/>
      <c r="HN25" s="175"/>
      <c r="HO25" s="175"/>
      <c r="HP25" s="175"/>
      <c r="HQ25" s="175"/>
      <c r="HR25" s="330"/>
      <c r="HS25" s="173" t="s">
        <v>629</v>
      </c>
      <c r="HT25" s="393" t="s">
        <v>623</v>
      </c>
      <c r="HU25" s="394"/>
      <c r="HV25" s="382" t="s">
        <v>189</v>
      </c>
      <c r="HW25" s="383"/>
      <c r="HX25" s="363" t="s">
        <v>910</v>
      </c>
      <c r="HY25" s="364"/>
      <c r="IH25" s="358"/>
      <c r="II25" s="346"/>
      <c r="IJ25" s="347"/>
      <c r="IK25" s="347"/>
      <c r="IL25" s="347"/>
      <c r="IM25" s="347"/>
      <c r="IN25" s="347"/>
      <c r="IO25" s="347"/>
      <c r="IP25" s="347"/>
      <c r="IQ25" s="347"/>
      <c r="IR25" s="347"/>
      <c r="IS25" s="347"/>
      <c r="IT25" s="347"/>
      <c r="IU25" s="347"/>
      <c r="IV25" s="350"/>
      <c r="IW25" s="351"/>
      <c r="IX25" s="354"/>
      <c r="IY25" s="355"/>
      <c r="IZ25" s="387"/>
      <c r="JA25" s="377"/>
      <c r="JB25" s="378"/>
      <c r="JC25" s="380"/>
      <c r="LP25" s="358"/>
      <c r="LQ25" s="346"/>
      <c r="LR25" s="347"/>
      <c r="LS25" s="347"/>
      <c r="LT25" s="347"/>
      <c r="LU25" s="347"/>
      <c r="LV25" s="347"/>
      <c r="LW25" s="347"/>
      <c r="LX25" s="347"/>
      <c r="LY25" s="347"/>
      <c r="LZ25" s="347"/>
      <c r="MA25" s="347"/>
      <c r="MB25" s="347"/>
      <c r="MC25" s="347"/>
      <c r="MD25" s="350"/>
      <c r="ME25" s="351"/>
      <c r="MF25" s="347"/>
      <c r="MG25" s="372"/>
      <c r="MH25" s="387"/>
      <c r="MI25" s="377"/>
      <c r="MJ25" s="378"/>
      <c r="MK25" s="380"/>
      <c r="OZ25" s="358"/>
      <c r="PA25" s="385"/>
      <c r="PB25" s="385"/>
      <c r="PC25" s="385"/>
      <c r="PD25" s="385"/>
      <c r="PE25" s="385"/>
      <c r="PF25" s="385"/>
      <c r="PG25" s="385"/>
      <c r="PH25" s="385"/>
      <c r="PI25" s="385"/>
      <c r="PJ25" s="385"/>
      <c r="PK25" s="385"/>
      <c r="PL25" s="385"/>
      <c r="PM25" s="392"/>
      <c r="PN25" s="350"/>
      <c r="PO25" s="351"/>
      <c r="PP25" s="347"/>
      <c r="PQ25" s="372"/>
      <c r="PR25" s="387"/>
      <c r="PS25" s="377"/>
      <c r="PT25" s="378"/>
      <c r="PU25" s="380"/>
      <c r="RX25" s="358"/>
      <c r="RY25" s="346"/>
      <c r="RZ25" s="347"/>
      <c r="SA25" s="347"/>
      <c r="SB25" s="347"/>
      <c r="SC25" s="347"/>
      <c r="SD25" s="347"/>
      <c r="SE25" s="347"/>
      <c r="SF25" s="347"/>
      <c r="SG25" s="347"/>
      <c r="SH25" s="347"/>
      <c r="SI25" s="347"/>
      <c r="SJ25" s="347"/>
      <c r="SK25" s="347"/>
      <c r="SL25" s="350"/>
      <c r="SM25" s="351"/>
      <c r="SN25" s="347"/>
      <c r="SO25" s="372"/>
      <c r="SP25" s="387"/>
      <c r="SQ25" s="377"/>
      <c r="SR25" s="378"/>
      <c r="SS25" s="380"/>
      <c r="VL25" s="358"/>
      <c r="VM25" s="346"/>
      <c r="VN25" s="347"/>
      <c r="VO25" s="347"/>
      <c r="VP25" s="347"/>
      <c r="VQ25" s="347"/>
      <c r="VR25" s="347"/>
      <c r="VS25" s="347"/>
      <c r="VT25" s="347"/>
      <c r="VU25" s="347"/>
      <c r="VV25" s="347"/>
      <c r="VW25" s="347"/>
      <c r="VX25" s="347"/>
      <c r="VY25" s="369"/>
      <c r="VZ25" s="385"/>
      <c r="WA25" s="385"/>
      <c r="WB25" s="346"/>
      <c r="WC25" s="372"/>
      <c r="WD25" s="387"/>
      <c r="WE25" s="377"/>
      <c r="WF25" s="378"/>
      <c r="WG25" s="380"/>
      <c r="ZG25" s="358"/>
      <c r="ZH25" s="385"/>
      <c r="ZI25" s="385"/>
      <c r="ZJ25" s="385"/>
      <c r="ZK25" s="385"/>
      <c r="ZL25" s="385"/>
      <c r="ZM25" s="385"/>
      <c r="ZN25" s="385"/>
      <c r="ZO25" s="385"/>
      <c r="ZP25" s="385"/>
      <c r="ZQ25" s="385"/>
      <c r="ZR25" s="385"/>
      <c r="ZS25" s="385"/>
      <c r="ZT25" s="385"/>
      <c r="ZU25" s="350"/>
      <c r="ZV25" s="351"/>
      <c r="ZW25" s="346"/>
      <c r="ZX25" s="372"/>
      <c r="ZY25" s="387"/>
      <c r="ZZ25" s="377"/>
      <c r="AAA25" s="378"/>
      <c r="AAB25" s="380"/>
      <c r="ACF25" s="358"/>
      <c r="ACG25" s="385"/>
      <c r="ACH25" s="385"/>
      <c r="ACI25" s="385"/>
      <c r="ACJ25" s="385"/>
      <c r="ACK25" s="385"/>
      <c r="ACL25" s="385"/>
      <c r="ACM25" s="385"/>
      <c r="ACN25" s="385"/>
      <c r="ACO25" s="385"/>
      <c r="ACP25" s="385"/>
      <c r="ACQ25" s="385"/>
      <c r="ACR25" s="385"/>
      <c r="ACS25" s="385"/>
      <c r="ACT25" s="350"/>
      <c r="ACU25" s="351"/>
      <c r="ACV25" s="346"/>
      <c r="ACW25" s="372"/>
      <c r="ACX25" s="387"/>
      <c r="ACY25" s="377"/>
      <c r="ACZ25" s="378"/>
      <c r="ADA25" s="380"/>
    </row>
    <row r="26" spans="1:781" ht="48" customHeight="1" x14ac:dyDescent="0.3">
      <c r="A26" s="286"/>
      <c r="B26" s="286"/>
      <c r="C26" s="291"/>
      <c r="D26" s="291"/>
      <c r="E26" s="291"/>
      <c r="F26" s="291"/>
      <c r="G26" s="286"/>
      <c r="BA26" s="286"/>
      <c r="BB26" s="286"/>
      <c r="BC26" s="286"/>
      <c r="BD26" s="286"/>
      <c r="BE26" s="286"/>
      <c r="BF26" s="286"/>
      <c r="BG26" s="286"/>
      <c r="BH26" s="286"/>
      <c r="CW26" s="291"/>
      <c r="CX26" s="291"/>
      <c r="CY26" s="291"/>
      <c r="CZ26" s="291"/>
      <c r="DA26" s="291"/>
      <c r="DB26" s="291"/>
      <c r="DC26" s="291"/>
      <c r="DD26" s="291"/>
      <c r="DE26" s="291"/>
      <c r="DF26" s="291"/>
      <c r="DG26" s="291"/>
      <c r="DH26" s="291"/>
      <c r="DI26" s="291"/>
      <c r="DJ26" s="291"/>
      <c r="DK26" s="291"/>
      <c r="DL26" s="291"/>
      <c r="DM26" s="291"/>
      <c r="DN26" s="291"/>
      <c r="DO26" s="291"/>
      <c r="HI26" s="344" t="s">
        <v>1080</v>
      </c>
      <c r="HJ26" s="345"/>
      <c r="HK26" s="345"/>
      <c r="HL26" s="345"/>
      <c r="HM26" s="345"/>
      <c r="HN26" s="345"/>
      <c r="HO26" s="345"/>
      <c r="HP26" s="345"/>
      <c r="HQ26" s="345"/>
      <c r="HR26" s="345"/>
      <c r="HS26" s="345"/>
      <c r="HT26" s="345"/>
      <c r="HU26" s="368"/>
      <c r="HV26" s="384"/>
      <c r="HW26" s="384"/>
      <c r="HX26" s="370"/>
      <c r="HY26" s="371"/>
      <c r="JZ26" s="8"/>
    </row>
    <row r="27" spans="1:781" ht="48" customHeight="1" thickBot="1" x14ac:dyDescent="0.35">
      <c r="A27" s="286"/>
      <c r="B27" s="286"/>
      <c r="C27" s="291"/>
      <c r="D27" s="291"/>
      <c r="E27" s="291"/>
      <c r="F27" s="291"/>
      <c r="G27" s="286"/>
      <c r="Z27" s="448" t="s">
        <v>957</v>
      </c>
      <c r="AA27" s="449"/>
      <c r="AB27" s="450"/>
      <c r="AC27" s="356"/>
      <c r="AD27" s="583">
        <v>2.2000000000000002</v>
      </c>
      <c r="AE27" s="583"/>
      <c r="AF27" s="268"/>
      <c r="AG27" s="175"/>
      <c r="AH27" s="175"/>
      <c r="AI27" s="175"/>
      <c r="AJ27" s="175"/>
      <c r="AK27" s="175"/>
      <c r="AL27" s="172" t="s">
        <v>643</v>
      </c>
      <c r="AM27" s="268"/>
      <c r="AN27" s="173" t="s">
        <v>629</v>
      </c>
      <c r="AO27" s="570" t="s">
        <v>623</v>
      </c>
      <c r="AP27" s="571"/>
      <c r="AQ27" s="361" t="s">
        <v>189</v>
      </c>
      <c r="AR27" s="362"/>
      <c r="AS27" s="363" t="s">
        <v>910</v>
      </c>
      <c r="AT27" s="364"/>
      <c r="AU27" s="365" t="s">
        <v>638</v>
      </c>
      <c r="AV27" s="366"/>
      <c r="AW27" s="366"/>
      <c r="AX27" s="367"/>
      <c r="AY27" s="277"/>
      <c r="BA27" s="286"/>
      <c r="BB27" s="286"/>
      <c r="BC27" s="286"/>
      <c r="BD27" s="286"/>
      <c r="BE27" s="286"/>
      <c r="BF27" s="286"/>
      <c r="BG27" s="286"/>
      <c r="BH27" s="286"/>
      <c r="BO27" s="356"/>
      <c r="BP27" s="572" t="s">
        <v>24</v>
      </c>
      <c r="BQ27" s="572"/>
      <c r="BR27" s="281"/>
      <c r="BS27" s="175"/>
      <c r="BT27" s="175"/>
      <c r="BU27" s="175"/>
      <c r="BV27" s="175"/>
      <c r="BW27" s="175"/>
      <c r="BX27" s="175"/>
      <c r="BY27" s="281"/>
      <c r="BZ27" s="173" t="s">
        <v>629</v>
      </c>
      <c r="CA27" s="359" t="s">
        <v>623</v>
      </c>
      <c r="CB27" s="381"/>
      <c r="CC27" s="382" t="s">
        <v>189</v>
      </c>
      <c r="CD27" s="383"/>
      <c r="CE27" s="363" t="s">
        <v>910</v>
      </c>
      <c r="CF27" s="364"/>
      <c r="CG27" s="365" t="s">
        <v>638</v>
      </c>
      <c r="CH27" s="366"/>
      <c r="CI27" s="366"/>
      <c r="CJ27" s="367"/>
      <c r="CW27" s="291"/>
      <c r="CX27" s="291"/>
      <c r="CY27" s="291"/>
      <c r="CZ27" s="291"/>
      <c r="DA27" s="291"/>
      <c r="DB27" s="291"/>
      <c r="DC27" s="291"/>
      <c r="DD27" s="291"/>
      <c r="DE27" s="291"/>
      <c r="DF27" s="291"/>
      <c r="DG27" s="291"/>
      <c r="DH27" s="291"/>
      <c r="DI27" s="291"/>
      <c r="DJ27" s="291"/>
      <c r="DK27" s="291"/>
      <c r="DL27" s="291"/>
      <c r="DM27" s="291"/>
      <c r="DN27" s="291"/>
      <c r="DO27" s="291"/>
      <c r="DP27" s="291"/>
      <c r="DQ27" s="356"/>
      <c r="DR27" s="297" t="s">
        <v>604</v>
      </c>
      <c r="DS27" s="298"/>
      <c r="DT27" s="315"/>
      <c r="DU27" s="175"/>
      <c r="DV27" s="175"/>
      <c r="DW27" s="175"/>
      <c r="DX27" s="175"/>
      <c r="DY27" s="175"/>
      <c r="DZ27" s="175"/>
      <c r="EA27" s="315"/>
      <c r="EB27" s="173" t="s">
        <v>629</v>
      </c>
      <c r="EC27" s="359" t="s">
        <v>623</v>
      </c>
      <c r="ED27" s="381"/>
      <c r="EE27" s="382" t="s">
        <v>189</v>
      </c>
      <c r="EF27" s="383"/>
      <c r="EG27" s="363" t="s">
        <v>910</v>
      </c>
      <c r="EH27" s="364"/>
      <c r="EI27" s="365" t="s">
        <v>638</v>
      </c>
      <c r="EJ27" s="366"/>
      <c r="EK27" s="366"/>
      <c r="EL27" s="367"/>
      <c r="FW27" s="356"/>
      <c r="FX27" s="297" t="s">
        <v>604</v>
      </c>
      <c r="FY27" s="298"/>
      <c r="FZ27" s="315"/>
      <c r="GA27" s="175"/>
      <c r="GB27" s="175"/>
      <c r="GC27" s="175"/>
      <c r="GD27" s="175"/>
      <c r="GE27" s="175"/>
      <c r="GF27" s="175"/>
      <c r="GG27" s="315"/>
      <c r="GH27" s="173" t="s">
        <v>629</v>
      </c>
      <c r="GI27" s="359" t="s">
        <v>623</v>
      </c>
      <c r="GJ27" s="381"/>
      <c r="GK27" s="382" t="s">
        <v>189</v>
      </c>
      <c r="GL27" s="383"/>
      <c r="GM27" s="363" t="s">
        <v>910</v>
      </c>
      <c r="GN27" s="364"/>
      <c r="GO27" s="365" t="s">
        <v>638</v>
      </c>
      <c r="GP27" s="366"/>
      <c r="GQ27" s="366"/>
      <c r="GR27" s="367"/>
      <c r="GS27" s="365" t="s">
        <v>624</v>
      </c>
      <c r="GT27" s="366"/>
      <c r="GU27" s="366"/>
      <c r="GV27" s="367"/>
      <c r="HI27" s="346"/>
      <c r="HJ27" s="347"/>
      <c r="HK27" s="347"/>
      <c r="HL27" s="347"/>
      <c r="HM27" s="347"/>
      <c r="HN27" s="347"/>
      <c r="HO27" s="347"/>
      <c r="HP27" s="347"/>
      <c r="HQ27" s="347"/>
      <c r="HR27" s="347"/>
      <c r="HS27" s="347"/>
      <c r="HT27" s="347"/>
      <c r="HU27" s="369"/>
      <c r="HV27" s="385"/>
      <c r="HW27" s="385"/>
      <c r="HX27" s="346"/>
      <c r="HY27" s="372"/>
      <c r="IH27" s="356"/>
      <c r="II27" s="297" t="s">
        <v>604</v>
      </c>
      <c r="IJ27" s="298"/>
      <c r="IK27" s="315"/>
      <c r="IL27" s="175"/>
      <c r="IM27" s="175"/>
      <c r="IN27" s="175"/>
      <c r="IO27" s="175"/>
      <c r="IP27" s="175"/>
      <c r="IQ27" s="175"/>
      <c r="IR27" s="315"/>
      <c r="IS27" s="173" t="s">
        <v>629</v>
      </c>
      <c r="IT27" s="393" t="s">
        <v>623</v>
      </c>
      <c r="IU27" s="394"/>
      <c r="IV27" s="382" t="s">
        <v>189</v>
      </c>
      <c r="IW27" s="383"/>
      <c r="IX27" s="363" t="s">
        <v>910</v>
      </c>
      <c r="IY27" s="364"/>
      <c r="IZ27" s="365" t="s">
        <v>638</v>
      </c>
      <c r="JA27" s="366"/>
      <c r="JB27" s="366"/>
      <c r="JC27" s="367"/>
      <c r="LP27" s="356"/>
      <c r="LQ27" s="297" t="s">
        <v>604</v>
      </c>
      <c r="LR27" s="298"/>
      <c r="LS27" s="315"/>
      <c r="LT27" s="175"/>
      <c r="LU27" s="175"/>
      <c r="LV27" s="175"/>
      <c r="LW27" s="175"/>
      <c r="LX27" s="175"/>
      <c r="LY27" s="175"/>
      <c r="LZ27" s="315"/>
      <c r="MA27" s="173" t="s">
        <v>629</v>
      </c>
      <c r="MB27" s="359" t="s">
        <v>623</v>
      </c>
      <c r="MC27" s="381"/>
      <c r="MD27" s="382" t="s">
        <v>189</v>
      </c>
      <c r="ME27" s="383"/>
      <c r="MF27" s="363" t="s">
        <v>910</v>
      </c>
      <c r="MG27" s="364"/>
      <c r="MH27" s="365" t="s">
        <v>638</v>
      </c>
      <c r="MI27" s="366"/>
      <c r="MJ27" s="366"/>
      <c r="MK27" s="367"/>
      <c r="OZ27" s="356"/>
      <c r="PA27" s="297" t="s">
        <v>604</v>
      </c>
      <c r="PB27" s="298"/>
      <c r="PC27" s="315"/>
      <c r="PD27" s="175"/>
      <c r="PE27" s="175"/>
      <c r="PF27" s="175"/>
      <c r="PG27" s="175"/>
      <c r="PH27" s="175"/>
      <c r="PI27" s="175"/>
      <c r="PJ27" s="315"/>
      <c r="PK27" s="173" t="s">
        <v>629</v>
      </c>
      <c r="PL27" s="359" t="s">
        <v>623</v>
      </c>
      <c r="PM27" s="381"/>
      <c r="PN27" s="382" t="s">
        <v>189</v>
      </c>
      <c r="PO27" s="383"/>
      <c r="PP27" s="363" t="s">
        <v>910</v>
      </c>
      <c r="PQ27" s="364"/>
      <c r="PR27" s="365" t="s">
        <v>638</v>
      </c>
      <c r="PS27" s="366"/>
      <c r="PT27" s="366"/>
      <c r="PU27" s="367"/>
      <c r="RX27" s="356"/>
      <c r="RY27" s="297" t="s">
        <v>604</v>
      </c>
      <c r="RZ27" s="298"/>
      <c r="SA27" s="315"/>
      <c r="SB27" s="175"/>
      <c r="SC27" s="175"/>
      <c r="SD27" s="175"/>
      <c r="SE27" s="175"/>
      <c r="SF27" s="175"/>
      <c r="SG27" s="175"/>
      <c r="SH27" s="315"/>
      <c r="SI27" s="173" t="s">
        <v>629</v>
      </c>
      <c r="SJ27" s="359" t="s">
        <v>623</v>
      </c>
      <c r="SK27" s="381"/>
      <c r="SL27" s="382" t="s">
        <v>189</v>
      </c>
      <c r="SM27" s="383"/>
      <c r="SN27" s="363" t="s">
        <v>910</v>
      </c>
      <c r="SO27" s="364"/>
      <c r="SP27" s="365" t="s">
        <v>638</v>
      </c>
      <c r="SQ27" s="366"/>
      <c r="SR27" s="366"/>
      <c r="SS27" s="367"/>
      <c r="VL27" s="356"/>
      <c r="VM27" s="297" t="s">
        <v>604</v>
      </c>
      <c r="VN27" s="298"/>
      <c r="VO27" s="315"/>
      <c r="VP27" s="175"/>
      <c r="VQ27" s="175"/>
      <c r="VR27" s="175"/>
      <c r="VS27" s="175"/>
      <c r="VT27" s="175"/>
      <c r="VU27" s="175"/>
      <c r="VV27" s="315"/>
      <c r="VW27" s="173" t="s">
        <v>629</v>
      </c>
      <c r="VX27" s="393" t="s">
        <v>623</v>
      </c>
      <c r="VY27" s="394"/>
      <c r="VZ27" s="382" t="s">
        <v>189</v>
      </c>
      <c r="WA27" s="383"/>
      <c r="WB27" s="363" t="s">
        <v>910</v>
      </c>
      <c r="WC27" s="364"/>
      <c r="WD27" s="365" t="s">
        <v>638</v>
      </c>
      <c r="WE27" s="366"/>
      <c r="WF27" s="366"/>
      <c r="WG27" s="367"/>
      <c r="ZG27" s="356"/>
      <c r="ZH27" s="297" t="s">
        <v>604</v>
      </c>
      <c r="ZI27" s="298"/>
      <c r="ZJ27" s="315"/>
      <c r="ZK27" s="175"/>
      <c r="ZL27" s="175"/>
      <c r="ZM27" s="175"/>
      <c r="ZN27" s="175"/>
      <c r="ZO27" s="175"/>
      <c r="ZP27" s="175"/>
      <c r="ZQ27" s="315"/>
      <c r="ZR27" s="173" t="s">
        <v>629</v>
      </c>
      <c r="ZS27" s="359" t="s">
        <v>623</v>
      </c>
      <c r="ZT27" s="381"/>
      <c r="ZU27" s="382" t="s">
        <v>189</v>
      </c>
      <c r="ZV27" s="383"/>
      <c r="ZW27" s="363" t="s">
        <v>910</v>
      </c>
      <c r="ZX27" s="364"/>
      <c r="ZY27" s="365" t="s">
        <v>638</v>
      </c>
      <c r="ZZ27" s="366"/>
      <c r="AAA27" s="366"/>
      <c r="AAB27" s="367"/>
      <c r="ACF27" s="356"/>
      <c r="ACG27" s="297" t="s">
        <v>604</v>
      </c>
      <c r="ACH27" s="298"/>
      <c r="ACI27" s="315"/>
      <c r="ACJ27" s="175"/>
      <c r="ACK27" s="175"/>
      <c r="ACL27" s="175"/>
      <c r="ACM27" s="175"/>
      <c r="ACN27" s="175"/>
      <c r="ACO27" s="175"/>
      <c r="ACP27" s="315"/>
      <c r="ACQ27" s="173" t="s">
        <v>629</v>
      </c>
      <c r="ACR27" s="359" t="s">
        <v>623</v>
      </c>
      <c r="ACS27" s="381"/>
      <c r="ACT27" s="382" t="s">
        <v>189</v>
      </c>
      <c r="ACU27" s="383"/>
      <c r="ACV27" s="363" t="s">
        <v>910</v>
      </c>
      <c r="ACW27" s="364"/>
      <c r="ACX27" s="365" t="s">
        <v>638</v>
      </c>
      <c r="ACY27" s="366"/>
      <c r="ACZ27" s="366"/>
      <c r="ADA27" s="367"/>
    </row>
    <row r="28" spans="1:781" ht="48" customHeight="1" x14ac:dyDescent="0.3">
      <c r="A28" s="5"/>
      <c r="C28" s="12"/>
      <c r="Z28" s="451"/>
      <c r="AA28" s="452"/>
      <c r="AB28" s="453"/>
      <c r="AC28" s="357"/>
      <c r="AD28" s="523" t="s">
        <v>15</v>
      </c>
      <c r="AE28" s="573"/>
      <c r="AF28" s="573"/>
      <c r="AG28" s="573"/>
      <c r="AH28" s="573"/>
      <c r="AI28" s="573"/>
      <c r="AJ28" s="573"/>
      <c r="AK28" s="573"/>
      <c r="AL28" s="573"/>
      <c r="AM28" s="573"/>
      <c r="AN28" s="573"/>
      <c r="AO28" s="573"/>
      <c r="AP28" s="574"/>
      <c r="AQ28" s="540">
        <v>0.54500000000000004</v>
      </c>
      <c r="AR28" s="542"/>
      <c r="AS28" s="420" t="s">
        <v>915</v>
      </c>
      <c r="AT28" s="421"/>
      <c r="AU28" s="379"/>
      <c r="AV28" s="416" t="s">
        <v>641</v>
      </c>
      <c r="AW28" s="417"/>
      <c r="AX28" s="379"/>
      <c r="BA28" s="286"/>
      <c r="BB28" s="286"/>
      <c r="BC28" s="286"/>
      <c r="BD28" s="286"/>
      <c r="BE28" s="286"/>
      <c r="BF28" s="286"/>
      <c r="BG28" s="286"/>
      <c r="BH28" s="286"/>
      <c r="BO28" s="357"/>
      <c r="BP28" s="523" t="s">
        <v>951</v>
      </c>
      <c r="BQ28" s="515"/>
      <c r="BR28" s="515"/>
      <c r="BS28" s="515"/>
      <c r="BT28" s="515"/>
      <c r="BU28" s="515"/>
      <c r="BV28" s="515"/>
      <c r="BW28" s="515"/>
      <c r="BX28" s="515"/>
      <c r="BY28" s="515"/>
      <c r="BZ28" s="515"/>
      <c r="CA28" s="515"/>
      <c r="CB28" s="515"/>
      <c r="CC28" s="502">
        <v>42</v>
      </c>
      <c r="CD28" s="504"/>
      <c r="CE28" s="536" t="s">
        <v>940</v>
      </c>
      <c r="CF28" s="537"/>
      <c r="CG28" s="386"/>
      <c r="CH28" s="631" t="s">
        <v>954</v>
      </c>
      <c r="CI28" s="632"/>
      <c r="CJ28" s="379"/>
      <c r="CW28" s="291"/>
      <c r="CX28" s="291"/>
      <c r="CY28" s="291"/>
      <c r="CZ28" s="291"/>
      <c r="DA28" s="291"/>
      <c r="DB28" s="291"/>
      <c r="DC28" s="291"/>
      <c r="DD28" s="291"/>
      <c r="DE28" s="291"/>
      <c r="DF28" s="291"/>
      <c r="DG28" s="291"/>
      <c r="DH28" s="291"/>
      <c r="DI28" s="291"/>
      <c r="DJ28" s="291"/>
      <c r="DK28" s="291"/>
      <c r="DL28" s="291"/>
      <c r="DM28" s="291"/>
      <c r="DN28" s="291"/>
      <c r="DO28" s="291"/>
      <c r="DP28" s="291"/>
      <c r="DQ28" s="357"/>
      <c r="DR28" s="384" t="s">
        <v>1027</v>
      </c>
      <c r="DS28" s="384"/>
      <c r="DT28" s="384"/>
      <c r="DU28" s="384"/>
      <c r="DV28" s="384"/>
      <c r="DW28" s="384"/>
      <c r="DX28" s="384"/>
      <c r="DY28" s="384"/>
      <c r="DZ28" s="384"/>
      <c r="EA28" s="384"/>
      <c r="EB28" s="384"/>
      <c r="EC28" s="384"/>
      <c r="ED28" s="391"/>
      <c r="EE28" s="482">
        <f>((AQ56*CC40)/(EH20*EE36))*1000</f>
        <v>5.0514809833863019</v>
      </c>
      <c r="EF28" s="483"/>
      <c r="EG28" s="420" t="s">
        <v>53</v>
      </c>
      <c r="EH28" s="421"/>
      <c r="EI28" s="386"/>
      <c r="EJ28" s="375" t="s">
        <v>604</v>
      </c>
      <c r="EK28" s="376"/>
      <c r="EL28" s="379"/>
      <c r="FW28" s="357"/>
      <c r="FX28" s="344" t="s">
        <v>75</v>
      </c>
      <c r="FY28" s="345"/>
      <c r="FZ28" s="345"/>
      <c r="GA28" s="345"/>
      <c r="GB28" s="345"/>
      <c r="GC28" s="345"/>
      <c r="GD28" s="345"/>
      <c r="GE28" s="345"/>
      <c r="GF28" s="345"/>
      <c r="GG28" s="345"/>
      <c r="GH28" s="345"/>
      <c r="GI28" s="345"/>
      <c r="GJ28" s="345"/>
      <c r="GK28" s="388">
        <f>(GK16*1000-2*GK12)/1000</f>
        <v>0.16928499999999999</v>
      </c>
      <c r="GL28" s="371"/>
      <c r="GM28" s="406" t="s">
        <v>19</v>
      </c>
      <c r="GN28" s="408"/>
      <c r="GO28" s="386"/>
      <c r="GP28" s="375" t="s">
        <v>604</v>
      </c>
      <c r="GQ28" s="376"/>
      <c r="GR28" s="379"/>
      <c r="GS28" s="156"/>
      <c r="GT28" s="152"/>
      <c r="GU28" s="152"/>
      <c r="GV28" s="153"/>
      <c r="IH28" s="357"/>
      <c r="II28" s="344" t="s">
        <v>88</v>
      </c>
      <c r="IJ28" s="345"/>
      <c r="IK28" s="345"/>
      <c r="IL28" s="345"/>
      <c r="IM28" s="345"/>
      <c r="IN28" s="345"/>
      <c r="IO28" s="345"/>
      <c r="IP28" s="345"/>
      <c r="IQ28" s="345"/>
      <c r="IR28" s="345"/>
      <c r="IS28" s="345"/>
      <c r="IT28" s="345"/>
      <c r="IU28" s="345"/>
      <c r="IV28" s="348">
        <f>CC84*1000/(2*EE32*AN77*EE36)</f>
        <v>1.4999999999999998</v>
      </c>
      <c r="IW28" s="349"/>
      <c r="IX28" s="352"/>
      <c r="IY28" s="353"/>
      <c r="IZ28" s="386"/>
      <c r="JA28" s="375" t="s">
        <v>604</v>
      </c>
      <c r="JB28" s="376"/>
      <c r="JC28" s="379"/>
      <c r="JZ28" s="8"/>
      <c r="LP28" s="357"/>
      <c r="LQ28" s="344" t="s">
        <v>121</v>
      </c>
      <c r="LR28" s="345"/>
      <c r="LS28" s="345"/>
      <c r="LT28" s="345"/>
      <c r="LU28" s="345"/>
      <c r="LV28" s="345"/>
      <c r="LW28" s="345"/>
      <c r="LX28" s="345"/>
      <c r="LY28" s="345"/>
      <c r="LZ28" s="345"/>
      <c r="MA28" s="345"/>
      <c r="MB28" s="345"/>
      <c r="MC28" s="345"/>
      <c r="MD28" s="348">
        <f>((3.14*(AN32+EE52))/AN16)</f>
        <v>35.27263763269108</v>
      </c>
      <c r="ME28" s="349"/>
      <c r="MF28" s="390"/>
      <c r="MG28" s="371"/>
      <c r="MH28" s="386"/>
      <c r="MI28" s="375" t="s">
        <v>604</v>
      </c>
      <c r="MJ28" s="376"/>
      <c r="MK28" s="379"/>
      <c r="OZ28" s="357"/>
      <c r="PA28" s="384"/>
      <c r="PB28" s="384"/>
      <c r="PC28" s="384"/>
      <c r="PD28" s="384"/>
      <c r="PE28" s="384"/>
      <c r="PF28" s="384"/>
      <c r="PG28" s="384"/>
      <c r="PH28" s="384"/>
      <c r="PI28" s="384"/>
      <c r="PJ28" s="384"/>
      <c r="PK28" s="384"/>
      <c r="PL28" s="384"/>
      <c r="PM28" s="391"/>
      <c r="PN28" s="348"/>
      <c r="PO28" s="349"/>
      <c r="PP28" s="390"/>
      <c r="PQ28" s="371"/>
      <c r="PR28" s="386"/>
      <c r="PS28" s="375" t="s">
        <v>604</v>
      </c>
      <c r="PT28" s="376"/>
      <c r="PU28" s="379"/>
      <c r="RX28" s="357"/>
      <c r="RY28" s="344"/>
      <c r="RZ28" s="345"/>
      <c r="SA28" s="345"/>
      <c r="SB28" s="345"/>
      <c r="SC28" s="345"/>
      <c r="SD28" s="345"/>
      <c r="SE28" s="345"/>
      <c r="SF28" s="345"/>
      <c r="SG28" s="345"/>
      <c r="SH28" s="345"/>
      <c r="SI28" s="345"/>
      <c r="SJ28" s="345"/>
      <c r="SK28" s="345"/>
      <c r="SL28" s="348"/>
      <c r="SM28" s="349"/>
      <c r="SN28" s="390"/>
      <c r="SO28" s="371"/>
      <c r="SP28" s="386"/>
      <c r="SQ28" s="375" t="s">
        <v>604</v>
      </c>
      <c r="SR28" s="376"/>
      <c r="SS28" s="379"/>
      <c r="VL28" s="357"/>
      <c r="VM28" s="370"/>
      <c r="VN28" s="390"/>
      <c r="VO28" s="390"/>
      <c r="VP28" s="390"/>
      <c r="VQ28" s="390"/>
      <c r="VR28" s="390"/>
      <c r="VS28" s="390"/>
      <c r="VT28" s="390"/>
      <c r="VU28" s="390"/>
      <c r="VV28" s="390"/>
      <c r="VW28" s="390"/>
      <c r="VX28" s="390"/>
      <c r="VY28" s="395"/>
      <c r="VZ28" s="384"/>
      <c r="WA28" s="384"/>
      <c r="WB28" s="370"/>
      <c r="WC28" s="371"/>
      <c r="WD28" s="386"/>
      <c r="WE28" s="375" t="s">
        <v>604</v>
      </c>
      <c r="WF28" s="376"/>
      <c r="WG28" s="379"/>
      <c r="ZG28" s="357"/>
      <c r="ZH28" s="384"/>
      <c r="ZI28" s="384"/>
      <c r="ZJ28" s="384"/>
      <c r="ZK28" s="384"/>
      <c r="ZL28" s="384"/>
      <c r="ZM28" s="384"/>
      <c r="ZN28" s="384"/>
      <c r="ZO28" s="384"/>
      <c r="ZP28" s="384"/>
      <c r="ZQ28" s="384"/>
      <c r="ZR28" s="384"/>
      <c r="ZS28" s="384"/>
      <c r="ZT28" s="384"/>
      <c r="ZU28" s="348"/>
      <c r="ZV28" s="349"/>
      <c r="ZW28" s="370"/>
      <c r="ZX28" s="371"/>
      <c r="ZY28" s="386"/>
      <c r="ZZ28" s="375" t="s">
        <v>604</v>
      </c>
      <c r="AAA28" s="376"/>
      <c r="AAB28" s="379"/>
      <c r="ACF28" s="357"/>
      <c r="ACG28" s="384"/>
      <c r="ACH28" s="384"/>
      <c r="ACI28" s="384"/>
      <c r="ACJ28" s="384"/>
      <c r="ACK28" s="384"/>
      <c r="ACL28" s="384"/>
      <c r="ACM28" s="384"/>
      <c r="ACN28" s="384"/>
      <c r="ACO28" s="384"/>
      <c r="ACP28" s="384"/>
      <c r="ACQ28" s="384"/>
      <c r="ACR28" s="384"/>
      <c r="ACS28" s="384"/>
      <c r="ACT28" s="348"/>
      <c r="ACU28" s="349"/>
      <c r="ACV28" s="370"/>
      <c r="ACW28" s="371"/>
      <c r="ACX28" s="386"/>
      <c r="ACY28" s="375" t="s">
        <v>604</v>
      </c>
      <c r="ACZ28" s="376"/>
      <c r="ADA28" s="379"/>
    </row>
    <row r="29" spans="1:781" ht="48" customHeight="1" thickBot="1" x14ac:dyDescent="0.35">
      <c r="A29" s="5"/>
      <c r="C29" s="12"/>
      <c r="Z29" s="454"/>
      <c r="AA29" s="455"/>
      <c r="AB29" s="456"/>
      <c r="AC29" s="358"/>
      <c r="AD29" s="575"/>
      <c r="AE29" s="544"/>
      <c r="AF29" s="544"/>
      <c r="AG29" s="544"/>
      <c r="AH29" s="544"/>
      <c r="AI29" s="544"/>
      <c r="AJ29" s="544"/>
      <c r="AK29" s="544"/>
      <c r="AL29" s="544"/>
      <c r="AM29" s="544"/>
      <c r="AN29" s="544"/>
      <c r="AO29" s="544"/>
      <c r="AP29" s="576"/>
      <c r="AQ29" s="543"/>
      <c r="AR29" s="545"/>
      <c r="AS29" s="422"/>
      <c r="AT29" s="423"/>
      <c r="AU29" s="380"/>
      <c r="AV29" s="418"/>
      <c r="AW29" s="419"/>
      <c r="AX29" s="380"/>
      <c r="BA29" s="286"/>
      <c r="BB29" s="286"/>
      <c r="BC29" s="286"/>
      <c r="BD29" s="286"/>
      <c r="BE29" s="286"/>
      <c r="BF29" s="286"/>
      <c r="BG29" s="286"/>
      <c r="BH29" s="286"/>
      <c r="BO29" s="358"/>
      <c r="BP29" s="517"/>
      <c r="BQ29" s="518"/>
      <c r="BR29" s="518"/>
      <c r="BS29" s="518"/>
      <c r="BT29" s="518"/>
      <c r="BU29" s="518"/>
      <c r="BV29" s="518"/>
      <c r="BW29" s="518"/>
      <c r="BX29" s="518"/>
      <c r="BY29" s="518"/>
      <c r="BZ29" s="518"/>
      <c r="CA29" s="518"/>
      <c r="CB29" s="518"/>
      <c r="CC29" s="505"/>
      <c r="CD29" s="507"/>
      <c r="CE29" s="538"/>
      <c r="CF29" s="539"/>
      <c r="CG29" s="387"/>
      <c r="CH29" s="633"/>
      <c r="CI29" s="634"/>
      <c r="CJ29" s="380"/>
      <c r="CW29" s="291"/>
      <c r="CX29" s="291"/>
      <c r="CY29" s="291"/>
      <c r="CZ29" s="291"/>
      <c r="DA29" s="291"/>
      <c r="DB29" s="291"/>
      <c r="DC29" s="291"/>
      <c r="DD29" s="291"/>
      <c r="DE29" s="291"/>
      <c r="DF29" s="291"/>
      <c r="DG29" s="291"/>
      <c r="DH29" s="291"/>
      <c r="DI29" s="291"/>
      <c r="DJ29" s="291"/>
      <c r="DK29" s="291"/>
      <c r="DL29" s="291"/>
      <c r="DM29" s="291"/>
      <c r="DN29" s="291"/>
      <c r="DO29" s="291"/>
      <c r="DP29" s="291"/>
      <c r="DQ29" s="358"/>
      <c r="DR29" s="385"/>
      <c r="DS29" s="385"/>
      <c r="DT29" s="385"/>
      <c r="DU29" s="385"/>
      <c r="DV29" s="385"/>
      <c r="DW29" s="385"/>
      <c r="DX29" s="385"/>
      <c r="DY29" s="385"/>
      <c r="DZ29" s="385"/>
      <c r="EA29" s="385"/>
      <c r="EB29" s="385"/>
      <c r="EC29" s="385"/>
      <c r="ED29" s="392"/>
      <c r="EE29" s="484"/>
      <c r="EF29" s="485"/>
      <c r="EG29" s="422"/>
      <c r="EH29" s="423"/>
      <c r="EI29" s="387"/>
      <c r="EJ29" s="377"/>
      <c r="EK29" s="378"/>
      <c r="EL29" s="380"/>
      <c r="FW29" s="358"/>
      <c r="FX29" s="346"/>
      <c r="FY29" s="347"/>
      <c r="FZ29" s="347"/>
      <c r="GA29" s="347"/>
      <c r="GB29" s="347"/>
      <c r="GC29" s="347"/>
      <c r="GD29" s="347"/>
      <c r="GE29" s="347"/>
      <c r="GF29" s="347"/>
      <c r="GG29" s="347"/>
      <c r="GH29" s="347"/>
      <c r="GI29" s="347"/>
      <c r="GJ29" s="347"/>
      <c r="GK29" s="389"/>
      <c r="GL29" s="372"/>
      <c r="GM29" s="409"/>
      <c r="GN29" s="411"/>
      <c r="GO29" s="387"/>
      <c r="GP29" s="377"/>
      <c r="GQ29" s="378"/>
      <c r="GR29" s="380"/>
      <c r="GS29" s="192"/>
      <c r="GT29" s="190"/>
      <c r="GU29" s="190"/>
      <c r="GV29" s="191"/>
      <c r="HI29" s="297" t="s">
        <v>604</v>
      </c>
      <c r="HJ29" s="298"/>
      <c r="HK29" s="330"/>
      <c r="HL29" s="175"/>
      <c r="HM29" s="175"/>
      <c r="HN29" s="175"/>
      <c r="HO29" s="175"/>
      <c r="HP29" s="175"/>
      <c r="HQ29" s="175"/>
      <c r="HR29" s="330"/>
      <c r="HS29" s="173" t="s">
        <v>629</v>
      </c>
      <c r="HT29" s="393" t="s">
        <v>623</v>
      </c>
      <c r="HU29" s="394"/>
      <c r="HV29" s="382" t="s">
        <v>189</v>
      </c>
      <c r="HW29" s="383"/>
      <c r="HX29" s="363" t="s">
        <v>910</v>
      </c>
      <c r="HY29" s="364"/>
      <c r="IH29" s="358"/>
      <c r="II29" s="346"/>
      <c r="IJ29" s="347"/>
      <c r="IK29" s="347"/>
      <c r="IL29" s="347"/>
      <c r="IM29" s="347"/>
      <c r="IN29" s="347"/>
      <c r="IO29" s="347"/>
      <c r="IP29" s="347"/>
      <c r="IQ29" s="347"/>
      <c r="IR29" s="347"/>
      <c r="IS29" s="347"/>
      <c r="IT29" s="347"/>
      <c r="IU29" s="347"/>
      <c r="IV29" s="350"/>
      <c r="IW29" s="351"/>
      <c r="IX29" s="354"/>
      <c r="IY29" s="355"/>
      <c r="IZ29" s="387"/>
      <c r="JA29" s="377"/>
      <c r="JB29" s="378"/>
      <c r="JC29" s="380"/>
      <c r="LP29" s="358"/>
      <c r="LQ29" s="346"/>
      <c r="LR29" s="347"/>
      <c r="LS29" s="347"/>
      <c r="LT29" s="347"/>
      <c r="LU29" s="347"/>
      <c r="LV29" s="347"/>
      <c r="LW29" s="347"/>
      <c r="LX29" s="347"/>
      <c r="LY29" s="347"/>
      <c r="LZ29" s="347"/>
      <c r="MA29" s="347"/>
      <c r="MB29" s="347"/>
      <c r="MC29" s="347"/>
      <c r="MD29" s="350"/>
      <c r="ME29" s="351"/>
      <c r="MF29" s="347"/>
      <c r="MG29" s="372"/>
      <c r="MH29" s="387"/>
      <c r="MI29" s="377"/>
      <c r="MJ29" s="378"/>
      <c r="MK29" s="380"/>
      <c r="OZ29" s="358"/>
      <c r="PA29" s="385"/>
      <c r="PB29" s="385"/>
      <c r="PC29" s="385"/>
      <c r="PD29" s="385"/>
      <c r="PE29" s="385"/>
      <c r="PF29" s="385"/>
      <c r="PG29" s="385"/>
      <c r="PH29" s="385"/>
      <c r="PI29" s="385"/>
      <c r="PJ29" s="385"/>
      <c r="PK29" s="385"/>
      <c r="PL29" s="385"/>
      <c r="PM29" s="392"/>
      <c r="PN29" s="350"/>
      <c r="PO29" s="351"/>
      <c r="PP29" s="347"/>
      <c r="PQ29" s="372"/>
      <c r="PR29" s="387"/>
      <c r="PS29" s="377"/>
      <c r="PT29" s="378"/>
      <c r="PU29" s="380"/>
      <c r="RX29" s="358"/>
      <c r="RY29" s="346"/>
      <c r="RZ29" s="347"/>
      <c r="SA29" s="347"/>
      <c r="SB29" s="347"/>
      <c r="SC29" s="347"/>
      <c r="SD29" s="347"/>
      <c r="SE29" s="347"/>
      <c r="SF29" s="347"/>
      <c r="SG29" s="347"/>
      <c r="SH29" s="347"/>
      <c r="SI29" s="347"/>
      <c r="SJ29" s="347"/>
      <c r="SK29" s="347"/>
      <c r="SL29" s="350"/>
      <c r="SM29" s="351"/>
      <c r="SN29" s="347"/>
      <c r="SO29" s="372"/>
      <c r="SP29" s="387"/>
      <c r="SQ29" s="377"/>
      <c r="SR29" s="378"/>
      <c r="SS29" s="380"/>
      <c r="VL29" s="358"/>
      <c r="VM29" s="346"/>
      <c r="VN29" s="347"/>
      <c r="VO29" s="347"/>
      <c r="VP29" s="347"/>
      <c r="VQ29" s="347"/>
      <c r="VR29" s="347"/>
      <c r="VS29" s="347"/>
      <c r="VT29" s="347"/>
      <c r="VU29" s="347"/>
      <c r="VV29" s="347"/>
      <c r="VW29" s="347"/>
      <c r="VX29" s="347"/>
      <c r="VY29" s="369"/>
      <c r="VZ29" s="385"/>
      <c r="WA29" s="385"/>
      <c r="WB29" s="346"/>
      <c r="WC29" s="372"/>
      <c r="WD29" s="387"/>
      <c r="WE29" s="377"/>
      <c r="WF29" s="378"/>
      <c r="WG29" s="380"/>
      <c r="ZG29" s="358"/>
      <c r="ZH29" s="385"/>
      <c r="ZI29" s="385"/>
      <c r="ZJ29" s="385"/>
      <c r="ZK29" s="385"/>
      <c r="ZL29" s="385"/>
      <c r="ZM29" s="385"/>
      <c r="ZN29" s="385"/>
      <c r="ZO29" s="385"/>
      <c r="ZP29" s="385"/>
      <c r="ZQ29" s="385"/>
      <c r="ZR29" s="385"/>
      <c r="ZS29" s="385"/>
      <c r="ZT29" s="385"/>
      <c r="ZU29" s="350"/>
      <c r="ZV29" s="351"/>
      <c r="ZW29" s="346"/>
      <c r="ZX29" s="372"/>
      <c r="ZY29" s="387"/>
      <c r="ZZ29" s="377"/>
      <c r="AAA29" s="378"/>
      <c r="AAB29" s="380"/>
      <c r="ACF29" s="358"/>
      <c r="ACG29" s="385"/>
      <c r="ACH29" s="385"/>
      <c r="ACI29" s="385"/>
      <c r="ACJ29" s="385"/>
      <c r="ACK29" s="385"/>
      <c r="ACL29" s="385"/>
      <c r="ACM29" s="385"/>
      <c r="ACN29" s="385"/>
      <c r="ACO29" s="385"/>
      <c r="ACP29" s="385"/>
      <c r="ACQ29" s="385"/>
      <c r="ACR29" s="385"/>
      <c r="ACS29" s="385"/>
      <c r="ACT29" s="350"/>
      <c r="ACU29" s="351"/>
      <c r="ACV29" s="346"/>
      <c r="ACW29" s="372"/>
      <c r="ACX29" s="387"/>
      <c r="ACY29" s="377"/>
      <c r="ACZ29" s="378"/>
      <c r="ADA29" s="380"/>
    </row>
    <row r="30" spans="1:781" ht="48" customHeight="1" x14ac:dyDescent="0.3">
      <c r="A30" s="5"/>
      <c r="BA30" s="286"/>
      <c r="BB30" s="286"/>
      <c r="BC30" s="286"/>
      <c r="BD30" s="286"/>
      <c r="BE30" s="286"/>
      <c r="BF30" s="286"/>
      <c r="BG30" s="286"/>
      <c r="BH30" s="286"/>
      <c r="CT30" s="291"/>
      <c r="CU30" s="291"/>
      <c r="CV30" s="291"/>
      <c r="CW30" s="291"/>
      <c r="CX30" s="291"/>
      <c r="CY30" s="291"/>
      <c r="CZ30" s="291"/>
      <c r="DA30" s="291"/>
      <c r="DB30" s="291"/>
      <c r="DC30" s="291"/>
      <c r="DD30" s="291"/>
      <c r="DE30" s="291"/>
      <c r="DF30" s="291"/>
      <c r="DG30" s="291"/>
      <c r="DH30" s="291"/>
      <c r="DI30" s="291"/>
      <c r="DJ30" s="291"/>
      <c r="DK30" s="291"/>
      <c r="DL30" s="291"/>
      <c r="DM30" s="291"/>
      <c r="DN30" s="291"/>
      <c r="DO30" s="291"/>
      <c r="DP30" s="291"/>
      <c r="DQ30" s="291"/>
      <c r="DR30" s="291"/>
      <c r="DS30" s="291"/>
      <c r="DT30" s="291"/>
      <c r="DU30" s="291"/>
      <c r="DV30" s="291"/>
      <c r="HI30" s="344" t="s">
        <v>168</v>
      </c>
      <c r="HJ30" s="345"/>
      <c r="HK30" s="345"/>
      <c r="HL30" s="345"/>
      <c r="HM30" s="345"/>
      <c r="HN30" s="345"/>
      <c r="HO30" s="345"/>
      <c r="HP30" s="345"/>
      <c r="HQ30" s="345"/>
      <c r="HR30" s="345"/>
      <c r="HS30" s="345"/>
      <c r="HT30" s="345"/>
      <c r="HU30" s="368"/>
      <c r="HV30" s="384"/>
      <c r="HW30" s="384"/>
      <c r="HX30" s="370"/>
      <c r="HY30" s="371"/>
      <c r="JZ30" s="8"/>
    </row>
    <row r="31" spans="1:781" ht="48" customHeight="1" thickBot="1" x14ac:dyDescent="0.35">
      <c r="A31" s="5"/>
      <c r="Z31" s="356"/>
      <c r="AA31" s="583" t="s">
        <v>7</v>
      </c>
      <c r="AB31" s="583"/>
      <c r="AC31" s="149"/>
      <c r="AD31" s="151"/>
      <c r="AE31" s="175"/>
      <c r="AF31" s="175"/>
      <c r="AG31" s="175"/>
      <c r="AH31" s="175"/>
      <c r="AI31" s="175"/>
      <c r="AJ31" s="149"/>
      <c r="AK31" s="146" t="s">
        <v>629</v>
      </c>
      <c r="AL31" s="570" t="s">
        <v>623</v>
      </c>
      <c r="AM31" s="571"/>
      <c r="AN31" s="361" t="s">
        <v>189</v>
      </c>
      <c r="AO31" s="362"/>
      <c r="AP31" s="363" t="s">
        <v>910</v>
      </c>
      <c r="AQ31" s="364"/>
      <c r="AR31" s="365" t="s">
        <v>638</v>
      </c>
      <c r="AS31" s="366"/>
      <c r="AT31" s="366"/>
      <c r="AU31" s="367"/>
      <c r="AV31" s="337" t="s">
        <v>637</v>
      </c>
      <c r="AW31" s="337"/>
      <c r="AX31" s="337"/>
      <c r="AY31" s="337"/>
      <c r="BA31" s="286"/>
      <c r="BB31" s="286"/>
      <c r="BC31" s="286"/>
      <c r="BD31" s="286"/>
      <c r="BE31" s="286"/>
      <c r="BF31" s="286"/>
      <c r="BG31" s="286"/>
      <c r="BH31" s="286"/>
      <c r="BO31" s="548" t="s">
        <v>974</v>
      </c>
      <c r="BP31" s="356"/>
      <c r="BQ31" s="546" t="s">
        <v>955</v>
      </c>
      <c r="BR31" s="547"/>
      <c r="BS31" s="281"/>
      <c r="BT31" s="175"/>
      <c r="BU31" s="175"/>
      <c r="BV31" s="175"/>
      <c r="BW31" s="175"/>
      <c r="BX31" s="175"/>
      <c r="BY31" s="175"/>
      <c r="BZ31" s="281"/>
      <c r="CA31" s="173" t="s">
        <v>629</v>
      </c>
      <c r="CB31" s="359" t="s">
        <v>623</v>
      </c>
      <c r="CC31" s="381"/>
      <c r="CD31" s="382" t="s">
        <v>189</v>
      </c>
      <c r="CE31" s="383"/>
      <c r="CF31" s="363" t="s">
        <v>910</v>
      </c>
      <c r="CG31" s="364"/>
      <c r="CH31" s="365" t="s">
        <v>638</v>
      </c>
      <c r="CI31" s="366"/>
      <c r="CJ31" s="366"/>
      <c r="CK31" s="367"/>
      <c r="CT31" s="291"/>
      <c r="CU31" s="291"/>
      <c r="CV31" s="291"/>
      <c r="CW31" s="291"/>
      <c r="CX31" s="291"/>
      <c r="CY31" s="291"/>
      <c r="CZ31" s="291"/>
      <c r="DA31" s="291"/>
      <c r="DB31" s="291"/>
      <c r="DC31" s="291"/>
      <c r="DD31" s="291"/>
      <c r="DE31" s="291"/>
      <c r="DF31" s="291"/>
      <c r="DG31" s="291"/>
      <c r="DH31" s="291"/>
      <c r="DI31" s="291"/>
      <c r="DJ31" s="291"/>
      <c r="DK31" s="291"/>
      <c r="DL31" s="291"/>
      <c r="DM31" s="291"/>
      <c r="DN31" s="291"/>
      <c r="DO31" s="291"/>
      <c r="DP31" s="291"/>
      <c r="DQ31" s="356"/>
      <c r="DR31" s="297" t="s">
        <v>604</v>
      </c>
      <c r="DS31" s="316" t="s">
        <v>50</v>
      </c>
      <c r="DT31" s="315"/>
      <c r="DU31" s="175"/>
      <c r="DV31" s="175"/>
      <c r="DW31" s="175"/>
      <c r="DX31" s="175"/>
      <c r="DY31" s="175"/>
      <c r="DZ31" s="175"/>
      <c r="EA31" s="315"/>
      <c r="EB31" s="173" t="s">
        <v>629</v>
      </c>
      <c r="EC31" s="359" t="s">
        <v>623</v>
      </c>
      <c r="ED31" s="381"/>
      <c r="EE31" s="382" t="s">
        <v>189</v>
      </c>
      <c r="EF31" s="383"/>
      <c r="EG31" s="363" t="s">
        <v>910</v>
      </c>
      <c r="EH31" s="364"/>
      <c r="EI31" s="365" t="s">
        <v>638</v>
      </c>
      <c r="EJ31" s="366"/>
      <c r="EK31" s="366"/>
      <c r="EL31" s="367"/>
      <c r="EM31" s="337" t="s">
        <v>624</v>
      </c>
      <c r="EN31" s="337"/>
      <c r="EO31" s="337"/>
      <c r="EP31" s="337"/>
      <c r="EQ31" s="337"/>
      <c r="FW31" s="356"/>
      <c r="FX31" s="297" t="s">
        <v>604</v>
      </c>
      <c r="FY31" s="298"/>
      <c r="FZ31" s="315"/>
      <c r="GA31" s="175"/>
      <c r="GB31" s="175"/>
      <c r="GC31" s="175"/>
      <c r="GD31" s="175"/>
      <c r="GE31" s="175"/>
      <c r="GF31" s="175"/>
      <c r="GG31" s="315"/>
      <c r="GH31" s="173" t="s">
        <v>629</v>
      </c>
      <c r="GI31" s="359" t="s">
        <v>623</v>
      </c>
      <c r="GJ31" s="381"/>
      <c r="GK31" s="382" t="s">
        <v>189</v>
      </c>
      <c r="GL31" s="383"/>
      <c r="GM31" s="363" t="s">
        <v>910</v>
      </c>
      <c r="GN31" s="364"/>
      <c r="GO31" s="365" t="s">
        <v>638</v>
      </c>
      <c r="GP31" s="366"/>
      <c r="GQ31" s="366"/>
      <c r="GR31" s="367"/>
      <c r="GS31" s="365" t="s">
        <v>624</v>
      </c>
      <c r="GT31" s="366"/>
      <c r="GU31" s="367"/>
      <c r="HI31" s="346"/>
      <c r="HJ31" s="347"/>
      <c r="HK31" s="347"/>
      <c r="HL31" s="347"/>
      <c r="HM31" s="347"/>
      <c r="HN31" s="347"/>
      <c r="HO31" s="347"/>
      <c r="HP31" s="347"/>
      <c r="HQ31" s="347"/>
      <c r="HR31" s="347"/>
      <c r="HS31" s="347"/>
      <c r="HT31" s="347"/>
      <c r="HU31" s="369"/>
      <c r="HV31" s="385"/>
      <c r="HW31" s="385"/>
      <c r="HX31" s="346"/>
      <c r="HY31" s="372"/>
      <c r="IH31" s="356"/>
      <c r="II31" s="297" t="s">
        <v>604</v>
      </c>
      <c r="IJ31" s="298"/>
      <c r="IK31" s="315"/>
      <c r="IL31" s="175"/>
      <c r="IM31" s="175"/>
      <c r="IN31" s="175"/>
      <c r="IO31" s="175"/>
      <c r="IP31" s="175"/>
      <c r="IQ31" s="175"/>
      <c r="IR31" s="315"/>
      <c r="IS31" s="173" t="s">
        <v>629</v>
      </c>
      <c r="IT31" s="359" t="s">
        <v>623</v>
      </c>
      <c r="IU31" s="381"/>
      <c r="IV31" s="382" t="s">
        <v>189</v>
      </c>
      <c r="IW31" s="383"/>
      <c r="IX31" s="363" t="s">
        <v>910</v>
      </c>
      <c r="IY31" s="364"/>
      <c r="IZ31" s="365" t="s">
        <v>638</v>
      </c>
      <c r="JA31" s="366"/>
      <c r="JB31" s="366"/>
      <c r="JC31" s="367"/>
      <c r="LP31" s="356"/>
      <c r="LQ31" s="297" t="s">
        <v>604</v>
      </c>
      <c r="LR31" s="298"/>
      <c r="LS31" s="315"/>
      <c r="LT31" s="175"/>
      <c r="LU31" s="175"/>
      <c r="LV31" s="175"/>
      <c r="LW31" s="175"/>
      <c r="LX31" s="175"/>
      <c r="LY31" s="175"/>
      <c r="LZ31" s="315"/>
      <c r="MA31" s="173" t="s">
        <v>629</v>
      </c>
      <c r="MB31" s="359" t="s">
        <v>623</v>
      </c>
      <c r="MC31" s="381"/>
      <c r="MD31" s="382" t="s">
        <v>189</v>
      </c>
      <c r="ME31" s="383"/>
      <c r="MF31" s="363" t="s">
        <v>910</v>
      </c>
      <c r="MG31" s="364"/>
      <c r="MH31" s="365" t="s">
        <v>638</v>
      </c>
      <c r="MI31" s="366"/>
      <c r="MJ31" s="366"/>
      <c r="MK31" s="367"/>
      <c r="OZ31" s="356"/>
      <c r="PA31" s="297" t="s">
        <v>604</v>
      </c>
      <c r="PB31" s="298"/>
      <c r="PC31" s="315"/>
      <c r="PD31" s="175"/>
      <c r="PE31" s="175"/>
      <c r="PF31" s="175"/>
      <c r="PG31" s="175"/>
      <c r="PH31" s="175"/>
      <c r="PI31" s="175"/>
      <c r="PJ31" s="315"/>
      <c r="PK31" s="173" t="s">
        <v>629</v>
      </c>
      <c r="PL31" s="359" t="s">
        <v>623</v>
      </c>
      <c r="PM31" s="381"/>
      <c r="PN31" s="382" t="s">
        <v>189</v>
      </c>
      <c r="PO31" s="383"/>
      <c r="PP31" s="363" t="s">
        <v>910</v>
      </c>
      <c r="PQ31" s="364"/>
      <c r="PR31" s="365" t="s">
        <v>638</v>
      </c>
      <c r="PS31" s="366"/>
      <c r="PT31" s="366"/>
      <c r="PU31" s="367"/>
      <c r="RX31" s="356"/>
      <c r="RY31" s="297" t="s">
        <v>604</v>
      </c>
      <c r="RZ31" s="298"/>
      <c r="SA31" s="315"/>
      <c r="SB31" s="175"/>
      <c r="SC31" s="175"/>
      <c r="SD31" s="175"/>
      <c r="SE31" s="175"/>
      <c r="SF31" s="175"/>
      <c r="SG31" s="175"/>
      <c r="SH31" s="315"/>
      <c r="SI31" s="173" t="s">
        <v>629</v>
      </c>
      <c r="SJ31" s="359" t="s">
        <v>623</v>
      </c>
      <c r="SK31" s="381"/>
      <c r="SL31" s="382" t="s">
        <v>189</v>
      </c>
      <c r="SM31" s="383"/>
      <c r="SN31" s="363" t="s">
        <v>910</v>
      </c>
      <c r="SO31" s="364"/>
      <c r="SP31" s="365" t="s">
        <v>638</v>
      </c>
      <c r="SQ31" s="366"/>
      <c r="SR31" s="366"/>
      <c r="SS31" s="367"/>
      <c r="VL31" s="356"/>
      <c r="VM31" s="297" t="s">
        <v>604</v>
      </c>
      <c r="VN31" s="298"/>
      <c r="VO31" s="315"/>
      <c r="VP31" s="175"/>
      <c r="VQ31" s="175"/>
      <c r="VR31" s="175"/>
      <c r="VS31" s="175"/>
      <c r="VT31" s="175"/>
      <c r="VU31" s="175"/>
      <c r="VV31" s="315"/>
      <c r="VW31" s="173" t="s">
        <v>629</v>
      </c>
      <c r="VX31" s="359" t="s">
        <v>623</v>
      </c>
      <c r="VY31" s="381"/>
      <c r="VZ31" s="382" t="s">
        <v>189</v>
      </c>
      <c r="WA31" s="383"/>
      <c r="WB31" s="363" t="s">
        <v>910</v>
      </c>
      <c r="WC31" s="364"/>
      <c r="WD31" s="365" t="s">
        <v>638</v>
      </c>
      <c r="WE31" s="366"/>
      <c r="WF31" s="366"/>
      <c r="WG31" s="367"/>
      <c r="ZG31" s="356"/>
      <c r="ZH31" s="297" t="s">
        <v>604</v>
      </c>
      <c r="ZI31" s="298"/>
      <c r="ZJ31" s="315"/>
      <c r="ZK31" s="175"/>
      <c r="ZL31" s="175"/>
      <c r="ZM31" s="175"/>
      <c r="ZN31" s="175"/>
      <c r="ZO31" s="175"/>
      <c r="ZP31" s="175"/>
      <c r="ZQ31" s="315"/>
      <c r="ZR31" s="173" t="s">
        <v>629</v>
      </c>
      <c r="ZS31" s="359" t="s">
        <v>623</v>
      </c>
      <c r="ZT31" s="381"/>
      <c r="ZU31" s="382" t="s">
        <v>189</v>
      </c>
      <c r="ZV31" s="383"/>
      <c r="ZW31" s="363" t="s">
        <v>910</v>
      </c>
      <c r="ZX31" s="364"/>
      <c r="ZY31" s="365" t="s">
        <v>638</v>
      </c>
      <c r="ZZ31" s="366"/>
      <c r="AAA31" s="366"/>
      <c r="AAB31" s="367"/>
      <c r="ACF31" s="356"/>
      <c r="ACG31" s="297" t="s">
        <v>604</v>
      </c>
      <c r="ACH31" s="298"/>
      <c r="ACI31" s="315"/>
      <c r="ACJ31" s="175"/>
      <c r="ACK31" s="175"/>
      <c r="ACL31" s="175"/>
      <c r="ACM31" s="175"/>
      <c r="ACN31" s="175"/>
      <c r="ACO31" s="175"/>
      <c r="ACP31" s="315"/>
      <c r="ACQ31" s="173" t="s">
        <v>629</v>
      </c>
      <c r="ACR31" s="359" t="s">
        <v>623</v>
      </c>
      <c r="ACS31" s="381"/>
      <c r="ACT31" s="382" t="s">
        <v>189</v>
      </c>
      <c r="ACU31" s="383"/>
      <c r="ACV31" s="363" t="s">
        <v>910</v>
      </c>
      <c r="ACW31" s="364"/>
      <c r="ACX31" s="365" t="s">
        <v>638</v>
      </c>
      <c r="ACY31" s="366"/>
      <c r="ACZ31" s="366"/>
      <c r="ADA31" s="367"/>
    </row>
    <row r="32" spans="1:781" ht="48" customHeight="1" x14ac:dyDescent="0.3">
      <c r="A32" s="286"/>
      <c r="B32" s="286"/>
      <c r="C32" s="286"/>
      <c r="Z32" s="357"/>
      <c r="AA32" s="523" t="s">
        <v>13</v>
      </c>
      <c r="AB32" s="573"/>
      <c r="AC32" s="573"/>
      <c r="AD32" s="573"/>
      <c r="AE32" s="573"/>
      <c r="AF32" s="573"/>
      <c r="AG32" s="573"/>
      <c r="AH32" s="573"/>
      <c r="AI32" s="573"/>
      <c r="AJ32" s="573"/>
      <c r="AK32" s="573"/>
      <c r="AL32" s="573"/>
      <c r="AM32" s="573"/>
      <c r="AN32" s="604">
        <f>AQ28*AN20</f>
        <v>0.17058500000000001</v>
      </c>
      <c r="AO32" s="605"/>
      <c r="AP32" s="579" t="s">
        <v>916</v>
      </c>
      <c r="AQ32" s="580"/>
      <c r="AR32" s="379"/>
      <c r="AS32" s="416" t="s">
        <v>632</v>
      </c>
      <c r="AT32" s="417"/>
      <c r="AU32" s="379"/>
      <c r="AV32" s="396"/>
      <c r="AW32" s="397"/>
      <c r="AX32" s="397"/>
      <c r="AY32" s="398"/>
      <c r="BE32" s="3"/>
      <c r="BF32" s="3"/>
      <c r="BO32" s="549"/>
      <c r="BP32" s="357"/>
      <c r="BQ32" s="514" t="s">
        <v>31</v>
      </c>
      <c r="BR32" s="515"/>
      <c r="BS32" s="515"/>
      <c r="BT32" s="515"/>
      <c r="BU32" s="515"/>
      <c r="BV32" s="515"/>
      <c r="BW32" s="515"/>
      <c r="BX32" s="515"/>
      <c r="BY32" s="515"/>
      <c r="BZ32" s="515"/>
      <c r="CA32" s="515"/>
      <c r="CB32" s="515"/>
      <c r="CC32" s="515"/>
      <c r="CD32" s="441">
        <v>3</v>
      </c>
      <c r="CE32" s="442"/>
      <c r="CF32" s="536" t="s">
        <v>940</v>
      </c>
      <c r="CG32" s="537"/>
      <c r="CH32" s="386"/>
      <c r="CI32" s="375" t="s">
        <v>604</v>
      </c>
      <c r="CJ32" s="376"/>
      <c r="CK32" s="379"/>
      <c r="CW32" s="291"/>
      <c r="CX32" s="291"/>
      <c r="CY32" s="291"/>
      <c r="CZ32" s="291"/>
      <c r="DA32" s="291"/>
      <c r="DB32" s="291"/>
      <c r="DC32" s="291"/>
      <c r="DD32" s="291"/>
      <c r="DE32" s="291"/>
      <c r="DF32" s="291"/>
      <c r="DG32" s="291"/>
      <c r="DH32" s="291"/>
      <c r="DI32" s="291"/>
      <c r="DJ32" s="291"/>
      <c r="DK32" s="291"/>
      <c r="DL32" s="291"/>
      <c r="DM32" s="291"/>
      <c r="DN32" s="291"/>
      <c r="DO32" s="291"/>
      <c r="DP32" s="291"/>
      <c r="DQ32" s="357"/>
      <c r="DR32" s="384" t="s">
        <v>62</v>
      </c>
      <c r="DS32" s="384"/>
      <c r="DT32" s="384"/>
      <c r="DU32" s="384"/>
      <c r="DV32" s="384"/>
      <c r="DW32" s="384"/>
      <c r="DX32" s="384"/>
      <c r="DY32" s="384"/>
      <c r="DZ32" s="384"/>
      <c r="EA32" s="384"/>
      <c r="EB32" s="384"/>
      <c r="EC32" s="384"/>
      <c r="ED32" s="391"/>
      <c r="EE32" s="478">
        <f>((CC84*10^3)/(2*EH12*AN77*EE36))</f>
        <v>48.911436826311409</v>
      </c>
      <c r="EF32" s="479"/>
      <c r="EG32" s="420" t="s">
        <v>53</v>
      </c>
      <c r="EH32" s="421"/>
      <c r="EI32" s="386"/>
      <c r="EJ32" s="375" t="s">
        <v>604</v>
      </c>
      <c r="EK32" s="376"/>
      <c r="EL32" s="379"/>
      <c r="EM32" s="399"/>
      <c r="EN32" s="399"/>
      <c r="EO32" s="399"/>
      <c r="EP32" s="399"/>
      <c r="EQ32" s="399"/>
      <c r="FW32" s="357"/>
      <c r="FX32" s="344" t="s">
        <v>65</v>
      </c>
      <c r="FY32" s="345"/>
      <c r="FZ32" s="345"/>
      <c r="GA32" s="345"/>
      <c r="GB32" s="345"/>
      <c r="GC32" s="345"/>
      <c r="GD32" s="345"/>
      <c r="GE32" s="345"/>
      <c r="GF32" s="345"/>
      <c r="GG32" s="345"/>
      <c r="GH32" s="345"/>
      <c r="GI32" s="345"/>
      <c r="GJ32" s="345"/>
      <c r="GK32" s="388">
        <f>(3.14*GK28)/GK24</f>
        <v>1.3988286842105261E-2</v>
      </c>
      <c r="GL32" s="371"/>
      <c r="GM32" s="406" t="s">
        <v>19</v>
      </c>
      <c r="GN32" s="408"/>
      <c r="GO32" s="386"/>
      <c r="GP32" s="375" t="s">
        <v>604</v>
      </c>
      <c r="GQ32" s="376"/>
      <c r="GR32" s="379"/>
      <c r="GS32" s="396"/>
      <c r="GT32" s="397"/>
      <c r="GU32" s="398"/>
      <c r="IH32" s="357"/>
      <c r="II32" s="344" t="s">
        <v>89</v>
      </c>
      <c r="IJ32" s="345"/>
      <c r="IK32" s="345"/>
      <c r="IL32" s="345"/>
      <c r="IM32" s="345"/>
      <c r="IN32" s="345"/>
      <c r="IO32" s="345"/>
      <c r="IP32" s="345"/>
      <c r="IQ32" s="345"/>
      <c r="IR32" s="345"/>
      <c r="IS32" s="345"/>
      <c r="IT32" s="345"/>
      <c r="IU32" s="345"/>
      <c r="IV32" s="348">
        <f>((2+AN12)/(3.2*AN12))*((GK28*1000/2)-GK96)</f>
        <v>59.025053844578473</v>
      </c>
      <c r="IW32" s="349"/>
      <c r="IX32" s="352"/>
      <c r="IY32" s="353"/>
      <c r="IZ32" s="386"/>
      <c r="JA32" s="375" t="s">
        <v>604</v>
      </c>
      <c r="JB32" s="376"/>
      <c r="JC32" s="379"/>
      <c r="JZ32" s="8"/>
      <c r="LP32" s="357"/>
      <c r="LQ32" s="344" t="s">
        <v>136</v>
      </c>
      <c r="LR32" s="345"/>
      <c r="LS32" s="345"/>
      <c r="LT32" s="345"/>
      <c r="LU32" s="345"/>
      <c r="LV32" s="345"/>
      <c r="LW32" s="345"/>
      <c r="LX32" s="345"/>
      <c r="LY32" s="345"/>
      <c r="LZ32" s="345"/>
      <c r="MA32" s="345"/>
      <c r="MB32" s="345"/>
      <c r="MC32" s="345"/>
      <c r="MD32" s="348">
        <v>1.2</v>
      </c>
      <c r="ME32" s="349"/>
      <c r="MF32" s="390"/>
      <c r="MG32" s="371"/>
      <c r="MH32" s="386"/>
      <c r="MI32" s="375" t="s">
        <v>604</v>
      </c>
      <c r="MJ32" s="376"/>
      <c r="MK32" s="379"/>
      <c r="OZ32" s="357"/>
      <c r="PA32" s="384"/>
      <c r="PB32" s="384"/>
      <c r="PC32" s="384"/>
      <c r="PD32" s="384"/>
      <c r="PE32" s="384"/>
      <c r="PF32" s="384"/>
      <c r="PG32" s="384"/>
      <c r="PH32" s="384"/>
      <c r="PI32" s="384"/>
      <c r="PJ32" s="384"/>
      <c r="PK32" s="384"/>
      <c r="PL32" s="384"/>
      <c r="PM32" s="391"/>
      <c r="PN32" s="348"/>
      <c r="PO32" s="349"/>
      <c r="PP32" s="390"/>
      <c r="PQ32" s="371"/>
      <c r="PR32" s="386"/>
      <c r="PS32" s="375" t="s">
        <v>604</v>
      </c>
      <c r="PT32" s="376"/>
      <c r="PU32" s="379"/>
      <c r="RX32" s="357"/>
      <c r="RY32" s="344"/>
      <c r="RZ32" s="345"/>
      <c r="SA32" s="345"/>
      <c r="SB32" s="345"/>
      <c r="SC32" s="345"/>
      <c r="SD32" s="345"/>
      <c r="SE32" s="345"/>
      <c r="SF32" s="345"/>
      <c r="SG32" s="345"/>
      <c r="SH32" s="345"/>
      <c r="SI32" s="345"/>
      <c r="SJ32" s="345"/>
      <c r="SK32" s="345"/>
      <c r="SL32" s="348"/>
      <c r="SM32" s="349"/>
      <c r="SN32" s="390"/>
      <c r="SO32" s="371"/>
      <c r="SP32" s="386"/>
      <c r="SQ32" s="375" t="s">
        <v>604</v>
      </c>
      <c r="SR32" s="376"/>
      <c r="SS32" s="379"/>
      <c r="VL32" s="357"/>
      <c r="VM32" s="384"/>
      <c r="VN32" s="384"/>
      <c r="VO32" s="384"/>
      <c r="VP32" s="384"/>
      <c r="VQ32" s="384"/>
      <c r="VR32" s="384"/>
      <c r="VS32" s="384"/>
      <c r="VT32" s="384"/>
      <c r="VU32" s="384"/>
      <c r="VV32" s="384"/>
      <c r="VW32" s="384"/>
      <c r="VX32" s="384"/>
      <c r="VY32" s="384"/>
      <c r="VZ32" s="384"/>
      <c r="WA32" s="384"/>
      <c r="WB32" s="370"/>
      <c r="WC32" s="371"/>
      <c r="WD32" s="386"/>
      <c r="WE32" s="375" t="s">
        <v>604</v>
      </c>
      <c r="WF32" s="376"/>
      <c r="WG32" s="379"/>
      <c r="ZG32" s="357"/>
      <c r="ZH32" s="384"/>
      <c r="ZI32" s="384"/>
      <c r="ZJ32" s="384"/>
      <c r="ZK32" s="384"/>
      <c r="ZL32" s="384"/>
      <c r="ZM32" s="384"/>
      <c r="ZN32" s="384"/>
      <c r="ZO32" s="384"/>
      <c r="ZP32" s="384"/>
      <c r="ZQ32" s="384"/>
      <c r="ZR32" s="384"/>
      <c r="ZS32" s="384"/>
      <c r="ZT32" s="384"/>
      <c r="ZU32" s="348"/>
      <c r="ZV32" s="349"/>
      <c r="ZW32" s="370"/>
      <c r="ZX32" s="371"/>
      <c r="ZY32" s="386"/>
      <c r="ZZ32" s="375" t="s">
        <v>604</v>
      </c>
      <c r="AAA32" s="376"/>
      <c r="AAB32" s="379"/>
      <c r="ACF32" s="357"/>
      <c r="ACG32" s="384"/>
      <c r="ACH32" s="384"/>
      <c r="ACI32" s="384"/>
      <c r="ACJ32" s="384"/>
      <c r="ACK32" s="384"/>
      <c r="ACL32" s="384"/>
      <c r="ACM32" s="384"/>
      <c r="ACN32" s="384"/>
      <c r="ACO32" s="384"/>
      <c r="ACP32" s="384"/>
      <c r="ACQ32" s="384"/>
      <c r="ACR32" s="384"/>
      <c r="ACS32" s="384"/>
      <c r="ACT32" s="348"/>
      <c r="ACU32" s="349"/>
      <c r="ACV32" s="370"/>
      <c r="ACW32" s="371"/>
      <c r="ACX32" s="386"/>
      <c r="ACY32" s="375" t="s">
        <v>604</v>
      </c>
      <c r="ACZ32" s="376"/>
      <c r="ADA32" s="379"/>
    </row>
    <row r="33" spans="1:781" ht="48" customHeight="1" thickBot="1" x14ac:dyDescent="0.35">
      <c r="Z33" s="358"/>
      <c r="AA33" s="575"/>
      <c r="AB33" s="544"/>
      <c r="AC33" s="544"/>
      <c r="AD33" s="544"/>
      <c r="AE33" s="544"/>
      <c r="AF33" s="544"/>
      <c r="AG33" s="544"/>
      <c r="AH33" s="544"/>
      <c r="AI33" s="544"/>
      <c r="AJ33" s="544"/>
      <c r="AK33" s="544"/>
      <c r="AL33" s="544"/>
      <c r="AM33" s="544"/>
      <c r="AN33" s="606"/>
      <c r="AO33" s="607"/>
      <c r="AP33" s="581"/>
      <c r="AQ33" s="582"/>
      <c r="AR33" s="380"/>
      <c r="AS33" s="418"/>
      <c r="AT33" s="419"/>
      <c r="AU33" s="380"/>
      <c r="AV33" s="341"/>
      <c r="AW33" s="342"/>
      <c r="AX33" s="342"/>
      <c r="AY33" s="343"/>
      <c r="BE33" s="3"/>
      <c r="BF33" s="3"/>
      <c r="BO33" s="550"/>
      <c r="BP33" s="358"/>
      <c r="BQ33" s="517"/>
      <c r="BR33" s="518"/>
      <c r="BS33" s="518"/>
      <c r="BT33" s="518"/>
      <c r="BU33" s="518"/>
      <c r="BV33" s="518"/>
      <c r="BW33" s="518"/>
      <c r="BX33" s="518"/>
      <c r="BY33" s="518"/>
      <c r="BZ33" s="518"/>
      <c r="CA33" s="518"/>
      <c r="CB33" s="518"/>
      <c r="CC33" s="518"/>
      <c r="CD33" s="443"/>
      <c r="CE33" s="444"/>
      <c r="CF33" s="538"/>
      <c r="CG33" s="539"/>
      <c r="CH33" s="387"/>
      <c r="CI33" s="377"/>
      <c r="CJ33" s="378"/>
      <c r="CK33" s="380"/>
      <c r="CW33" s="291"/>
      <c r="CX33" s="291"/>
      <c r="CY33" s="291"/>
      <c r="CZ33" s="291"/>
      <c r="DA33" s="291"/>
      <c r="DB33" s="291"/>
      <c r="DC33" s="291"/>
      <c r="DD33" s="291"/>
      <c r="DE33" s="291"/>
      <c r="DF33" s="291"/>
      <c r="DG33" s="291"/>
      <c r="DH33" s="291"/>
      <c r="DI33" s="291"/>
      <c r="DJ33" s="291"/>
      <c r="DK33" s="291"/>
      <c r="DL33" s="291"/>
      <c r="DM33" s="291"/>
      <c r="DN33" s="291"/>
      <c r="DO33" s="291"/>
      <c r="DP33" s="291"/>
      <c r="DQ33" s="358"/>
      <c r="DR33" s="385"/>
      <c r="DS33" s="385"/>
      <c r="DT33" s="385"/>
      <c r="DU33" s="385"/>
      <c r="DV33" s="385"/>
      <c r="DW33" s="385"/>
      <c r="DX33" s="385"/>
      <c r="DY33" s="385"/>
      <c r="DZ33" s="385"/>
      <c r="EA33" s="385"/>
      <c r="EB33" s="385"/>
      <c r="EC33" s="385"/>
      <c r="ED33" s="392"/>
      <c r="EE33" s="480"/>
      <c r="EF33" s="481"/>
      <c r="EG33" s="422"/>
      <c r="EH33" s="423"/>
      <c r="EI33" s="387"/>
      <c r="EJ33" s="377"/>
      <c r="EK33" s="378"/>
      <c r="EL33" s="380"/>
      <c r="EM33" s="400"/>
      <c r="EN33" s="400"/>
      <c r="EO33" s="400"/>
      <c r="EP33" s="400"/>
      <c r="EQ33" s="400"/>
      <c r="FW33" s="358"/>
      <c r="FX33" s="346"/>
      <c r="FY33" s="347"/>
      <c r="FZ33" s="347"/>
      <c r="GA33" s="347"/>
      <c r="GB33" s="347"/>
      <c r="GC33" s="347"/>
      <c r="GD33" s="347"/>
      <c r="GE33" s="347"/>
      <c r="GF33" s="347"/>
      <c r="GG33" s="347"/>
      <c r="GH33" s="347"/>
      <c r="GI33" s="347"/>
      <c r="GJ33" s="347"/>
      <c r="GK33" s="389"/>
      <c r="GL33" s="372"/>
      <c r="GM33" s="409"/>
      <c r="GN33" s="411"/>
      <c r="GO33" s="387"/>
      <c r="GP33" s="377"/>
      <c r="GQ33" s="378"/>
      <c r="GR33" s="380"/>
      <c r="GS33" s="341"/>
      <c r="GT33" s="342"/>
      <c r="GU33" s="343"/>
      <c r="IH33" s="358"/>
      <c r="II33" s="346"/>
      <c r="IJ33" s="347"/>
      <c r="IK33" s="347"/>
      <c r="IL33" s="347"/>
      <c r="IM33" s="347"/>
      <c r="IN33" s="347"/>
      <c r="IO33" s="347"/>
      <c r="IP33" s="347"/>
      <c r="IQ33" s="347"/>
      <c r="IR33" s="347"/>
      <c r="IS33" s="347"/>
      <c r="IT33" s="347"/>
      <c r="IU33" s="347"/>
      <c r="IV33" s="350"/>
      <c r="IW33" s="351"/>
      <c r="IX33" s="354"/>
      <c r="IY33" s="355"/>
      <c r="IZ33" s="387"/>
      <c r="JA33" s="377"/>
      <c r="JB33" s="378"/>
      <c r="JC33" s="380"/>
      <c r="JZ33" s="8"/>
      <c r="LP33" s="358"/>
      <c r="LQ33" s="346"/>
      <c r="LR33" s="347"/>
      <c r="LS33" s="347"/>
      <c r="LT33" s="347"/>
      <c r="LU33" s="347"/>
      <c r="LV33" s="347"/>
      <c r="LW33" s="347"/>
      <c r="LX33" s="347"/>
      <c r="LY33" s="347"/>
      <c r="LZ33" s="347"/>
      <c r="MA33" s="347"/>
      <c r="MB33" s="347"/>
      <c r="MC33" s="347"/>
      <c r="MD33" s="350"/>
      <c r="ME33" s="351"/>
      <c r="MF33" s="347"/>
      <c r="MG33" s="372"/>
      <c r="MH33" s="387"/>
      <c r="MI33" s="377"/>
      <c r="MJ33" s="378"/>
      <c r="MK33" s="380"/>
      <c r="OZ33" s="358"/>
      <c r="PA33" s="385"/>
      <c r="PB33" s="385"/>
      <c r="PC33" s="385"/>
      <c r="PD33" s="385"/>
      <c r="PE33" s="385"/>
      <c r="PF33" s="385"/>
      <c r="PG33" s="385"/>
      <c r="PH33" s="385"/>
      <c r="PI33" s="385"/>
      <c r="PJ33" s="385"/>
      <c r="PK33" s="385"/>
      <c r="PL33" s="385"/>
      <c r="PM33" s="392"/>
      <c r="PN33" s="350"/>
      <c r="PO33" s="351"/>
      <c r="PP33" s="347"/>
      <c r="PQ33" s="372"/>
      <c r="PR33" s="387"/>
      <c r="PS33" s="377"/>
      <c r="PT33" s="378"/>
      <c r="PU33" s="380"/>
      <c r="RX33" s="358"/>
      <c r="RY33" s="346"/>
      <c r="RZ33" s="347"/>
      <c r="SA33" s="347"/>
      <c r="SB33" s="347"/>
      <c r="SC33" s="347"/>
      <c r="SD33" s="347"/>
      <c r="SE33" s="347"/>
      <c r="SF33" s="347"/>
      <c r="SG33" s="347"/>
      <c r="SH33" s="347"/>
      <c r="SI33" s="347"/>
      <c r="SJ33" s="347"/>
      <c r="SK33" s="347"/>
      <c r="SL33" s="350"/>
      <c r="SM33" s="351"/>
      <c r="SN33" s="347"/>
      <c r="SO33" s="372"/>
      <c r="SP33" s="387"/>
      <c r="SQ33" s="377"/>
      <c r="SR33" s="378"/>
      <c r="SS33" s="380"/>
      <c r="VL33" s="358"/>
      <c r="VM33" s="385"/>
      <c r="VN33" s="385"/>
      <c r="VO33" s="385"/>
      <c r="VP33" s="385"/>
      <c r="VQ33" s="385"/>
      <c r="VR33" s="385"/>
      <c r="VS33" s="385"/>
      <c r="VT33" s="385"/>
      <c r="VU33" s="385"/>
      <c r="VV33" s="385"/>
      <c r="VW33" s="385"/>
      <c r="VX33" s="385"/>
      <c r="VY33" s="385"/>
      <c r="VZ33" s="385"/>
      <c r="WA33" s="385"/>
      <c r="WB33" s="346"/>
      <c r="WC33" s="372"/>
      <c r="WD33" s="387"/>
      <c r="WE33" s="377"/>
      <c r="WF33" s="378"/>
      <c r="WG33" s="380"/>
      <c r="ZG33" s="358"/>
      <c r="ZH33" s="385"/>
      <c r="ZI33" s="385"/>
      <c r="ZJ33" s="385"/>
      <c r="ZK33" s="385"/>
      <c r="ZL33" s="385"/>
      <c r="ZM33" s="385"/>
      <c r="ZN33" s="385"/>
      <c r="ZO33" s="385"/>
      <c r="ZP33" s="385"/>
      <c r="ZQ33" s="385"/>
      <c r="ZR33" s="385"/>
      <c r="ZS33" s="385"/>
      <c r="ZT33" s="385"/>
      <c r="ZU33" s="350"/>
      <c r="ZV33" s="351"/>
      <c r="ZW33" s="346"/>
      <c r="ZX33" s="372"/>
      <c r="ZY33" s="387"/>
      <c r="ZZ33" s="377"/>
      <c r="AAA33" s="378"/>
      <c r="AAB33" s="380"/>
      <c r="ACF33" s="358"/>
      <c r="ACG33" s="385"/>
      <c r="ACH33" s="385"/>
      <c r="ACI33" s="385"/>
      <c r="ACJ33" s="385"/>
      <c r="ACK33" s="385"/>
      <c r="ACL33" s="385"/>
      <c r="ACM33" s="385"/>
      <c r="ACN33" s="385"/>
      <c r="ACO33" s="385"/>
      <c r="ACP33" s="385"/>
      <c r="ACQ33" s="385"/>
      <c r="ACR33" s="385"/>
      <c r="ACS33" s="385"/>
      <c r="ACT33" s="350"/>
      <c r="ACU33" s="351"/>
      <c r="ACV33" s="346"/>
      <c r="ACW33" s="372"/>
      <c r="ACX33" s="387"/>
      <c r="ACY33" s="377"/>
      <c r="ACZ33" s="378"/>
      <c r="ADA33" s="380"/>
    </row>
    <row r="34" spans="1:781" ht="48" customHeight="1" x14ac:dyDescent="0.3">
      <c r="BE34" s="3"/>
      <c r="BF34" s="3"/>
      <c r="CW34" s="291"/>
      <c r="CX34" s="291"/>
      <c r="CY34" s="291"/>
      <c r="CZ34" s="291"/>
      <c r="DA34" s="291"/>
      <c r="DB34" s="291"/>
      <c r="DC34" s="291"/>
      <c r="DD34" s="291"/>
      <c r="DE34" s="291"/>
      <c r="DF34" s="291"/>
      <c r="DG34" s="291"/>
      <c r="DH34" s="291"/>
      <c r="DI34" s="291"/>
      <c r="DJ34" s="291"/>
      <c r="DK34" s="291"/>
      <c r="DL34" s="291"/>
      <c r="DM34" s="291"/>
      <c r="DN34" s="291"/>
      <c r="DO34" s="291"/>
      <c r="DP34" s="291"/>
      <c r="DQ34" s="291"/>
      <c r="DR34" s="291"/>
      <c r="DS34" s="291"/>
      <c r="DT34" s="291"/>
      <c r="DU34" s="291"/>
      <c r="DV34" s="291"/>
      <c r="JZ34" s="8" t="s">
        <v>110</v>
      </c>
    </row>
    <row r="35" spans="1:781" ht="48" customHeight="1" thickBot="1" x14ac:dyDescent="0.35">
      <c r="Z35" s="356"/>
      <c r="AA35" s="583">
        <v>2.4</v>
      </c>
      <c r="AB35" s="583"/>
      <c r="AC35" s="149"/>
      <c r="AD35" s="151"/>
      <c r="AE35" s="151"/>
      <c r="AF35" s="151"/>
      <c r="AG35" s="151"/>
      <c r="AH35" s="151"/>
      <c r="AI35" s="151"/>
      <c r="AJ35" s="149"/>
      <c r="AK35" s="146" t="s">
        <v>629</v>
      </c>
      <c r="AL35" s="570" t="s">
        <v>623</v>
      </c>
      <c r="AM35" s="571"/>
      <c r="AN35" s="361" t="s">
        <v>189</v>
      </c>
      <c r="AO35" s="362"/>
      <c r="AP35" s="363" t="s">
        <v>910</v>
      </c>
      <c r="AQ35" s="364"/>
      <c r="AR35" s="365" t="s">
        <v>638</v>
      </c>
      <c r="AS35" s="366"/>
      <c r="AT35" s="366"/>
      <c r="AU35" s="367"/>
      <c r="AV35" s="337" t="s">
        <v>637</v>
      </c>
      <c r="AW35" s="337"/>
      <c r="AX35" s="337"/>
      <c r="AY35" s="337"/>
      <c r="BE35" s="3"/>
      <c r="BF35" s="3"/>
      <c r="BO35" s="356"/>
      <c r="BP35" s="546" t="s">
        <v>25</v>
      </c>
      <c r="BQ35" s="547"/>
      <c r="BR35" s="281"/>
      <c r="BS35" s="175"/>
      <c r="BT35" s="175"/>
      <c r="BU35" s="175"/>
      <c r="BV35" s="175"/>
      <c r="BW35" s="175"/>
      <c r="BX35" s="175"/>
      <c r="BY35" s="281"/>
      <c r="BZ35" s="173" t="s">
        <v>629</v>
      </c>
      <c r="CA35" s="359" t="s">
        <v>623</v>
      </c>
      <c r="CB35" s="381"/>
      <c r="CC35" s="382" t="s">
        <v>189</v>
      </c>
      <c r="CD35" s="383"/>
      <c r="CE35" s="363" t="s">
        <v>910</v>
      </c>
      <c r="CF35" s="364"/>
      <c r="CG35" s="365" t="s">
        <v>638</v>
      </c>
      <c r="CH35" s="366"/>
      <c r="CI35" s="366"/>
      <c r="CJ35" s="367"/>
      <c r="CK35" s="337" t="s">
        <v>624</v>
      </c>
      <c r="CL35" s="337"/>
      <c r="CM35" s="337"/>
      <c r="CN35" s="337"/>
      <c r="CW35" s="291"/>
      <c r="CX35" s="291"/>
      <c r="CY35" s="291"/>
      <c r="CZ35" s="291"/>
      <c r="DA35" s="291"/>
      <c r="DB35" s="291"/>
      <c r="DC35" s="291"/>
      <c r="DD35" s="291"/>
      <c r="DE35" s="291"/>
      <c r="DF35" s="291"/>
      <c r="DG35" s="291"/>
      <c r="DH35" s="291"/>
      <c r="DI35" s="291"/>
      <c r="DJ35" s="291"/>
      <c r="DK35" s="291"/>
      <c r="DL35" s="291"/>
      <c r="DM35" s="291"/>
      <c r="DN35" s="291"/>
      <c r="DO35" s="291"/>
      <c r="DP35" s="291"/>
      <c r="DQ35" s="356"/>
      <c r="DR35" s="297" t="s">
        <v>604</v>
      </c>
      <c r="DS35" s="298"/>
      <c r="DT35" s="315"/>
      <c r="DU35" s="175"/>
      <c r="DV35" s="175"/>
      <c r="DW35" s="175"/>
      <c r="DX35" s="175"/>
      <c r="DY35" s="175"/>
      <c r="DZ35" s="175"/>
      <c r="EA35" s="315"/>
      <c r="EB35" s="173" t="s">
        <v>629</v>
      </c>
      <c r="EC35" s="359" t="s">
        <v>623</v>
      </c>
      <c r="ED35" s="381"/>
      <c r="EE35" s="382" t="s">
        <v>189</v>
      </c>
      <c r="EF35" s="383"/>
      <c r="EG35" s="363" t="s">
        <v>910</v>
      </c>
      <c r="EH35" s="364"/>
      <c r="EI35" s="365" t="s">
        <v>638</v>
      </c>
      <c r="EJ35" s="366"/>
      <c r="EK35" s="366"/>
      <c r="EL35" s="367"/>
      <c r="FW35" s="356"/>
      <c r="FX35" s="297" t="s">
        <v>604</v>
      </c>
      <c r="FY35" s="298"/>
      <c r="FZ35" s="315"/>
      <c r="GA35" s="175"/>
      <c r="GB35" s="175"/>
      <c r="GC35" s="175"/>
      <c r="GD35" s="175"/>
      <c r="GE35" s="175"/>
      <c r="GF35" s="175"/>
      <c r="GG35" s="315"/>
      <c r="GH35" s="173" t="s">
        <v>629</v>
      </c>
      <c r="GI35" s="359" t="s">
        <v>623</v>
      </c>
      <c r="GJ35" s="360"/>
      <c r="GK35" s="361" t="s">
        <v>189</v>
      </c>
      <c r="GL35" s="362"/>
      <c r="GM35" s="363" t="s">
        <v>910</v>
      </c>
      <c r="GN35" s="364"/>
      <c r="GO35" s="365" t="s">
        <v>638</v>
      </c>
      <c r="GP35" s="366"/>
      <c r="GQ35" s="366"/>
      <c r="GR35" s="367"/>
      <c r="GS35" s="365" t="s">
        <v>624</v>
      </c>
      <c r="GT35" s="366"/>
      <c r="GU35" s="366"/>
      <c r="GV35" s="366"/>
      <c r="GW35" s="367"/>
      <c r="IH35" s="356"/>
      <c r="II35" s="297" t="s">
        <v>604</v>
      </c>
      <c r="IJ35" s="298"/>
      <c r="IK35" s="315"/>
      <c r="IL35" s="175"/>
      <c r="IM35" s="175"/>
      <c r="IN35" s="175"/>
      <c r="IO35" s="175"/>
      <c r="IP35" s="175"/>
      <c r="IQ35" s="175"/>
      <c r="IR35" s="315"/>
      <c r="IS35" s="173" t="s">
        <v>629</v>
      </c>
      <c r="IT35" s="359" t="s">
        <v>623</v>
      </c>
      <c r="IU35" s="360"/>
      <c r="IV35" s="361" t="s">
        <v>189</v>
      </c>
      <c r="IW35" s="362"/>
      <c r="IX35" s="363" t="s">
        <v>910</v>
      </c>
      <c r="IY35" s="364"/>
      <c r="IZ35" s="365" t="s">
        <v>638</v>
      </c>
      <c r="JA35" s="366"/>
      <c r="JB35" s="366"/>
      <c r="JC35" s="367"/>
      <c r="LP35" s="356"/>
      <c r="LQ35" s="297" t="s">
        <v>604</v>
      </c>
      <c r="LR35" s="298"/>
      <c r="LS35" s="315"/>
      <c r="LT35" s="175"/>
      <c r="LU35" s="175"/>
      <c r="LV35" s="175"/>
      <c r="LW35" s="175"/>
      <c r="LX35" s="175"/>
      <c r="LY35" s="175"/>
      <c r="LZ35" s="315"/>
      <c r="MA35" s="173" t="s">
        <v>629</v>
      </c>
      <c r="MB35" s="359" t="s">
        <v>623</v>
      </c>
      <c r="MC35" s="360"/>
      <c r="MD35" s="382" t="s">
        <v>189</v>
      </c>
      <c r="ME35" s="383"/>
      <c r="MF35" s="363" t="s">
        <v>910</v>
      </c>
      <c r="MG35" s="364"/>
      <c r="MH35" s="365" t="s">
        <v>638</v>
      </c>
      <c r="MI35" s="366"/>
      <c r="MJ35" s="366"/>
      <c r="MK35" s="367"/>
      <c r="OZ35" s="356"/>
      <c r="PA35" s="297" t="s">
        <v>604</v>
      </c>
      <c r="PB35" s="298"/>
      <c r="PC35" s="315"/>
      <c r="PD35" s="175"/>
      <c r="PE35" s="175"/>
      <c r="PF35" s="175"/>
      <c r="PG35" s="175"/>
      <c r="PH35" s="175"/>
      <c r="PI35" s="175"/>
      <c r="PJ35" s="315"/>
      <c r="PK35" s="173" t="s">
        <v>629</v>
      </c>
      <c r="PL35" s="359" t="s">
        <v>623</v>
      </c>
      <c r="PM35" s="360"/>
      <c r="PN35" s="382" t="s">
        <v>189</v>
      </c>
      <c r="PO35" s="383"/>
      <c r="PP35" s="363" t="s">
        <v>910</v>
      </c>
      <c r="PQ35" s="364"/>
      <c r="PR35" s="365" t="s">
        <v>638</v>
      </c>
      <c r="PS35" s="366"/>
      <c r="PT35" s="366"/>
      <c r="PU35" s="367"/>
      <c r="RX35" s="356"/>
      <c r="RY35" s="297" t="s">
        <v>604</v>
      </c>
      <c r="RZ35" s="298"/>
      <c r="SA35" s="315"/>
      <c r="SB35" s="175"/>
      <c r="SC35" s="175"/>
      <c r="SD35" s="175"/>
      <c r="SE35" s="175"/>
      <c r="SF35" s="175"/>
      <c r="SG35" s="175"/>
      <c r="SH35" s="315"/>
      <c r="SI35" s="173" t="s">
        <v>629</v>
      </c>
      <c r="SJ35" s="359" t="s">
        <v>623</v>
      </c>
      <c r="SK35" s="360"/>
      <c r="SL35" s="382" t="s">
        <v>189</v>
      </c>
      <c r="SM35" s="383"/>
      <c r="SN35" s="363" t="s">
        <v>910</v>
      </c>
      <c r="SO35" s="364"/>
      <c r="SP35" s="365" t="s">
        <v>638</v>
      </c>
      <c r="SQ35" s="366"/>
      <c r="SR35" s="366"/>
      <c r="SS35" s="367"/>
      <c r="VL35" s="356"/>
      <c r="VM35" s="297" t="s">
        <v>604</v>
      </c>
      <c r="VN35" s="298"/>
      <c r="VO35" s="315"/>
      <c r="VP35" s="175"/>
      <c r="VQ35" s="175"/>
      <c r="VR35" s="175"/>
      <c r="VS35" s="175"/>
      <c r="VT35" s="175"/>
      <c r="VU35" s="175"/>
      <c r="VV35" s="315"/>
      <c r="VW35" s="173" t="s">
        <v>629</v>
      </c>
      <c r="VX35" s="359" t="s">
        <v>623</v>
      </c>
      <c r="VY35" s="360"/>
      <c r="VZ35" s="361" t="s">
        <v>189</v>
      </c>
      <c r="WA35" s="362"/>
      <c r="WB35" s="363" t="s">
        <v>910</v>
      </c>
      <c r="WC35" s="364"/>
      <c r="WD35" s="365" t="s">
        <v>638</v>
      </c>
      <c r="WE35" s="366"/>
      <c r="WF35" s="366"/>
      <c r="WG35" s="367"/>
      <c r="ZG35" s="356"/>
      <c r="ZH35" s="297" t="s">
        <v>604</v>
      </c>
      <c r="ZI35" s="298"/>
      <c r="ZJ35" s="315"/>
      <c r="ZK35" s="175"/>
      <c r="ZL35" s="175"/>
      <c r="ZM35" s="175"/>
      <c r="ZN35" s="175"/>
      <c r="ZO35" s="175"/>
      <c r="ZP35" s="175"/>
      <c r="ZQ35" s="315"/>
      <c r="ZR35" s="173" t="s">
        <v>629</v>
      </c>
      <c r="ZS35" s="359" t="s">
        <v>623</v>
      </c>
      <c r="ZT35" s="360"/>
      <c r="ZU35" s="361" t="s">
        <v>189</v>
      </c>
      <c r="ZV35" s="362"/>
      <c r="ZW35" s="363" t="s">
        <v>910</v>
      </c>
      <c r="ZX35" s="364"/>
      <c r="ZY35" s="365" t="s">
        <v>638</v>
      </c>
      <c r="ZZ35" s="366"/>
      <c r="AAA35" s="366"/>
      <c r="AAB35" s="367"/>
      <c r="ACF35" s="356"/>
      <c r="ACG35" s="297" t="s">
        <v>604</v>
      </c>
      <c r="ACH35" s="298"/>
      <c r="ACI35" s="315"/>
      <c r="ACJ35" s="175"/>
      <c r="ACK35" s="175"/>
      <c r="ACL35" s="175"/>
      <c r="ACM35" s="175"/>
      <c r="ACN35" s="175"/>
      <c r="ACO35" s="175"/>
      <c r="ACP35" s="315"/>
      <c r="ACQ35" s="173" t="s">
        <v>629</v>
      </c>
      <c r="ACR35" s="359" t="s">
        <v>623</v>
      </c>
      <c r="ACS35" s="360"/>
      <c r="ACT35" s="361" t="s">
        <v>189</v>
      </c>
      <c r="ACU35" s="362"/>
      <c r="ACV35" s="363" t="s">
        <v>910</v>
      </c>
      <c r="ACW35" s="364"/>
      <c r="ACX35" s="365" t="s">
        <v>638</v>
      </c>
      <c r="ACY35" s="366"/>
      <c r="ACZ35" s="366"/>
      <c r="ADA35" s="367"/>
    </row>
    <row r="36" spans="1:781" ht="48" customHeight="1" x14ac:dyDescent="0.3">
      <c r="A36" s="286"/>
      <c r="B36" s="286"/>
      <c r="C36" s="286"/>
      <c r="Z36" s="357"/>
      <c r="AA36" s="523" t="s">
        <v>16</v>
      </c>
      <c r="AB36" s="573"/>
      <c r="AC36" s="573"/>
      <c r="AD36" s="573"/>
      <c r="AE36" s="573"/>
      <c r="AF36" s="573"/>
      <c r="AG36" s="573"/>
      <c r="AH36" s="573"/>
      <c r="AI36" s="573"/>
      <c r="AJ36" s="573"/>
      <c r="AK36" s="573"/>
      <c r="AL36" s="573"/>
      <c r="AM36" s="574"/>
      <c r="AN36" s="586">
        <f>(3.14*AN32)/AN16</f>
        <v>0.26781845000000004</v>
      </c>
      <c r="AO36" s="587"/>
      <c r="AP36" s="579" t="s">
        <v>916</v>
      </c>
      <c r="AQ36" s="580"/>
      <c r="AR36" s="379"/>
      <c r="AS36" s="416" t="s">
        <v>618</v>
      </c>
      <c r="AT36" s="417"/>
      <c r="AU36" s="379"/>
      <c r="AV36" s="396"/>
      <c r="AW36" s="397"/>
      <c r="AX36" s="397"/>
      <c r="AY36" s="398"/>
      <c r="BD36"/>
      <c r="BF36" s="12"/>
      <c r="BO36" s="357"/>
      <c r="BP36" s="514" t="s">
        <v>32</v>
      </c>
      <c r="BQ36" s="515"/>
      <c r="BR36" s="515"/>
      <c r="BS36" s="515"/>
      <c r="BT36" s="515"/>
      <c r="BU36" s="515"/>
      <c r="BV36" s="515"/>
      <c r="BW36" s="515"/>
      <c r="BX36" s="515"/>
      <c r="BY36" s="515"/>
      <c r="BZ36" s="515"/>
      <c r="CA36" s="515"/>
      <c r="CB36" s="515"/>
      <c r="CC36" s="441">
        <f>CC28/(AN16*CD32)</f>
        <v>7</v>
      </c>
      <c r="CD36" s="442"/>
      <c r="CE36" s="536" t="s">
        <v>940</v>
      </c>
      <c r="CF36" s="537"/>
      <c r="CG36" s="386"/>
      <c r="CH36" s="476" t="s">
        <v>1012</v>
      </c>
      <c r="CI36" s="531"/>
      <c r="CJ36" s="379"/>
      <c r="CK36" s="399"/>
      <c r="CL36" s="399"/>
      <c r="CM36" s="399"/>
      <c r="CN36" s="399"/>
      <c r="CW36" s="291"/>
      <c r="CX36" s="291"/>
      <c r="CY36" s="291"/>
      <c r="CZ36" s="291"/>
      <c r="DA36" s="291"/>
      <c r="DB36" s="291"/>
      <c r="DC36" s="291"/>
      <c r="DD36" s="291"/>
      <c r="DE36" s="291"/>
      <c r="DF36" s="291"/>
      <c r="DG36" s="291"/>
      <c r="DH36" s="291"/>
      <c r="DI36" s="291"/>
      <c r="DJ36" s="291"/>
      <c r="DK36" s="291"/>
      <c r="DL36" s="291"/>
      <c r="DM36" s="291"/>
      <c r="DN36" s="291"/>
      <c r="DO36" s="291"/>
      <c r="DP36" s="291"/>
      <c r="DQ36" s="357"/>
      <c r="DR36" s="384" t="s">
        <v>1029</v>
      </c>
      <c r="DS36" s="384"/>
      <c r="DT36" s="384"/>
      <c r="DU36" s="384"/>
      <c r="DV36" s="384"/>
      <c r="DW36" s="384"/>
      <c r="DX36" s="384"/>
      <c r="DY36" s="384"/>
      <c r="DZ36" s="384"/>
      <c r="EA36" s="384"/>
      <c r="EB36" s="384"/>
      <c r="EC36" s="384"/>
      <c r="ED36" s="391"/>
      <c r="EE36" s="478">
        <v>0.97</v>
      </c>
      <c r="EF36" s="479"/>
      <c r="EG36" s="388"/>
      <c r="EH36" s="371"/>
      <c r="EI36" s="386"/>
      <c r="EJ36" s="476" t="s">
        <v>1075</v>
      </c>
      <c r="EK36" s="376"/>
      <c r="EL36" s="379"/>
      <c r="FW36" s="357"/>
      <c r="FX36" s="344" t="s">
        <v>1061</v>
      </c>
      <c r="FY36" s="345"/>
      <c r="FZ36" s="345"/>
      <c r="GA36" s="345"/>
      <c r="GB36" s="345"/>
      <c r="GC36" s="345"/>
      <c r="GD36" s="345"/>
      <c r="GE36" s="345"/>
      <c r="GF36" s="345"/>
      <c r="GG36" s="345"/>
      <c r="GH36" s="345"/>
      <c r="GI36" s="345"/>
      <c r="GJ36" s="345"/>
      <c r="GK36" s="388">
        <f>GK20*GK40</f>
        <v>7.1989999999999998E-2</v>
      </c>
      <c r="GL36" s="371"/>
      <c r="GM36" s="406" t="s">
        <v>19</v>
      </c>
      <c r="GN36" s="408"/>
      <c r="GO36" s="373"/>
      <c r="GP36" s="416" t="s">
        <v>1062</v>
      </c>
      <c r="GQ36" s="417"/>
      <c r="GR36" s="379"/>
      <c r="GS36" s="396"/>
      <c r="GT36" s="397"/>
      <c r="GU36" s="397"/>
      <c r="GV36" s="397"/>
      <c r="GW36" s="398"/>
      <c r="IH36" s="357"/>
      <c r="II36" s="344" t="s">
        <v>90</v>
      </c>
      <c r="IJ36" s="345"/>
      <c r="IK36" s="345"/>
      <c r="IL36" s="345"/>
      <c r="IM36" s="345"/>
      <c r="IN36" s="345"/>
      <c r="IO36" s="345"/>
      <c r="IP36" s="345"/>
      <c r="IQ36" s="345"/>
      <c r="IR36" s="345"/>
      <c r="IS36" s="345"/>
      <c r="IT36" s="345"/>
      <c r="IU36" s="345"/>
      <c r="IV36" s="348">
        <f>(2/((4*3.14)/10000000))*AQ56*GK12/1000*IV40</f>
        <v>784.71946141059811</v>
      </c>
      <c r="IW36" s="349"/>
      <c r="IX36" s="352"/>
      <c r="IY36" s="353"/>
      <c r="IZ36" s="373"/>
      <c r="JA36" s="375" t="s">
        <v>604</v>
      </c>
      <c r="JB36" s="376"/>
      <c r="JC36" s="379"/>
      <c r="JZ36" s="8" t="s">
        <v>111</v>
      </c>
      <c r="LP36" s="357"/>
      <c r="LQ36" s="344" t="s">
        <v>122</v>
      </c>
      <c r="LR36" s="345"/>
      <c r="LS36" s="345"/>
      <c r="LT36" s="345"/>
      <c r="LU36" s="345"/>
      <c r="LV36" s="345"/>
      <c r="LW36" s="345"/>
      <c r="LX36" s="345"/>
      <c r="LY36" s="345"/>
      <c r="LZ36" s="345"/>
      <c r="MA36" s="345"/>
      <c r="MB36" s="345"/>
      <c r="MC36" s="345"/>
      <c r="MD36" s="348">
        <f>MD12*(CC48/AH6)</f>
        <v>8.8577617262896244E-3</v>
      </c>
      <c r="ME36" s="349"/>
      <c r="MF36" s="390"/>
      <c r="MG36" s="371"/>
      <c r="MH36" s="373"/>
      <c r="MI36" s="375" t="s">
        <v>604</v>
      </c>
      <c r="MJ36" s="376"/>
      <c r="MK36" s="379"/>
      <c r="OZ36" s="357"/>
      <c r="PA36" s="344"/>
      <c r="PB36" s="345"/>
      <c r="PC36" s="345"/>
      <c r="PD36" s="345"/>
      <c r="PE36" s="345"/>
      <c r="PF36" s="345"/>
      <c r="PG36" s="345"/>
      <c r="PH36" s="345"/>
      <c r="PI36" s="345"/>
      <c r="PJ36" s="345"/>
      <c r="PK36" s="345"/>
      <c r="PL36" s="345"/>
      <c r="PM36" s="345"/>
      <c r="PN36" s="388"/>
      <c r="PO36" s="371"/>
      <c r="PP36" s="390"/>
      <c r="PQ36" s="371"/>
      <c r="PR36" s="373"/>
      <c r="PS36" s="375" t="s">
        <v>604</v>
      </c>
      <c r="PT36" s="376"/>
      <c r="PU36" s="379"/>
      <c r="RX36" s="357"/>
      <c r="RY36" s="344"/>
      <c r="RZ36" s="345"/>
      <c r="SA36" s="345"/>
      <c r="SB36" s="345"/>
      <c r="SC36" s="345"/>
      <c r="SD36" s="345"/>
      <c r="SE36" s="345"/>
      <c r="SF36" s="345"/>
      <c r="SG36" s="345"/>
      <c r="SH36" s="345"/>
      <c r="SI36" s="345"/>
      <c r="SJ36" s="345"/>
      <c r="SK36" s="345"/>
      <c r="SL36" s="388"/>
      <c r="SM36" s="371"/>
      <c r="SN36" s="390"/>
      <c r="SO36" s="371"/>
      <c r="SP36" s="373"/>
      <c r="SQ36" s="375" t="s">
        <v>604</v>
      </c>
      <c r="SR36" s="376"/>
      <c r="SS36" s="379"/>
      <c r="VL36" s="357"/>
      <c r="VM36" s="344"/>
      <c r="VN36" s="345"/>
      <c r="VO36" s="345"/>
      <c r="VP36" s="345"/>
      <c r="VQ36" s="345"/>
      <c r="VR36" s="345"/>
      <c r="VS36" s="345"/>
      <c r="VT36" s="345"/>
      <c r="VU36" s="345"/>
      <c r="VV36" s="345"/>
      <c r="VW36" s="345"/>
      <c r="VX36" s="345"/>
      <c r="VY36" s="368"/>
      <c r="VZ36" s="344"/>
      <c r="WA36" s="368"/>
      <c r="WB36" s="370"/>
      <c r="WC36" s="371"/>
      <c r="WD36" s="373"/>
      <c r="WE36" s="375" t="s">
        <v>604</v>
      </c>
      <c r="WF36" s="376"/>
      <c r="WG36" s="379"/>
      <c r="ZG36" s="357"/>
      <c r="ZH36" s="344"/>
      <c r="ZI36" s="345"/>
      <c r="ZJ36" s="345"/>
      <c r="ZK36" s="345"/>
      <c r="ZL36" s="345"/>
      <c r="ZM36" s="345"/>
      <c r="ZN36" s="345"/>
      <c r="ZO36" s="345"/>
      <c r="ZP36" s="345"/>
      <c r="ZQ36" s="345"/>
      <c r="ZR36" s="345"/>
      <c r="ZS36" s="345"/>
      <c r="ZT36" s="368"/>
      <c r="ZU36" s="348"/>
      <c r="ZV36" s="349"/>
      <c r="ZW36" s="370"/>
      <c r="ZX36" s="371"/>
      <c r="ZY36" s="373"/>
      <c r="ZZ36" s="375" t="s">
        <v>604</v>
      </c>
      <c r="AAA36" s="376"/>
      <c r="AAB36" s="379"/>
      <c r="ACF36" s="357"/>
      <c r="ACG36" s="344"/>
      <c r="ACH36" s="345"/>
      <c r="ACI36" s="345"/>
      <c r="ACJ36" s="345"/>
      <c r="ACK36" s="345"/>
      <c r="ACL36" s="345"/>
      <c r="ACM36" s="345"/>
      <c r="ACN36" s="345"/>
      <c r="ACO36" s="345"/>
      <c r="ACP36" s="345"/>
      <c r="ACQ36" s="345"/>
      <c r="ACR36" s="345"/>
      <c r="ACS36" s="368"/>
      <c r="ACT36" s="348"/>
      <c r="ACU36" s="349"/>
      <c r="ACV36" s="370"/>
      <c r="ACW36" s="371"/>
      <c r="ACX36" s="373"/>
      <c r="ACY36" s="375" t="s">
        <v>604</v>
      </c>
      <c r="ACZ36" s="376"/>
      <c r="ADA36" s="379"/>
    </row>
    <row r="37" spans="1:781" ht="48" customHeight="1" thickBot="1" x14ac:dyDescent="0.35">
      <c r="A37" s="5"/>
      <c r="Z37" s="358"/>
      <c r="AA37" s="575"/>
      <c r="AB37" s="544"/>
      <c r="AC37" s="544"/>
      <c r="AD37" s="544"/>
      <c r="AE37" s="544"/>
      <c r="AF37" s="544"/>
      <c r="AG37" s="544"/>
      <c r="AH37" s="544"/>
      <c r="AI37" s="544"/>
      <c r="AJ37" s="544"/>
      <c r="AK37" s="544"/>
      <c r="AL37" s="544"/>
      <c r="AM37" s="576"/>
      <c r="AN37" s="588"/>
      <c r="AO37" s="589"/>
      <c r="AP37" s="581"/>
      <c r="AQ37" s="582"/>
      <c r="AR37" s="380"/>
      <c r="AS37" s="418"/>
      <c r="AT37" s="419"/>
      <c r="AU37" s="380"/>
      <c r="AV37" s="341"/>
      <c r="AW37" s="342"/>
      <c r="AX37" s="342"/>
      <c r="AY37" s="343"/>
      <c r="BF37" s="12"/>
      <c r="BO37" s="358"/>
      <c r="BP37" s="517"/>
      <c r="BQ37" s="518"/>
      <c r="BR37" s="518"/>
      <c r="BS37" s="518"/>
      <c r="BT37" s="518"/>
      <c r="BU37" s="518"/>
      <c r="BV37" s="518"/>
      <c r="BW37" s="518"/>
      <c r="BX37" s="518"/>
      <c r="BY37" s="518"/>
      <c r="BZ37" s="518"/>
      <c r="CA37" s="518"/>
      <c r="CB37" s="518"/>
      <c r="CC37" s="443"/>
      <c r="CD37" s="444"/>
      <c r="CE37" s="538"/>
      <c r="CF37" s="539"/>
      <c r="CG37" s="387"/>
      <c r="CH37" s="532"/>
      <c r="CI37" s="533"/>
      <c r="CJ37" s="380"/>
      <c r="CK37" s="400"/>
      <c r="CL37" s="400"/>
      <c r="CM37" s="400"/>
      <c r="CN37" s="400"/>
      <c r="DA37" s="291"/>
      <c r="DB37" s="291"/>
      <c r="DC37" s="291"/>
      <c r="DD37" s="291"/>
      <c r="DE37" s="291"/>
      <c r="DI37" s="291"/>
      <c r="DJ37" s="291"/>
      <c r="DK37" s="291"/>
      <c r="DL37" s="291"/>
      <c r="DM37" s="291"/>
      <c r="DN37" s="291"/>
      <c r="DO37" s="291"/>
      <c r="DP37" s="291"/>
      <c r="DQ37" s="358"/>
      <c r="DR37" s="385"/>
      <c r="DS37" s="385"/>
      <c r="DT37" s="385"/>
      <c r="DU37" s="385"/>
      <c r="DV37" s="385"/>
      <c r="DW37" s="385"/>
      <c r="DX37" s="385"/>
      <c r="DY37" s="385"/>
      <c r="DZ37" s="385"/>
      <c r="EA37" s="385"/>
      <c r="EB37" s="385"/>
      <c r="EC37" s="385"/>
      <c r="ED37" s="392"/>
      <c r="EE37" s="480"/>
      <c r="EF37" s="481"/>
      <c r="EG37" s="389"/>
      <c r="EH37" s="372"/>
      <c r="EI37" s="387"/>
      <c r="EJ37" s="377"/>
      <c r="EK37" s="378"/>
      <c r="EL37" s="380"/>
      <c r="FW37" s="358"/>
      <c r="FX37" s="346"/>
      <c r="FY37" s="347"/>
      <c r="FZ37" s="347"/>
      <c r="GA37" s="347"/>
      <c r="GB37" s="347"/>
      <c r="GC37" s="347"/>
      <c r="GD37" s="347"/>
      <c r="GE37" s="347"/>
      <c r="GF37" s="347"/>
      <c r="GG37" s="347"/>
      <c r="GH37" s="347"/>
      <c r="GI37" s="347"/>
      <c r="GJ37" s="347"/>
      <c r="GK37" s="389"/>
      <c r="GL37" s="372"/>
      <c r="GM37" s="409"/>
      <c r="GN37" s="411"/>
      <c r="GO37" s="374"/>
      <c r="GP37" s="418"/>
      <c r="GQ37" s="419"/>
      <c r="GR37" s="380"/>
      <c r="GS37" s="341"/>
      <c r="GT37" s="342"/>
      <c r="GU37" s="342"/>
      <c r="GV37" s="342"/>
      <c r="GW37" s="343"/>
      <c r="IH37" s="358"/>
      <c r="II37" s="346"/>
      <c r="IJ37" s="347"/>
      <c r="IK37" s="347"/>
      <c r="IL37" s="347"/>
      <c r="IM37" s="347"/>
      <c r="IN37" s="347"/>
      <c r="IO37" s="347"/>
      <c r="IP37" s="347"/>
      <c r="IQ37" s="347"/>
      <c r="IR37" s="347"/>
      <c r="IS37" s="347"/>
      <c r="IT37" s="347"/>
      <c r="IU37" s="347"/>
      <c r="IV37" s="350"/>
      <c r="IW37" s="351"/>
      <c r="IX37" s="354"/>
      <c r="IY37" s="355"/>
      <c r="IZ37" s="374"/>
      <c r="JA37" s="377"/>
      <c r="JB37" s="378"/>
      <c r="JC37" s="380"/>
      <c r="LP37" s="358"/>
      <c r="LQ37" s="346"/>
      <c r="LR37" s="347"/>
      <c r="LS37" s="347"/>
      <c r="LT37" s="347"/>
      <c r="LU37" s="347"/>
      <c r="LV37" s="347"/>
      <c r="LW37" s="347"/>
      <c r="LX37" s="347"/>
      <c r="LY37" s="347"/>
      <c r="LZ37" s="347"/>
      <c r="MA37" s="347"/>
      <c r="MB37" s="347"/>
      <c r="MC37" s="347"/>
      <c r="MD37" s="350"/>
      <c r="ME37" s="351"/>
      <c r="MF37" s="347"/>
      <c r="MG37" s="372"/>
      <c r="MH37" s="374"/>
      <c r="MI37" s="377"/>
      <c r="MJ37" s="378"/>
      <c r="MK37" s="380"/>
      <c r="OZ37" s="358"/>
      <c r="PA37" s="346"/>
      <c r="PB37" s="347"/>
      <c r="PC37" s="347"/>
      <c r="PD37" s="347"/>
      <c r="PE37" s="347"/>
      <c r="PF37" s="347"/>
      <c r="PG37" s="347"/>
      <c r="PH37" s="347"/>
      <c r="PI37" s="347"/>
      <c r="PJ37" s="347"/>
      <c r="PK37" s="347"/>
      <c r="PL37" s="347"/>
      <c r="PM37" s="347"/>
      <c r="PN37" s="389"/>
      <c r="PO37" s="372"/>
      <c r="PP37" s="347"/>
      <c r="PQ37" s="372"/>
      <c r="PR37" s="374"/>
      <c r="PS37" s="377"/>
      <c r="PT37" s="378"/>
      <c r="PU37" s="380"/>
      <c r="RX37" s="358"/>
      <c r="RY37" s="346"/>
      <c r="RZ37" s="347"/>
      <c r="SA37" s="347"/>
      <c r="SB37" s="347"/>
      <c r="SC37" s="347"/>
      <c r="SD37" s="347"/>
      <c r="SE37" s="347"/>
      <c r="SF37" s="347"/>
      <c r="SG37" s="347"/>
      <c r="SH37" s="347"/>
      <c r="SI37" s="347"/>
      <c r="SJ37" s="347"/>
      <c r="SK37" s="347"/>
      <c r="SL37" s="389"/>
      <c r="SM37" s="372"/>
      <c r="SN37" s="347"/>
      <c r="SO37" s="372"/>
      <c r="SP37" s="374"/>
      <c r="SQ37" s="377"/>
      <c r="SR37" s="378"/>
      <c r="SS37" s="380"/>
      <c r="VL37" s="358"/>
      <c r="VM37" s="346"/>
      <c r="VN37" s="347"/>
      <c r="VO37" s="347"/>
      <c r="VP37" s="347"/>
      <c r="VQ37" s="347"/>
      <c r="VR37" s="347"/>
      <c r="VS37" s="347"/>
      <c r="VT37" s="347"/>
      <c r="VU37" s="347"/>
      <c r="VV37" s="347"/>
      <c r="VW37" s="347"/>
      <c r="VX37" s="347"/>
      <c r="VY37" s="369"/>
      <c r="VZ37" s="346"/>
      <c r="WA37" s="369"/>
      <c r="WB37" s="346"/>
      <c r="WC37" s="372"/>
      <c r="WD37" s="374"/>
      <c r="WE37" s="377"/>
      <c r="WF37" s="378"/>
      <c r="WG37" s="380"/>
      <c r="ZG37" s="358"/>
      <c r="ZH37" s="346"/>
      <c r="ZI37" s="347"/>
      <c r="ZJ37" s="347"/>
      <c r="ZK37" s="347"/>
      <c r="ZL37" s="347"/>
      <c r="ZM37" s="347"/>
      <c r="ZN37" s="347"/>
      <c r="ZO37" s="347"/>
      <c r="ZP37" s="347"/>
      <c r="ZQ37" s="347"/>
      <c r="ZR37" s="347"/>
      <c r="ZS37" s="347"/>
      <c r="ZT37" s="369"/>
      <c r="ZU37" s="350"/>
      <c r="ZV37" s="351"/>
      <c r="ZW37" s="346"/>
      <c r="ZX37" s="372"/>
      <c r="ZY37" s="374"/>
      <c r="ZZ37" s="377"/>
      <c r="AAA37" s="378"/>
      <c r="AAB37" s="380"/>
      <c r="ACF37" s="358"/>
      <c r="ACG37" s="346"/>
      <c r="ACH37" s="347"/>
      <c r="ACI37" s="347"/>
      <c r="ACJ37" s="347"/>
      <c r="ACK37" s="347"/>
      <c r="ACL37" s="347"/>
      <c r="ACM37" s="347"/>
      <c r="ACN37" s="347"/>
      <c r="ACO37" s="347"/>
      <c r="ACP37" s="347"/>
      <c r="ACQ37" s="347"/>
      <c r="ACR37" s="347"/>
      <c r="ACS37" s="369"/>
      <c r="ACT37" s="350"/>
      <c r="ACU37" s="351"/>
      <c r="ACV37" s="346"/>
      <c r="ACW37" s="372"/>
      <c r="ACX37" s="374"/>
      <c r="ACY37" s="377"/>
      <c r="ACZ37" s="378"/>
      <c r="ADA37" s="380"/>
    </row>
    <row r="38" spans="1:781" ht="48" customHeight="1" x14ac:dyDescent="0.3">
      <c r="AD38" s="154"/>
      <c r="AL38" s="23"/>
      <c r="AM38" s="23"/>
      <c r="AN38" s="19"/>
      <c r="AO38" s="19"/>
      <c r="AP38" s="23"/>
      <c r="BF38" s="12"/>
      <c r="DA38" s="291"/>
      <c r="DB38" s="291"/>
      <c r="DC38" s="291"/>
      <c r="DD38" s="291"/>
      <c r="DE38" s="291"/>
      <c r="DI38" s="291"/>
      <c r="DJ38" s="291"/>
      <c r="DK38" s="291"/>
      <c r="DL38" s="291"/>
      <c r="DM38" s="291"/>
      <c r="DN38" s="291"/>
      <c r="DO38" s="291"/>
      <c r="DP38" s="291"/>
      <c r="DQ38" s="291"/>
      <c r="DR38" s="291"/>
      <c r="DS38" s="291"/>
      <c r="DT38" s="291"/>
      <c r="DU38" s="291"/>
      <c r="DV38" s="291"/>
      <c r="JZ38" s="8" t="s">
        <v>112</v>
      </c>
    </row>
    <row r="39" spans="1:781" ht="48" customHeight="1" thickBot="1" x14ac:dyDescent="0.35">
      <c r="Z39" s="356"/>
      <c r="AA39" s="583">
        <v>2.5</v>
      </c>
      <c r="AB39" s="583"/>
      <c r="AC39" s="268"/>
      <c r="AD39" s="175"/>
      <c r="AE39" s="175"/>
      <c r="AF39" s="175"/>
      <c r="AG39" s="175"/>
      <c r="AH39" s="175"/>
      <c r="AI39" s="175"/>
      <c r="AJ39" s="268"/>
      <c r="AK39" s="173" t="s">
        <v>629</v>
      </c>
      <c r="AL39" s="570" t="s">
        <v>623</v>
      </c>
      <c r="AM39" s="571"/>
      <c r="AN39" s="361" t="s">
        <v>189</v>
      </c>
      <c r="AO39" s="362"/>
      <c r="AP39" s="363" t="s">
        <v>910</v>
      </c>
      <c r="AQ39" s="364"/>
      <c r="AR39" s="365" t="s">
        <v>638</v>
      </c>
      <c r="AS39" s="366"/>
      <c r="AT39" s="366"/>
      <c r="AU39" s="367"/>
      <c r="AV39" s="365" t="s">
        <v>637</v>
      </c>
      <c r="AW39" s="366"/>
      <c r="AX39" s="366"/>
      <c r="AY39" s="366"/>
      <c r="AZ39" s="367"/>
      <c r="BF39" s="12"/>
      <c r="BO39" s="356"/>
      <c r="BP39" s="546" t="s">
        <v>26</v>
      </c>
      <c r="BQ39" s="547"/>
      <c r="BR39" s="281"/>
      <c r="BS39" s="175"/>
      <c r="BT39" s="175"/>
      <c r="BU39" s="175"/>
      <c r="BV39" s="175"/>
      <c r="BW39" s="175"/>
      <c r="BX39" s="175"/>
      <c r="BY39" s="281"/>
      <c r="BZ39" s="173" t="s">
        <v>629</v>
      </c>
      <c r="CA39" s="359" t="s">
        <v>623</v>
      </c>
      <c r="CB39" s="381"/>
      <c r="CC39" s="382" t="s">
        <v>189</v>
      </c>
      <c r="CD39" s="383"/>
      <c r="CE39" s="363" t="s">
        <v>910</v>
      </c>
      <c r="CF39" s="364"/>
      <c r="CG39" s="365" t="s">
        <v>638</v>
      </c>
      <c r="CH39" s="366"/>
      <c r="CI39" s="366"/>
      <c r="CJ39" s="367"/>
      <c r="CK39" s="337" t="s">
        <v>624</v>
      </c>
      <c r="CL39" s="337"/>
      <c r="CM39" s="337"/>
      <c r="CN39" s="337"/>
      <c r="DA39" s="291"/>
      <c r="DB39" s="291"/>
      <c r="DC39" s="291"/>
      <c r="DD39" s="291"/>
      <c r="DE39" s="291"/>
      <c r="DQ39" s="356"/>
      <c r="DR39" s="297" t="s">
        <v>604</v>
      </c>
      <c r="DS39" s="298"/>
      <c r="DT39" s="315"/>
      <c r="DU39" s="175"/>
      <c r="DV39" s="175"/>
      <c r="DW39" s="175"/>
      <c r="DX39" s="175"/>
      <c r="DY39" s="175"/>
      <c r="DZ39" s="175"/>
      <c r="EA39" s="315"/>
      <c r="EB39" s="173" t="s">
        <v>629</v>
      </c>
      <c r="EC39" s="359" t="s">
        <v>623</v>
      </c>
      <c r="ED39" s="381"/>
      <c r="EE39" s="382" t="s">
        <v>189</v>
      </c>
      <c r="EF39" s="383"/>
      <c r="EG39" s="363" t="s">
        <v>910</v>
      </c>
      <c r="EH39" s="364"/>
      <c r="EI39" s="365" t="s">
        <v>638</v>
      </c>
      <c r="EJ39" s="366"/>
      <c r="EK39" s="366"/>
      <c r="EL39" s="367"/>
      <c r="ER39" s="291"/>
      <c r="ES39" s="291"/>
      <c r="ET39" s="291"/>
      <c r="EU39" s="291"/>
      <c r="EV39" s="291"/>
      <c r="EW39" s="291"/>
      <c r="FW39" s="356"/>
      <c r="FX39" s="297" t="s">
        <v>604</v>
      </c>
      <c r="FY39" s="298"/>
      <c r="FZ39" s="315"/>
      <c r="GA39" s="175"/>
      <c r="GB39" s="175"/>
      <c r="GC39" s="175"/>
      <c r="GD39" s="175"/>
      <c r="GE39" s="175"/>
      <c r="GF39" s="175"/>
      <c r="GG39" s="315"/>
      <c r="GH39" s="173" t="s">
        <v>629</v>
      </c>
      <c r="GI39" s="359" t="s">
        <v>623</v>
      </c>
      <c r="GJ39" s="360"/>
      <c r="GK39" s="361" t="s">
        <v>189</v>
      </c>
      <c r="GL39" s="362"/>
      <c r="GM39" s="363" t="s">
        <v>910</v>
      </c>
      <c r="GN39" s="364"/>
      <c r="GO39" s="365" t="s">
        <v>638</v>
      </c>
      <c r="GP39" s="366"/>
      <c r="GQ39" s="366"/>
      <c r="GR39" s="367"/>
      <c r="IH39" s="356"/>
      <c r="II39" s="297" t="s">
        <v>604</v>
      </c>
      <c r="IJ39" s="298"/>
      <c r="IK39" s="315"/>
      <c r="IL39" s="175"/>
      <c r="IM39" s="175"/>
      <c r="IN39" s="175"/>
      <c r="IO39" s="175"/>
      <c r="IP39" s="175"/>
      <c r="IQ39" s="175"/>
      <c r="IR39" s="315"/>
      <c r="IS39" s="173" t="s">
        <v>629</v>
      </c>
      <c r="IT39" s="359" t="s">
        <v>623</v>
      </c>
      <c r="IU39" s="360"/>
      <c r="IV39" s="361" t="s">
        <v>189</v>
      </c>
      <c r="IW39" s="362"/>
      <c r="IX39" s="363" t="s">
        <v>910</v>
      </c>
      <c r="IY39" s="364"/>
      <c r="IZ39" s="365" t="s">
        <v>638</v>
      </c>
      <c r="JA39" s="366"/>
      <c r="JB39" s="366"/>
      <c r="JC39" s="367"/>
      <c r="JZ39" s="8"/>
      <c r="LP39" s="356"/>
      <c r="LQ39" s="297" t="s">
        <v>604</v>
      </c>
      <c r="LR39" s="298"/>
      <c r="LS39" s="315"/>
      <c r="LT39" s="175"/>
      <c r="LU39" s="175"/>
      <c r="LV39" s="175"/>
      <c r="LW39" s="175"/>
      <c r="LX39" s="175"/>
      <c r="LY39" s="175"/>
      <c r="LZ39" s="315"/>
      <c r="MA39" s="173" t="s">
        <v>629</v>
      </c>
      <c r="MB39" s="359" t="s">
        <v>623</v>
      </c>
      <c r="MC39" s="360"/>
      <c r="MD39" s="382" t="s">
        <v>189</v>
      </c>
      <c r="ME39" s="383"/>
      <c r="MF39" s="363" t="s">
        <v>910</v>
      </c>
      <c r="MG39" s="364"/>
      <c r="MH39" s="365" t="s">
        <v>638</v>
      </c>
      <c r="MI39" s="366"/>
      <c r="MJ39" s="366"/>
      <c r="MK39" s="367"/>
      <c r="OZ39" s="356"/>
      <c r="PA39" s="297" t="s">
        <v>604</v>
      </c>
      <c r="PB39" s="298"/>
      <c r="PC39" s="315"/>
      <c r="PD39" s="175"/>
      <c r="PE39" s="175"/>
      <c r="PF39" s="175"/>
      <c r="PG39" s="175"/>
      <c r="PH39" s="175"/>
      <c r="PI39" s="175"/>
      <c r="PJ39" s="315"/>
      <c r="PK39" s="173" t="s">
        <v>629</v>
      </c>
      <c r="PL39" s="359" t="s">
        <v>623</v>
      </c>
      <c r="PM39" s="360"/>
      <c r="PN39" s="382" t="s">
        <v>189</v>
      </c>
      <c r="PO39" s="383"/>
      <c r="PP39" s="363" t="s">
        <v>910</v>
      </c>
      <c r="PQ39" s="364"/>
      <c r="PR39" s="365" t="s">
        <v>638</v>
      </c>
      <c r="PS39" s="366"/>
      <c r="PT39" s="366"/>
      <c r="PU39" s="367"/>
      <c r="RX39" s="356"/>
      <c r="RY39" s="297" t="s">
        <v>604</v>
      </c>
      <c r="RZ39" s="298"/>
      <c r="SA39" s="315"/>
      <c r="SB39" s="175"/>
      <c r="SC39" s="175"/>
      <c r="SD39" s="175"/>
      <c r="SE39" s="175"/>
      <c r="SF39" s="175"/>
      <c r="SG39" s="175"/>
      <c r="SH39" s="315"/>
      <c r="SI39" s="173" t="s">
        <v>629</v>
      </c>
      <c r="SJ39" s="359" t="s">
        <v>623</v>
      </c>
      <c r="SK39" s="360"/>
      <c r="SL39" s="382" t="s">
        <v>189</v>
      </c>
      <c r="SM39" s="383"/>
      <c r="SN39" s="363" t="s">
        <v>910</v>
      </c>
      <c r="SO39" s="364"/>
      <c r="SP39" s="365" t="s">
        <v>638</v>
      </c>
      <c r="SQ39" s="366"/>
      <c r="SR39" s="366"/>
      <c r="SS39" s="367"/>
      <c r="VL39" s="356"/>
      <c r="VM39" s="297" t="s">
        <v>604</v>
      </c>
      <c r="VN39" s="298"/>
      <c r="VO39" s="315"/>
      <c r="VP39" s="175"/>
      <c r="VQ39" s="175"/>
      <c r="VR39" s="175"/>
      <c r="VS39" s="175"/>
      <c r="VT39" s="175"/>
      <c r="VU39" s="175"/>
      <c r="VV39" s="315"/>
      <c r="VW39" s="173" t="s">
        <v>629</v>
      </c>
      <c r="VX39" s="359" t="s">
        <v>623</v>
      </c>
      <c r="VY39" s="360"/>
      <c r="VZ39" s="361" t="s">
        <v>189</v>
      </c>
      <c r="WA39" s="362"/>
      <c r="WB39" s="363" t="s">
        <v>910</v>
      </c>
      <c r="WC39" s="364"/>
      <c r="WD39" s="365" t="s">
        <v>638</v>
      </c>
      <c r="WE39" s="366"/>
      <c r="WF39" s="366"/>
      <c r="WG39" s="367"/>
      <c r="ZG39" s="356"/>
      <c r="ZH39" s="297" t="s">
        <v>604</v>
      </c>
      <c r="ZI39" s="298"/>
      <c r="ZJ39" s="315"/>
      <c r="ZK39" s="175"/>
      <c r="ZL39" s="175"/>
      <c r="ZM39" s="175"/>
      <c r="ZN39" s="175"/>
      <c r="ZO39" s="175"/>
      <c r="ZP39" s="175"/>
      <c r="ZQ39" s="315"/>
      <c r="ZR39" s="173" t="s">
        <v>629</v>
      </c>
      <c r="ZS39" s="359" t="s">
        <v>623</v>
      </c>
      <c r="ZT39" s="360"/>
      <c r="ZU39" s="361" t="s">
        <v>189</v>
      </c>
      <c r="ZV39" s="362"/>
      <c r="ZW39" s="363" t="s">
        <v>910</v>
      </c>
      <c r="ZX39" s="364"/>
      <c r="ZY39" s="365" t="s">
        <v>638</v>
      </c>
      <c r="ZZ39" s="366"/>
      <c r="AAA39" s="366"/>
      <c r="AAB39" s="367"/>
      <c r="ACF39" s="356"/>
      <c r="ACG39" s="297" t="s">
        <v>604</v>
      </c>
      <c r="ACH39" s="298"/>
      <c r="ACI39" s="315"/>
      <c r="ACJ39" s="175"/>
      <c r="ACK39" s="175"/>
      <c r="ACL39" s="175"/>
      <c r="ACM39" s="175"/>
      <c r="ACN39" s="175"/>
      <c r="ACO39" s="175"/>
      <c r="ACP39" s="315"/>
      <c r="ACQ39" s="173" t="s">
        <v>629</v>
      </c>
      <c r="ACR39" s="359" t="s">
        <v>623</v>
      </c>
      <c r="ACS39" s="360"/>
      <c r="ACT39" s="361" t="s">
        <v>189</v>
      </c>
      <c r="ACU39" s="362"/>
      <c r="ACV39" s="363" t="s">
        <v>910</v>
      </c>
      <c r="ACW39" s="364"/>
      <c r="ACX39" s="365" t="s">
        <v>638</v>
      </c>
      <c r="ACY39" s="366"/>
      <c r="ACZ39" s="366"/>
      <c r="ADA39" s="367"/>
    </row>
    <row r="40" spans="1:781" ht="48" customHeight="1" x14ac:dyDescent="0.3">
      <c r="Z40" s="357"/>
      <c r="AA40" s="523" t="s">
        <v>17</v>
      </c>
      <c r="AB40" s="573"/>
      <c r="AC40" s="573"/>
      <c r="AD40" s="573"/>
      <c r="AE40" s="573"/>
      <c r="AF40" s="573"/>
      <c r="AG40" s="573"/>
      <c r="AH40" s="573"/>
      <c r="AI40" s="573"/>
      <c r="AJ40" s="573"/>
      <c r="AK40" s="573"/>
      <c r="AL40" s="573"/>
      <c r="AM40" s="574"/>
      <c r="AN40" s="590">
        <f>(AH4*AQ52)/(AQ44*AQ48)</f>
        <v>31637.396694214876</v>
      </c>
      <c r="AO40" s="591"/>
      <c r="AP40" s="420" t="s">
        <v>4</v>
      </c>
      <c r="AQ40" s="421"/>
      <c r="AR40" s="379"/>
      <c r="AS40" s="416" t="s">
        <v>914</v>
      </c>
      <c r="AT40" s="417"/>
      <c r="AU40" s="379"/>
      <c r="AV40" s="396"/>
      <c r="AW40" s="397"/>
      <c r="AX40" s="397"/>
      <c r="AY40" s="397"/>
      <c r="AZ40" s="398"/>
      <c r="BF40" s="12"/>
      <c r="BO40" s="357"/>
      <c r="BP40" s="523" t="s">
        <v>1004</v>
      </c>
      <c r="BQ40" s="573"/>
      <c r="BR40" s="573"/>
      <c r="BS40" s="573"/>
      <c r="BT40" s="573"/>
      <c r="BU40" s="573"/>
      <c r="BV40" s="573"/>
      <c r="BW40" s="573"/>
      <c r="BX40" s="573"/>
      <c r="BY40" s="573"/>
      <c r="BZ40" s="573"/>
      <c r="CA40" s="573"/>
      <c r="CB40" s="598"/>
      <c r="CC40" s="388">
        <f>(3.14*AN32)/(AN16*CD32*CC36)</f>
        <v>1.2753259523809526E-2</v>
      </c>
      <c r="CD40" s="371"/>
      <c r="CE40" s="579" t="s">
        <v>916</v>
      </c>
      <c r="CF40" s="580"/>
      <c r="CG40" s="386"/>
      <c r="CH40" s="416" t="s">
        <v>1009</v>
      </c>
      <c r="CI40" s="417"/>
      <c r="CJ40" s="379"/>
      <c r="CK40" s="399"/>
      <c r="CL40" s="399"/>
      <c r="CM40" s="399"/>
      <c r="CN40" s="399"/>
      <c r="DA40" s="291"/>
      <c r="DB40" s="291"/>
      <c r="DC40" s="291"/>
      <c r="DD40" s="291"/>
      <c r="DE40" s="291"/>
      <c r="DQ40" s="357"/>
      <c r="DR40" s="445" t="s">
        <v>1030</v>
      </c>
      <c r="DS40" s="384"/>
      <c r="DT40" s="384"/>
      <c r="DU40" s="384"/>
      <c r="DV40" s="384"/>
      <c r="DW40" s="384"/>
      <c r="DX40" s="384"/>
      <c r="DY40" s="384"/>
      <c r="DZ40" s="384"/>
      <c r="EA40" s="384"/>
      <c r="EB40" s="384"/>
      <c r="EC40" s="384"/>
      <c r="ED40" s="391"/>
      <c r="EE40" s="478">
        <v>0.75</v>
      </c>
      <c r="EF40" s="479"/>
      <c r="EG40" s="420" t="s">
        <v>53</v>
      </c>
      <c r="EH40" s="421"/>
      <c r="EI40" s="386"/>
      <c r="EJ40" s="416" t="s">
        <v>1076</v>
      </c>
      <c r="EK40" s="417"/>
      <c r="EL40" s="379"/>
      <c r="ER40" s="291"/>
      <c r="ES40" s="291"/>
      <c r="ET40" s="291"/>
      <c r="EU40" s="291"/>
      <c r="EV40" s="291"/>
      <c r="EW40" s="291"/>
      <c r="EX40" s="5"/>
      <c r="FW40" s="357"/>
      <c r="FX40" s="344" t="s">
        <v>68</v>
      </c>
      <c r="FY40" s="345"/>
      <c r="FZ40" s="345"/>
      <c r="GA40" s="345"/>
      <c r="GB40" s="345"/>
      <c r="GC40" s="345"/>
      <c r="GD40" s="345"/>
      <c r="GE40" s="345"/>
      <c r="GF40" s="345"/>
      <c r="GG40" s="345"/>
      <c r="GH40" s="345"/>
      <c r="GI40" s="345"/>
      <c r="GJ40" s="345"/>
      <c r="GK40" s="388">
        <v>0.23</v>
      </c>
      <c r="GL40" s="371"/>
      <c r="GM40" s="406"/>
      <c r="GN40" s="408"/>
      <c r="GO40" s="373"/>
      <c r="GP40" s="375" t="s">
        <v>604</v>
      </c>
      <c r="GQ40" s="376"/>
      <c r="GR40" s="379"/>
      <c r="IH40" s="357"/>
      <c r="II40" s="344" t="s">
        <v>104</v>
      </c>
      <c r="IJ40" s="345"/>
      <c r="IK40" s="345"/>
      <c r="IL40" s="345"/>
      <c r="IM40" s="345"/>
      <c r="IN40" s="345"/>
      <c r="IO40" s="345"/>
      <c r="IP40" s="345"/>
      <c r="IQ40" s="345"/>
      <c r="IR40" s="345"/>
      <c r="IS40" s="345"/>
      <c r="IT40" s="345"/>
      <c r="IU40" s="345"/>
      <c r="IV40" s="348">
        <f>(CC40*1000)/(CC40*1000-(IV44*GK12))</f>
        <v>1.0385749668405808</v>
      </c>
      <c r="IW40" s="349"/>
      <c r="IX40" s="352"/>
      <c r="IY40" s="353"/>
      <c r="IZ40" s="373"/>
      <c r="JA40" s="375" t="s">
        <v>604</v>
      </c>
      <c r="JB40" s="376"/>
      <c r="JC40" s="379"/>
      <c r="JZ40" s="8"/>
      <c r="LP40" s="357"/>
      <c r="LQ40" s="344" t="s">
        <v>123</v>
      </c>
      <c r="LR40" s="345"/>
      <c r="LS40" s="345"/>
      <c r="LT40" s="345"/>
      <c r="LU40" s="345"/>
      <c r="LV40" s="345"/>
      <c r="LW40" s="345"/>
      <c r="LX40" s="345"/>
      <c r="LY40" s="345"/>
      <c r="LZ40" s="345"/>
      <c r="MA40" s="345"/>
      <c r="MB40" s="345"/>
      <c r="MC40" s="345"/>
      <c r="MD40" s="348">
        <f>MD44+2*(MD48/GK116^2)</f>
        <v>3.4449202171795603E-5</v>
      </c>
      <c r="ME40" s="349"/>
      <c r="MF40" s="390">
        <f>MD40*10^6</f>
        <v>34.449202171795605</v>
      </c>
      <c r="MG40" s="371"/>
      <c r="MH40" s="373"/>
      <c r="MI40" s="375" t="s">
        <v>604</v>
      </c>
      <c r="MJ40" s="376"/>
      <c r="MK40" s="379"/>
      <c r="OZ40" s="357"/>
      <c r="PA40" s="344"/>
      <c r="PB40" s="345"/>
      <c r="PC40" s="345"/>
      <c r="PD40" s="345"/>
      <c r="PE40" s="345"/>
      <c r="PF40" s="345"/>
      <c r="PG40" s="345"/>
      <c r="PH40" s="345"/>
      <c r="PI40" s="345"/>
      <c r="PJ40" s="345"/>
      <c r="PK40" s="345"/>
      <c r="PL40" s="345"/>
      <c r="PM40" s="345"/>
      <c r="PN40" s="388"/>
      <c r="PO40" s="371"/>
      <c r="PP40" s="390"/>
      <c r="PQ40" s="371"/>
      <c r="PR40" s="373"/>
      <c r="PS40" s="375" t="s">
        <v>604</v>
      </c>
      <c r="PT40" s="376"/>
      <c r="PU40" s="379"/>
      <c r="RX40" s="357"/>
      <c r="RY40" s="344"/>
      <c r="RZ40" s="345"/>
      <c r="SA40" s="345"/>
      <c r="SB40" s="345"/>
      <c r="SC40" s="345"/>
      <c r="SD40" s="345"/>
      <c r="SE40" s="345"/>
      <c r="SF40" s="345"/>
      <c r="SG40" s="345"/>
      <c r="SH40" s="345"/>
      <c r="SI40" s="345"/>
      <c r="SJ40" s="345"/>
      <c r="SK40" s="345"/>
      <c r="SL40" s="388"/>
      <c r="SM40" s="371"/>
      <c r="SN40" s="390"/>
      <c r="SO40" s="371"/>
      <c r="SP40" s="373"/>
      <c r="SQ40" s="375" t="s">
        <v>604</v>
      </c>
      <c r="SR40" s="376"/>
      <c r="SS40" s="379"/>
      <c r="VL40" s="357"/>
      <c r="VM40" s="344"/>
      <c r="VN40" s="345"/>
      <c r="VO40" s="345"/>
      <c r="VP40" s="345"/>
      <c r="VQ40" s="345"/>
      <c r="VR40" s="345"/>
      <c r="VS40" s="345"/>
      <c r="VT40" s="345"/>
      <c r="VU40" s="345"/>
      <c r="VV40" s="345"/>
      <c r="VW40" s="345"/>
      <c r="VX40" s="345"/>
      <c r="VY40" s="368"/>
      <c r="VZ40" s="344"/>
      <c r="WA40" s="368"/>
      <c r="WB40" s="370"/>
      <c r="WC40" s="371"/>
      <c r="WD40" s="373"/>
      <c r="WE40" s="375" t="s">
        <v>604</v>
      </c>
      <c r="WF40" s="376"/>
      <c r="WG40" s="379"/>
      <c r="ZG40" s="357"/>
      <c r="ZH40" s="344"/>
      <c r="ZI40" s="345"/>
      <c r="ZJ40" s="345"/>
      <c r="ZK40" s="345"/>
      <c r="ZL40" s="345"/>
      <c r="ZM40" s="345"/>
      <c r="ZN40" s="345"/>
      <c r="ZO40" s="345"/>
      <c r="ZP40" s="345"/>
      <c r="ZQ40" s="345"/>
      <c r="ZR40" s="345"/>
      <c r="ZS40" s="345"/>
      <c r="ZT40" s="368"/>
      <c r="ZU40" s="348"/>
      <c r="ZV40" s="349"/>
      <c r="ZW40" s="370"/>
      <c r="ZX40" s="371"/>
      <c r="ZY40" s="373"/>
      <c r="ZZ40" s="375" t="s">
        <v>604</v>
      </c>
      <c r="AAA40" s="376"/>
      <c r="AAB40" s="379"/>
      <c r="ACF40" s="357"/>
      <c r="ACG40" s="344"/>
      <c r="ACH40" s="345"/>
      <c r="ACI40" s="345"/>
      <c r="ACJ40" s="345"/>
      <c r="ACK40" s="345"/>
      <c r="ACL40" s="345"/>
      <c r="ACM40" s="345"/>
      <c r="ACN40" s="345"/>
      <c r="ACO40" s="345"/>
      <c r="ACP40" s="345"/>
      <c r="ACQ40" s="345"/>
      <c r="ACR40" s="345"/>
      <c r="ACS40" s="368"/>
      <c r="ACT40" s="348"/>
      <c r="ACU40" s="349"/>
      <c r="ACV40" s="370"/>
      <c r="ACW40" s="371"/>
      <c r="ACX40" s="373"/>
      <c r="ACY40" s="375" t="s">
        <v>604</v>
      </c>
      <c r="ACZ40" s="376"/>
      <c r="ADA40" s="379"/>
    </row>
    <row r="41" spans="1:781" ht="48" customHeight="1" thickBot="1" x14ac:dyDescent="0.35">
      <c r="A41" s="5"/>
      <c r="Z41" s="358"/>
      <c r="AA41" s="575"/>
      <c r="AB41" s="544"/>
      <c r="AC41" s="544"/>
      <c r="AD41" s="544"/>
      <c r="AE41" s="544"/>
      <c r="AF41" s="544"/>
      <c r="AG41" s="544"/>
      <c r="AH41" s="544"/>
      <c r="AI41" s="544"/>
      <c r="AJ41" s="544"/>
      <c r="AK41" s="544"/>
      <c r="AL41" s="544"/>
      <c r="AM41" s="576"/>
      <c r="AN41" s="592"/>
      <c r="AO41" s="593"/>
      <c r="AP41" s="422"/>
      <c r="AQ41" s="423"/>
      <c r="AR41" s="380"/>
      <c r="AS41" s="418"/>
      <c r="AT41" s="419"/>
      <c r="AU41" s="380"/>
      <c r="AV41" s="341"/>
      <c r="AW41" s="342"/>
      <c r="AX41" s="342"/>
      <c r="AY41" s="342"/>
      <c r="AZ41" s="343"/>
      <c r="BF41" s="12"/>
      <c r="BO41" s="358"/>
      <c r="BP41" s="575"/>
      <c r="BQ41" s="544"/>
      <c r="BR41" s="544"/>
      <c r="BS41" s="544"/>
      <c r="BT41" s="544"/>
      <c r="BU41" s="544"/>
      <c r="BV41" s="544"/>
      <c r="BW41" s="544"/>
      <c r="BX41" s="544"/>
      <c r="BY41" s="544"/>
      <c r="BZ41" s="544"/>
      <c r="CA41" s="544"/>
      <c r="CB41" s="545"/>
      <c r="CC41" s="389"/>
      <c r="CD41" s="372"/>
      <c r="CE41" s="581"/>
      <c r="CF41" s="582"/>
      <c r="CG41" s="387"/>
      <c r="CH41" s="418"/>
      <c r="CI41" s="419"/>
      <c r="CJ41" s="380"/>
      <c r="CK41" s="400"/>
      <c r="CL41" s="400"/>
      <c r="CM41" s="400"/>
      <c r="CN41" s="400"/>
      <c r="DA41" s="291"/>
      <c r="DB41" s="291"/>
      <c r="DC41" s="291"/>
      <c r="DD41" s="291"/>
      <c r="DE41" s="291"/>
      <c r="DQ41" s="358"/>
      <c r="DR41" s="385"/>
      <c r="DS41" s="385"/>
      <c r="DT41" s="385"/>
      <c r="DU41" s="385"/>
      <c r="DV41" s="385"/>
      <c r="DW41" s="385"/>
      <c r="DX41" s="385"/>
      <c r="DY41" s="385"/>
      <c r="DZ41" s="385"/>
      <c r="EA41" s="385"/>
      <c r="EB41" s="385"/>
      <c r="EC41" s="385"/>
      <c r="ED41" s="392"/>
      <c r="EE41" s="480"/>
      <c r="EF41" s="481"/>
      <c r="EG41" s="422"/>
      <c r="EH41" s="423"/>
      <c r="EI41" s="387"/>
      <c r="EJ41" s="418"/>
      <c r="EK41" s="419"/>
      <c r="EL41" s="380"/>
      <c r="ER41" s="291"/>
      <c r="ES41" s="291"/>
      <c r="ET41" s="291"/>
      <c r="EU41" s="291"/>
      <c r="EV41" s="291"/>
      <c r="EW41" s="291"/>
      <c r="EX41" s="3"/>
      <c r="FW41" s="358"/>
      <c r="FX41" s="346"/>
      <c r="FY41" s="347"/>
      <c r="FZ41" s="347"/>
      <c r="GA41" s="347"/>
      <c r="GB41" s="347"/>
      <c r="GC41" s="347"/>
      <c r="GD41" s="347"/>
      <c r="GE41" s="347"/>
      <c r="GF41" s="347"/>
      <c r="GG41" s="347"/>
      <c r="GH41" s="347"/>
      <c r="GI41" s="347"/>
      <c r="GJ41" s="347"/>
      <c r="GK41" s="389"/>
      <c r="GL41" s="372"/>
      <c r="GM41" s="409"/>
      <c r="GN41" s="411"/>
      <c r="GO41" s="374"/>
      <c r="GP41" s="377"/>
      <c r="GQ41" s="378"/>
      <c r="GR41" s="380"/>
      <c r="IH41" s="358"/>
      <c r="II41" s="346"/>
      <c r="IJ41" s="347"/>
      <c r="IK41" s="347"/>
      <c r="IL41" s="347"/>
      <c r="IM41" s="347"/>
      <c r="IN41" s="347"/>
      <c r="IO41" s="347"/>
      <c r="IP41" s="347"/>
      <c r="IQ41" s="347"/>
      <c r="IR41" s="347"/>
      <c r="IS41" s="347"/>
      <c r="IT41" s="347"/>
      <c r="IU41" s="347"/>
      <c r="IV41" s="350"/>
      <c r="IW41" s="351"/>
      <c r="IX41" s="354"/>
      <c r="IY41" s="355"/>
      <c r="IZ41" s="374"/>
      <c r="JA41" s="377"/>
      <c r="JB41" s="378"/>
      <c r="JC41" s="380"/>
      <c r="LP41" s="358"/>
      <c r="LQ41" s="346"/>
      <c r="LR41" s="347"/>
      <c r="LS41" s="347"/>
      <c r="LT41" s="347"/>
      <c r="LU41" s="347"/>
      <c r="LV41" s="347"/>
      <c r="LW41" s="347"/>
      <c r="LX41" s="347"/>
      <c r="LY41" s="347"/>
      <c r="LZ41" s="347"/>
      <c r="MA41" s="347"/>
      <c r="MB41" s="347"/>
      <c r="MC41" s="347"/>
      <c r="MD41" s="350"/>
      <c r="ME41" s="351"/>
      <c r="MF41" s="347"/>
      <c r="MG41" s="372"/>
      <c r="MH41" s="374"/>
      <c r="MI41" s="377"/>
      <c r="MJ41" s="378"/>
      <c r="MK41" s="380"/>
      <c r="OZ41" s="358"/>
      <c r="PA41" s="346"/>
      <c r="PB41" s="347"/>
      <c r="PC41" s="347"/>
      <c r="PD41" s="347"/>
      <c r="PE41" s="347"/>
      <c r="PF41" s="347"/>
      <c r="PG41" s="347"/>
      <c r="PH41" s="347"/>
      <c r="PI41" s="347"/>
      <c r="PJ41" s="347"/>
      <c r="PK41" s="347"/>
      <c r="PL41" s="347"/>
      <c r="PM41" s="347"/>
      <c r="PN41" s="389"/>
      <c r="PO41" s="372"/>
      <c r="PP41" s="347"/>
      <c r="PQ41" s="372"/>
      <c r="PR41" s="374"/>
      <c r="PS41" s="377"/>
      <c r="PT41" s="378"/>
      <c r="PU41" s="380"/>
      <c r="RX41" s="358"/>
      <c r="RY41" s="346"/>
      <c r="RZ41" s="347"/>
      <c r="SA41" s="347"/>
      <c r="SB41" s="347"/>
      <c r="SC41" s="347"/>
      <c r="SD41" s="347"/>
      <c r="SE41" s="347"/>
      <c r="SF41" s="347"/>
      <c r="SG41" s="347"/>
      <c r="SH41" s="347"/>
      <c r="SI41" s="347"/>
      <c r="SJ41" s="347"/>
      <c r="SK41" s="347"/>
      <c r="SL41" s="389"/>
      <c r="SM41" s="372"/>
      <c r="SN41" s="347"/>
      <c r="SO41" s="372"/>
      <c r="SP41" s="374"/>
      <c r="SQ41" s="377"/>
      <c r="SR41" s="378"/>
      <c r="SS41" s="380"/>
      <c r="VL41" s="358"/>
      <c r="VM41" s="346"/>
      <c r="VN41" s="347"/>
      <c r="VO41" s="347"/>
      <c r="VP41" s="347"/>
      <c r="VQ41" s="347"/>
      <c r="VR41" s="347"/>
      <c r="VS41" s="347"/>
      <c r="VT41" s="347"/>
      <c r="VU41" s="347"/>
      <c r="VV41" s="347"/>
      <c r="VW41" s="347"/>
      <c r="VX41" s="347"/>
      <c r="VY41" s="369"/>
      <c r="VZ41" s="346"/>
      <c r="WA41" s="369"/>
      <c r="WB41" s="346"/>
      <c r="WC41" s="372"/>
      <c r="WD41" s="374"/>
      <c r="WE41" s="377"/>
      <c r="WF41" s="378"/>
      <c r="WG41" s="380"/>
      <c r="ZG41" s="358"/>
      <c r="ZH41" s="346"/>
      <c r="ZI41" s="347"/>
      <c r="ZJ41" s="347"/>
      <c r="ZK41" s="347"/>
      <c r="ZL41" s="347"/>
      <c r="ZM41" s="347"/>
      <c r="ZN41" s="347"/>
      <c r="ZO41" s="347"/>
      <c r="ZP41" s="347"/>
      <c r="ZQ41" s="347"/>
      <c r="ZR41" s="347"/>
      <c r="ZS41" s="347"/>
      <c r="ZT41" s="369"/>
      <c r="ZU41" s="350"/>
      <c r="ZV41" s="351"/>
      <c r="ZW41" s="346"/>
      <c r="ZX41" s="372"/>
      <c r="ZY41" s="374"/>
      <c r="ZZ41" s="377"/>
      <c r="AAA41" s="378"/>
      <c r="AAB41" s="380"/>
      <c r="ACF41" s="358"/>
      <c r="ACG41" s="346"/>
      <c r="ACH41" s="347"/>
      <c r="ACI41" s="347"/>
      <c r="ACJ41" s="347"/>
      <c r="ACK41" s="347"/>
      <c r="ACL41" s="347"/>
      <c r="ACM41" s="347"/>
      <c r="ACN41" s="347"/>
      <c r="ACO41" s="347"/>
      <c r="ACP41" s="347"/>
      <c r="ACQ41" s="347"/>
      <c r="ACR41" s="347"/>
      <c r="ACS41" s="369"/>
      <c r="ACT41" s="350"/>
      <c r="ACU41" s="351"/>
      <c r="ACV41" s="346"/>
      <c r="ACW41" s="372"/>
      <c r="ACX41" s="374"/>
      <c r="ACY41" s="377"/>
      <c r="ACZ41" s="378"/>
      <c r="ADA41" s="380"/>
    </row>
    <row r="42" spans="1:781" ht="48" customHeight="1" x14ac:dyDescent="0.3">
      <c r="A42" s="291"/>
      <c r="B42" s="291"/>
      <c r="BF42" s="12"/>
      <c r="DA42" s="291"/>
      <c r="DB42" s="291"/>
      <c r="DC42" s="291"/>
      <c r="DD42" s="291"/>
      <c r="DE42" s="291"/>
      <c r="ER42" s="291"/>
      <c r="ES42" s="291"/>
      <c r="ET42" s="291"/>
      <c r="EU42" s="291"/>
      <c r="EV42" s="291"/>
      <c r="EW42" s="291"/>
      <c r="EX42" s="3"/>
      <c r="JZ42" s="8"/>
    </row>
    <row r="43" spans="1:781" ht="48" customHeight="1" thickBot="1" x14ac:dyDescent="0.35">
      <c r="A43" s="291"/>
      <c r="B43" s="291"/>
      <c r="Z43" s="448" t="s">
        <v>958</v>
      </c>
      <c r="AA43" s="449"/>
      <c r="AB43" s="450"/>
      <c r="AC43" s="356"/>
      <c r="AD43" s="572" t="s">
        <v>911</v>
      </c>
      <c r="AE43" s="572"/>
      <c r="AF43" s="268"/>
      <c r="AG43" s="175"/>
      <c r="AH43" s="175"/>
      <c r="AI43" s="175"/>
      <c r="AJ43" s="175"/>
      <c r="AK43" s="268"/>
      <c r="AL43" s="172" t="s">
        <v>908</v>
      </c>
      <c r="AM43" s="268"/>
      <c r="AN43" s="173" t="s">
        <v>629</v>
      </c>
      <c r="AO43" s="570" t="s">
        <v>623</v>
      </c>
      <c r="AP43" s="571"/>
      <c r="AQ43" s="382" t="s">
        <v>189</v>
      </c>
      <c r="AR43" s="383"/>
      <c r="AS43" s="363" t="s">
        <v>910</v>
      </c>
      <c r="AT43" s="364"/>
      <c r="AU43" s="365" t="s">
        <v>638</v>
      </c>
      <c r="AV43" s="366"/>
      <c r="AW43" s="366"/>
      <c r="AX43" s="367"/>
      <c r="BF43" s="12"/>
      <c r="BO43" s="356"/>
      <c r="BP43" s="546" t="s">
        <v>27</v>
      </c>
      <c r="BQ43" s="547"/>
      <c r="BR43" s="281"/>
      <c r="BS43" s="175"/>
      <c r="BT43" s="175"/>
      <c r="BU43" s="175"/>
      <c r="BV43" s="175"/>
      <c r="BW43" s="175"/>
      <c r="BX43" s="175"/>
      <c r="BY43" s="281"/>
      <c r="BZ43" s="173" t="s">
        <v>629</v>
      </c>
      <c r="CA43" s="359" t="s">
        <v>623</v>
      </c>
      <c r="CB43" s="381"/>
      <c r="CC43" s="382" t="s">
        <v>189</v>
      </c>
      <c r="CD43" s="383"/>
      <c r="CE43" s="363" t="s">
        <v>910</v>
      </c>
      <c r="CF43" s="364"/>
      <c r="CG43" s="365" t="s">
        <v>638</v>
      </c>
      <c r="CH43" s="366"/>
      <c r="CI43" s="366"/>
      <c r="CJ43" s="366"/>
      <c r="CK43" s="366"/>
      <c r="CL43" s="367"/>
      <c r="CM43" s="337" t="s">
        <v>624</v>
      </c>
      <c r="CN43" s="337"/>
      <c r="CO43" s="337"/>
      <c r="CP43" s="337"/>
      <c r="DA43" s="291"/>
      <c r="DB43" s="291"/>
      <c r="DC43" s="291"/>
      <c r="DD43" s="291"/>
      <c r="DE43" s="291"/>
      <c r="DQ43" s="356"/>
      <c r="DR43" s="297" t="s">
        <v>604</v>
      </c>
      <c r="DS43" s="298"/>
      <c r="DT43" s="315"/>
      <c r="DU43" s="175"/>
      <c r="DV43" s="175"/>
      <c r="DW43" s="175"/>
      <c r="DX43" s="175"/>
      <c r="DY43" s="175"/>
      <c r="DZ43" s="175"/>
      <c r="EA43" s="315"/>
      <c r="EB43" s="173" t="s">
        <v>629</v>
      </c>
      <c r="EC43" s="359" t="s">
        <v>623</v>
      </c>
      <c r="ED43" s="381"/>
      <c r="EE43" s="382" t="s">
        <v>189</v>
      </c>
      <c r="EF43" s="383"/>
      <c r="EG43" s="363" t="s">
        <v>910</v>
      </c>
      <c r="EH43" s="364"/>
      <c r="EI43" s="365" t="s">
        <v>638</v>
      </c>
      <c r="EJ43" s="366"/>
      <c r="EK43" s="366"/>
      <c r="EL43" s="367"/>
      <c r="ER43" s="291"/>
      <c r="ES43" s="291"/>
      <c r="ET43" s="291"/>
      <c r="EU43" s="291"/>
      <c r="EV43" s="291"/>
      <c r="EW43" s="291"/>
      <c r="EX43" s="3"/>
      <c r="FW43" s="356"/>
      <c r="FX43" s="297" t="s">
        <v>604</v>
      </c>
      <c r="FY43" s="298"/>
      <c r="FZ43" s="315"/>
      <c r="GA43" s="175"/>
      <c r="GB43" s="175"/>
      <c r="GC43" s="175"/>
      <c r="GD43" s="175"/>
      <c r="GE43" s="175"/>
      <c r="GF43" s="175"/>
      <c r="GG43" s="315"/>
      <c r="GH43" s="173" t="s">
        <v>629</v>
      </c>
      <c r="GI43" s="359" t="s">
        <v>623</v>
      </c>
      <c r="GJ43" s="360"/>
      <c r="GK43" s="382" t="s">
        <v>189</v>
      </c>
      <c r="GL43" s="383"/>
      <c r="GM43" s="363" t="s">
        <v>910</v>
      </c>
      <c r="GN43" s="364"/>
      <c r="GO43" s="365" t="s">
        <v>638</v>
      </c>
      <c r="GP43" s="366"/>
      <c r="GQ43" s="366"/>
      <c r="GR43" s="367"/>
      <c r="IH43" s="356"/>
      <c r="II43" s="297" t="s">
        <v>604</v>
      </c>
      <c r="IJ43" s="298"/>
      <c r="IK43" s="315"/>
      <c r="IL43" s="175"/>
      <c r="IM43" s="175"/>
      <c r="IN43" s="175"/>
      <c r="IO43" s="175"/>
      <c r="IP43" s="175"/>
      <c r="IQ43" s="175"/>
      <c r="IR43" s="315"/>
      <c r="IS43" s="173" t="s">
        <v>629</v>
      </c>
      <c r="IT43" s="359" t="s">
        <v>623</v>
      </c>
      <c r="IU43" s="360"/>
      <c r="IV43" s="361" t="s">
        <v>189</v>
      </c>
      <c r="IW43" s="362"/>
      <c r="IX43" s="363" t="s">
        <v>910</v>
      </c>
      <c r="IY43" s="364"/>
      <c r="IZ43" s="365" t="s">
        <v>638</v>
      </c>
      <c r="JA43" s="366"/>
      <c r="JB43" s="366"/>
      <c r="JC43" s="367"/>
      <c r="LP43" s="356"/>
      <c r="LQ43" s="297" t="s">
        <v>604</v>
      </c>
      <c r="LR43" s="298"/>
      <c r="LS43" s="321"/>
      <c r="LT43" s="175"/>
      <c r="LU43" s="175"/>
      <c r="LV43" s="175"/>
      <c r="LW43" s="175"/>
      <c r="LX43" s="175"/>
      <c r="LY43" s="175"/>
      <c r="LZ43" s="321"/>
      <c r="MA43" s="173" t="s">
        <v>629</v>
      </c>
      <c r="MB43" s="393" t="s">
        <v>623</v>
      </c>
      <c r="MC43" s="394"/>
      <c r="MD43" s="382" t="s">
        <v>189</v>
      </c>
      <c r="ME43" s="383"/>
      <c r="MF43" s="363" t="s">
        <v>910</v>
      </c>
      <c r="MG43" s="364"/>
      <c r="MH43" s="365" t="s">
        <v>638</v>
      </c>
      <c r="MI43" s="366"/>
      <c r="MJ43" s="366"/>
      <c r="MK43" s="367"/>
      <c r="OZ43" s="356"/>
      <c r="PA43" s="297" t="s">
        <v>604</v>
      </c>
      <c r="PB43" s="298"/>
      <c r="PC43" s="321"/>
      <c r="PD43" s="175"/>
      <c r="PE43" s="175"/>
      <c r="PF43" s="175"/>
      <c r="PG43" s="175"/>
      <c r="PH43" s="175"/>
      <c r="PI43" s="175"/>
      <c r="PJ43" s="321"/>
      <c r="PK43" s="173" t="s">
        <v>629</v>
      </c>
      <c r="PL43" s="359" t="s">
        <v>623</v>
      </c>
      <c r="PM43" s="381"/>
      <c r="PN43" s="382" t="s">
        <v>189</v>
      </c>
      <c r="PO43" s="383"/>
      <c r="PP43" s="363" t="s">
        <v>910</v>
      </c>
      <c r="PQ43" s="364"/>
      <c r="PR43" s="365" t="s">
        <v>638</v>
      </c>
      <c r="PS43" s="366"/>
      <c r="PT43" s="366"/>
      <c r="PU43" s="367"/>
      <c r="VL43" s="356"/>
      <c r="VM43" s="297" t="s">
        <v>604</v>
      </c>
      <c r="VN43" s="298"/>
      <c r="VO43" s="321"/>
      <c r="VP43" s="175"/>
      <c r="VQ43" s="175"/>
      <c r="VR43" s="175"/>
      <c r="VS43" s="175"/>
      <c r="VT43" s="175"/>
      <c r="VU43" s="175"/>
      <c r="VV43" s="321"/>
      <c r="VW43" s="173" t="s">
        <v>629</v>
      </c>
      <c r="VX43" s="359" t="s">
        <v>623</v>
      </c>
      <c r="VY43" s="381"/>
      <c r="VZ43" s="382" t="s">
        <v>189</v>
      </c>
      <c r="WA43" s="383"/>
      <c r="WB43" s="363" t="s">
        <v>910</v>
      </c>
      <c r="WC43" s="364"/>
      <c r="WD43" s="365" t="s">
        <v>638</v>
      </c>
      <c r="WE43" s="366"/>
      <c r="WF43" s="366"/>
      <c r="WG43" s="367"/>
      <c r="ZG43" s="356"/>
      <c r="ZH43" s="297" t="s">
        <v>604</v>
      </c>
      <c r="ZI43" s="298"/>
      <c r="ZJ43" s="321"/>
      <c r="ZK43" s="175"/>
      <c r="ZL43" s="175"/>
      <c r="ZM43" s="175"/>
      <c r="ZN43" s="175"/>
      <c r="ZO43" s="175"/>
      <c r="ZP43" s="175"/>
      <c r="ZQ43" s="321"/>
      <c r="ZR43" s="173" t="s">
        <v>629</v>
      </c>
      <c r="ZS43" s="359" t="s">
        <v>623</v>
      </c>
      <c r="ZT43" s="381"/>
      <c r="ZU43" s="382" t="s">
        <v>189</v>
      </c>
      <c r="ZV43" s="383"/>
      <c r="ZW43" s="363" t="s">
        <v>910</v>
      </c>
      <c r="ZX43" s="364"/>
      <c r="ZY43" s="365" t="s">
        <v>638</v>
      </c>
      <c r="ZZ43" s="366"/>
      <c r="AAA43" s="366"/>
      <c r="AAB43" s="367"/>
    </row>
    <row r="44" spans="1:781" ht="48" customHeight="1" x14ac:dyDescent="0.3">
      <c r="A44" s="291"/>
      <c r="B44" s="291"/>
      <c r="Z44" s="451"/>
      <c r="AA44" s="452"/>
      <c r="AB44" s="453"/>
      <c r="AC44" s="357"/>
      <c r="AD44" s="523" t="s">
        <v>972</v>
      </c>
      <c r="AE44" s="573"/>
      <c r="AF44" s="573"/>
      <c r="AG44" s="573"/>
      <c r="AH44" s="573"/>
      <c r="AI44" s="573"/>
      <c r="AJ44" s="573"/>
      <c r="AK44" s="573"/>
      <c r="AL44" s="573"/>
      <c r="AM44" s="573"/>
      <c r="AN44" s="573"/>
      <c r="AO44" s="573"/>
      <c r="AP44" s="573"/>
      <c r="AQ44" s="424">
        <v>0.88</v>
      </c>
      <c r="AR44" s="425"/>
      <c r="AS44" s="420" t="s">
        <v>915</v>
      </c>
      <c r="AT44" s="421"/>
      <c r="AU44" s="386"/>
      <c r="AV44" s="401" t="s">
        <v>616</v>
      </c>
      <c r="AW44" s="402"/>
      <c r="AX44" s="379"/>
      <c r="BO44" s="357"/>
      <c r="BP44" s="514" t="s">
        <v>33</v>
      </c>
      <c r="BQ44" s="515"/>
      <c r="BR44" s="515"/>
      <c r="BS44" s="515"/>
      <c r="BT44" s="515"/>
      <c r="BU44" s="515"/>
      <c r="BV44" s="515"/>
      <c r="BW44" s="515"/>
      <c r="BX44" s="515"/>
      <c r="BY44" s="515"/>
      <c r="BZ44" s="515"/>
      <c r="CA44" s="515"/>
      <c r="CB44" s="515"/>
      <c r="CC44" s="388">
        <f>(3.14*AN32*AQ60)/(CC48*CC28)</f>
        <v>14.636416027702857</v>
      </c>
      <c r="CD44" s="371"/>
      <c r="CE44" s="536" t="s">
        <v>940</v>
      </c>
      <c r="CF44" s="537"/>
      <c r="CG44" s="373"/>
      <c r="CH44" s="375" t="s">
        <v>959</v>
      </c>
      <c r="CI44" s="558"/>
      <c r="CJ44" s="558"/>
      <c r="CK44" s="376"/>
      <c r="CL44" s="379"/>
      <c r="CM44" s="399"/>
      <c r="CN44" s="399"/>
      <c r="CO44" s="399"/>
      <c r="CP44" s="399"/>
      <c r="DA44" s="291"/>
      <c r="DB44" s="291"/>
      <c r="DC44" s="291"/>
      <c r="DD44" s="291"/>
      <c r="DE44" s="291"/>
      <c r="DF44" s="291"/>
      <c r="DG44" s="291"/>
      <c r="DH44" s="291"/>
      <c r="DI44" s="291"/>
      <c r="DJ44" s="291"/>
      <c r="DK44" s="291"/>
      <c r="DL44" s="291"/>
      <c r="DM44" s="291"/>
      <c r="DN44" s="291"/>
      <c r="DO44" s="291"/>
      <c r="DQ44" s="357"/>
      <c r="DR44" s="445" t="s">
        <v>1031</v>
      </c>
      <c r="DS44" s="384"/>
      <c r="DT44" s="384"/>
      <c r="DU44" s="384"/>
      <c r="DV44" s="384"/>
      <c r="DW44" s="384"/>
      <c r="DX44" s="384"/>
      <c r="DY44" s="384"/>
      <c r="DZ44" s="384"/>
      <c r="EA44" s="384"/>
      <c r="EB44" s="384"/>
      <c r="EC44" s="384"/>
      <c r="ED44" s="391"/>
      <c r="EE44" s="478">
        <v>2.9</v>
      </c>
      <c r="EF44" s="479"/>
      <c r="EG44" s="420" t="s">
        <v>53</v>
      </c>
      <c r="EH44" s="421"/>
      <c r="EI44" s="386"/>
      <c r="EJ44" s="416" t="s">
        <v>1077</v>
      </c>
      <c r="EK44" s="417"/>
      <c r="EL44" s="379"/>
      <c r="ER44" s="291"/>
      <c r="ES44" s="291"/>
      <c r="ET44" s="291"/>
      <c r="EU44" s="291"/>
      <c r="EV44" s="291"/>
      <c r="EW44" s="291"/>
      <c r="EX44" s="3"/>
      <c r="FW44" s="357"/>
      <c r="FX44" s="344" t="s">
        <v>69</v>
      </c>
      <c r="FY44" s="345"/>
      <c r="FZ44" s="345"/>
      <c r="GA44" s="345"/>
      <c r="GB44" s="345"/>
      <c r="GC44" s="345"/>
      <c r="GD44" s="345"/>
      <c r="GE44" s="345"/>
      <c r="GF44" s="345"/>
      <c r="GG44" s="345"/>
      <c r="GH44" s="345"/>
      <c r="GI44" s="345"/>
      <c r="GJ44" s="345"/>
      <c r="GK44" s="388">
        <f>GK52*CC48*GK48</f>
        <v>382.3999743881779</v>
      </c>
      <c r="GL44" s="371"/>
      <c r="GM44" s="457" t="s">
        <v>38</v>
      </c>
      <c r="GN44" s="458"/>
      <c r="GO44" s="373"/>
      <c r="GP44" s="375" t="s">
        <v>604</v>
      </c>
      <c r="GQ44" s="376"/>
      <c r="GR44" s="379"/>
      <c r="IH44" s="357"/>
      <c r="II44" s="344" t="s">
        <v>105</v>
      </c>
      <c r="IJ44" s="345"/>
      <c r="IK44" s="345"/>
      <c r="IL44" s="345"/>
      <c r="IM44" s="345"/>
      <c r="IN44" s="345"/>
      <c r="IO44" s="345"/>
      <c r="IP44" s="345"/>
      <c r="IQ44" s="345"/>
      <c r="IR44" s="345"/>
      <c r="IS44" s="345"/>
      <c r="IT44" s="345"/>
      <c r="IU44" s="345"/>
      <c r="IV44" s="348">
        <f>((GK64/GK12)^2)/(5+GK64/GK12)</f>
        <v>0.72874493927125494</v>
      </c>
      <c r="IW44" s="349"/>
      <c r="IX44" s="352"/>
      <c r="IY44" s="353"/>
      <c r="IZ44" s="373"/>
      <c r="JA44" s="375" t="s">
        <v>604</v>
      </c>
      <c r="JB44" s="376"/>
      <c r="JC44" s="379"/>
      <c r="JZ44" s="8"/>
      <c r="LP44" s="357"/>
      <c r="LQ44" s="344" t="s">
        <v>124</v>
      </c>
      <c r="LR44" s="345"/>
      <c r="LS44" s="345"/>
      <c r="LT44" s="345"/>
      <c r="LU44" s="345"/>
      <c r="LV44" s="345"/>
      <c r="LW44" s="345"/>
      <c r="LX44" s="345"/>
      <c r="LY44" s="345"/>
      <c r="LZ44" s="345"/>
      <c r="MA44" s="345"/>
      <c r="MB44" s="345"/>
      <c r="MC44" s="345"/>
      <c r="MD44" s="348">
        <f>(KX58*(AN77*1000/GK100))</f>
        <v>6.9428210782178532E-8</v>
      </c>
      <c r="ME44" s="349"/>
      <c r="MF44" s="390">
        <f>MD44*10^6</f>
        <v>6.9428210782178534E-2</v>
      </c>
      <c r="MG44" s="371"/>
      <c r="MH44" s="386"/>
      <c r="MI44" s="375" t="s">
        <v>604</v>
      </c>
      <c r="MJ44" s="376"/>
      <c r="MK44" s="379"/>
      <c r="OZ44" s="357"/>
      <c r="PA44" s="384"/>
      <c r="PB44" s="384"/>
      <c r="PC44" s="384"/>
      <c r="PD44" s="384"/>
      <c r="PE44" s="384"/>
      <c r="PF44" s="384"/>
      <c r="PG44" s="384"/>
      <c r="PH44" s="384"/>
      <c r="PI44" s="384"/>
      <c r="PJ44" s="384"/>
      <c r="PK44" s="384"/>
      <c r="PL44" s="384"/>
      <c r="PM44" s="391"/>
      <c r="PN44" s="348"/>
      <c r="PO44" s="349"/>
      <c r="PP44" s="390"/>
      <c r="PQ44" s="371"/>
      <c r="PR44" s="386"/>
      <c r="PS44" s="375" t="s">
        <v>604</v>
      </c>
      <c r="PT44" s="376"/>
      <c r="PU44" s="379"/>
      <c r="VL44" s="357"/>
      <c r="VM44" s="384"/>
      <c r="VN44" s="384"/>
      <c r="VO44" s="384"/>
      <c r="VP44" s="384"/>
      <c r="VQ44" s="384"/>
      <c r="VR44" s="384"/>
      <c r="VS44" s="384"/>
      <c r="VT44" s="384"/>
      <c r="VU44" s="384"/>
      <c r="VV44" s="384"/>
      <c r="VW44" s="384"/>
      <c r="VX44" s="384"/>
      <c r="VY44" s="384"/>
      <c r="VZ44" s="348"/>
      <c r="WA44" s="349"/>
      <c r="WB44" s="370"/>
      <c r="WC44" s="371"/>
      <c r="WD44" s="386"/>
      <c r="WE44" s="375" t="s">
        <v>604</v>
      </c>
      <c r="WF44" s="376"/>
      <c r="WG44" s="379"/>
      <c r="ZG44" s="357"/>
      <c r="ZH44" s="384"/>
      <c r="ZI44" s="384"/>
      <c r="ZJ44" s="384"/>
      <c r="ZK44" s="384"/>
      <c r="ZL44" s="384"/>
      <c r="ZM44" s="384"/>
      <c r="ZN44" s="384"/>
      <c r="ZO44" s="384"/>
      <c r="ZP44" s="384"/>
      <c r="ZQ44" s="384"/>
      <c r="ZR44" s="384"/>
      <c r="ZS44" s="384"/>
      <c r="ZT44" s="384"/>
      <c r="ZU44" s="348"/>
      <c r="ZV44" s="349"/>
      <c r="ZW44" s="370"/>
      <c r="ZX44" s="371"/>
      <c r="ZY44" s="386"/>
      <c r="ZZ44" s="375" t="s">
        <v>604</v>
      </c>
      <c r="AAA44" s="376"/>
      <c r="AAB44" s="379"/>
    </row>
    <row r="45" spans="1:781" ht="48" customHeight="1" thickBot="1" x14ac:dyDescent="0.35">
      <c r="A45" s="291"/>
      <c r="B45" s="291"/>
      <c r="D45" s="1"/>
      <c r="E45" s="1"/>
      <c r="F45" s="1"/>
      <c r="Z45" s="454"/>
      <c r="AA45" s="455"/>
      <c r="AB45" s="456"/>
      <c r="AC45" s="358"/>
      <c r="AD45" s="575"/>
      <c r="AE45" s="544"/>
      <c r="AF45" s="544"/>
      <c r="AG45" s="544"/>
      <c r="AH45" s="544"/>
      <c r="AI45" s="544"/>
      <c r="AJ45" s="544"/>
      <c r="AK45" s="544"/>
      <c r="AL45" s="544"/>
      <c r="AM45" s="544"/>
      <c r="AN45" s="544"/>
      <c r="AO45" s="544"/>
      <c r="AP45" s="544"/>
      <c r="AQ45" s="426"/>
      <c r="AR45" s="427"/>
      <c r="AS45" s="422"/>
      <c r="AT45" s="423"/>
      <c r="AU45" s="387"/>
      <c r="AV45" s="403"/>
      <c r="AW45" s="404"/>
      <c r="AX45" s="380"/>
      <c r="BH45" s="291"/>
      <c r="BI45" s="291"/>
      <c r="BJ45" s="291"/>
      <c r="BO45" s="358"/>
      <c r="BP45" s="517"/>
      <c r="BQ45" s="518"/>
      <c r="BR45" s="518"/>
      <c r="BS45" s="518"/>
      <c r="BT45" s="518"/>
      <c r="BU45" s="518"/>
      <c r="BV45" s="518"/>
      <c r="BW45" s="518"/>
      <c r="BX45" s="518"/>
      <c r="BY45" s="518"/>
      <c r="BZ45" s="518"/>
      <c r="CA45" s="518"/>
      <c r="CB45" s="518"/>
      <c r="CC45" s="389"/>
      <c r="CD45" s="372"/>
      <c r="CE45" s="538"/>
      <c r="CF45" s="539"/>
      <c r="CG45" s="374"/>
      <c r="CH45" s="377"/>
      <c r="CI45" s="559"/>
      <c r="CJ45" s="559"/>
      <c r="CK45" s="378"/>
      <c r="CL45" s="380"/>
      <c r="CM45" s="400"/>
      <c r="CN45" s="400"/>
      <c r="CO45" s="400"/>
      <c r="CP45" s="400"/>
      <c r="DA45" s="291"/>
      <c r="DB45" s="291"/>
      <c r="DC45" s="291"/>
      <c r="DD45" s="291"/>
      <c r="DE45" s="291"/>
      <c r="DF45" s="291"/>
      <c r="DG45" s="291"/>
      <c r="DH45" s="291"/>
      <c r="DI45" s="291"/>
      <c r="DJ45" s="291"/>
      <c r="DK45" s="291"/>
      <c r="DL45" s="291"/>
      <c r="DM45" s="291"/>
      <c r="DN45" s="291"/>
      <c r="DO45" s="291"/>
      <c r="DQ45" s="358"/>
      <c r="DR45" s="385"/>
      <c r="DS45" s="385"/>
      <c r="DT45" s="385"/>
      <c r="DU45" s="385"/>
      <c r="DV45" s="385"/>
      <c r="DW45" s="385"/>
      <c r="DX45" s="385"/>
      <c r="DY45" s="385"/>
      <c r="DZ45" s="385"/>
      <c r="EA45" s="385"/>
      <c r="EB45" s="385"/>
      <c r="EC45" s="385"/>
      <c r="ED45" s="392"/>
      <c r="EE45" s="480"/>
      <c r="EF45" s="481"/>
      <c r="EG45" s="422"/>
      <c r="EH45" s="423"/>
      <c r="EI45" s="387"/>
      <c r="EJ45" s="418"/>
      <c r="EK45" s="419"/>
      <c r="EL45" s="380"/>
      <c r="ER45" s="291"/>
      <c r="ES45" s="291"/>
      <c r="ET45" s="291"/>
      <c r="EU45" s="291"/>
      <c r="EV45" s="291"/>
      <c r="EW45" s="291"/>
      <c r="EX45" s="3"/>
      <c r="FW45" s="358"/>
      <c r="FX45" s="346"/>
      <c r="FY45" s="347"/>
      <c r="FZ45" s="347"/>
      <c r="GA45" s="347"/>
      <c r="GB45" s="347"/>
      <c r="GC45" s="347"/>
      <c r="GD45" s="347"/>
      <c r="GE45" s="347"/>
      <c r="GF45" s="347"/>
      <c r="GG45" s="347"/>
      <c r="GH45" s="347"/>
      <c r="GI45" s="347"/>
      <c r="GJ45" s="347"/>
      <c r="GK45" s="389"/>
      <c r="GL45" s="372"/>
      <c r="GM45" s="459"/>
      <c r="GN45" s="460"/>
      <c r="GO45" s="374"/>
      <c r="GP45" s="377"/>
      <c r="GQ45" s="378"/>
      <c r="GR45" s="380"/>
      <c r="IH45" s="358"/>
      <c r="II45" s="346"/>
      <c r="IJ45" s="347"/>
      <c r="IK45" s="347"/>
      <c r="IL45" s="347"/>
      <c r="IM45" s="347"/>
      <c r="IN45" s="347"/>
      <c r="IO45" s="347"/>
      <c r="IP45" s="347"/>
      <c r="IQ45" s="347"/>
      <c r="IR45" s="347"/>
      <c r="IS45" s="347"/>
      <c r="IT45" s="347"/>
      <c r="IU45" s="347"/>
      <c r="IV45" s="350"/>
      <c r="IW45" s="351"/>
      <c r="IX45" s="354"/>
      <c r="IY45" s="355"/>
      <c r="IZ45" s="374"/>
      <c r="JA45" s="377"/>
      <c r="JB45" s="378"/>
      <c r="JC45" s="380"/>
      <c r="LP45" s="358"/>
      <c r="LQ45" s="346"/>
      <c r="LR45" s="347"/>
      <c r="LS45" s="347"/>
      <c r="LT45" s="347"/>
      <c r="LU45" s="347"/>
      <c r="LV45" s="347"/>
      <c r="LW45" s="347"/>
      <c r="LX45" s="347"/>
      <c r="LY45" s="347"/>
      <c r="LZ45" s="347"/>
      <c r="MA45" s="347"/>
      <c r="MB45" s="347"/>
      <c r="MC45" s="347"/>
      <c r="MD45" s="350"/>
      <c r="ME45" s="351"/>
      <c r="MF45" s="347"/>
      <c r="MG45" s="372"/>
      <c r="MH45" s="387"/>
      <c r="MI45" s="377"/>
      <c r="MJ45" s="378"/>
      <c r="MK45" s="380"/>
      <c r="OZ45" s="358"/>
      <c r="PA45" s="385"/>
      <c r="PB45" s="385"/>
      <c r="PC45" s="385"/>
      <c r="PD45" s="385"/>
      <c r="PE45" s="385"/>
      <c r="PF45" s="385"/>
      <c r="PG45" s="385"/>
      <c r="PH45" s="385"/>
      <c r="PI45" s="385"/>
      <c r="PJ45" s="385"/>
      <c r="PK45" s="385"/>
      <c r="PL45" s="385"/>
      <c r="PM45" s="392"/>
      <c r="PN45" s="350"/>
      <c r="PO45" s="351"/>
      <c r="PP45" s="347"/>
      <c r="PQ45" s="372"/>
      <c r="PR45" s="387"/>
      <c r="PS45" s="377"/>
      <c r="PT45" s="378"/>
      <c r="PU45" s="380"/>
      <c r="VL45" s="358"/>
      <c r="VM45" s="385"/>
      <c r="VN45" s="385"/>
      <c r="VO45" s="385"/>
      <c r="VP45" s="385"/>
      <c r="VQ45" s="385"/>
      <c r="VR45" s="385"/>
      <c r="VS45" s="385"/>
      <c r="VT45" s="385"/>
      <c r="VU45" s="385"/>
      <c r="VV45" s="385"/>
      <c r="VW45" s="385"/>
      <c r="VX45" s="385"/>
      <c r="VY45" s="385"/>
      <c r="VZ45" s="350"/>
      <c r="WA45" s="351"/>
      <c r="WB45" s="346"/>
      <c r="WC45" s="372"/>
      <c r="WD45" s="387"/>
      <c r="WE45" s="377"/>
      <c r="WF45" s="378"/>
      <c r="WG45" s="380"/>
      <c r="ZG45" s="358"/>
      <c r="ZH45" s="385"/>
      <c r="ZI45" s="385"/>
      <c r="ZJ45" s="385"/>
      <c r="ZK45" s="385"/>
      <c r="ZL45" s="385"/>
      <c r="ZM45" s="385"/>
      <c r="ZN45" s="385"/>
      <c r="ZO45" s="385"/>
      <c r="ZP45" s="385"/>
      <c r="ZQ45" s="385"/>
      <c r="ZR45" s="385"/>
      <c r="ZS45" s="385"/>
      <c r="ZT45" s="385"/>
      <c r="ZU45" s="350"/>
      <c r="ZV45" s="351"/>
      <c r="ZW45" s="346"/>
      <c r="ZX45" s="372"/>
      <c r="ZY45" s="387"/>
      <c r="ZZ45" s="377"/>
      <c r="AAA45" s="378"/>
      <c r="AAB45" s="380"/>
    </row>
    <row r="46" spans="1:781" ht="48" customHeight="1" x14ac:dyDescent="0.3">
      <c r="A46" s="291"/>
      <c r="B46" s="291"/>
      <c r="D46" s="1"/>
      <c r="E46" s="1"/>
      <c r="F46" s="1"/>
      <c r="BF46" s="12"/>
      <c r="BH46" s="291"/>
      <c r="BI46" s="291"/>
      <c r="BJ46" s="291"/>
      <c r="DA46" s="291"/>
      <c r="DB46" s="291"/>
      <c r="DC46" s="291"/>
      <c r="DD46" s="291"/>
      <c r="DE46" s="291"/>
      <c r="DF46" s="291"/>
      <c r="DG46" s="291"/>
      <c r="DH46" s="291"/>
      <c r="DI46" s="291"/>
      <c r="DJ46" s="291"/>
      <c r="DK46" s="291"/>
      <c r="DL46" s="291"/>
      <c r="DM46" s="291"/>
      <c r="DN46" s="291"/>
      <c r="DO46" s="291"/>
      <c r="EV46" s="12"/>
      <c r="EW46" s="3"/>
      <c r="EX46" s="3"/>
      <c r="JZ46" s="8"/>
    </row>
    <row r="47" spans="1:781" ht="48" customHeight="1" thickBot="1" x14ac:dyDescent="0.35">
      <c r="A47" s="291"/>
      <c r="B47" s="291"/>
      <c r="D47" s="1"/>
      <c r="E47" s="1"/>
      <c r="F47" s="1"/>
      <c r="Z47" s="448" t="s">
        <v>958</v>
      </c>
      <c r="AA47" s="449"/>
      <c r="AB47" s="450"/>
      <c r="AC47" s="356"/>
      <c r="AD47" s="572" t="s">
        <v>912</v>
      </c>
      <c r="AE47" s="572"/>
      <c r="AF47" s="268"/>
      <c r="AG47" s="175"/>
      <c r="AH47" s="175"/>
      <c r="AI47" s="175"/>
      <c r="AJ47" s="175"/>
      <c r="AK47" s="295"/>
      <c r="AL47" s="172" t="s">
        <v>908</v>
      </c>
      <c r="AM47" s="268"/>
      <c r="AN47" s="173" t="s">
        <v>629</v>
      </c>
      <c r="AO47" s="570" t="s">
        <v>623</v>
      </c>
      <c r="AP47" s="571"/>
      <c r="AQ47" s="361" t="s">
        <v>189</v>
      </c>
      <c r="AR47" s="362"/>
      <c r="AS47" s="363" t="s">
        <v>910</v>
      </c>
      <c r="AT47" s="364"/>
      <c r="AU47" s="365" t="s">
        <v>638</v>
      </c>
      <c r="AV47" s="366"/>
      <c r="AW47" s="366"/>
      <c r="AX47" s="367"/>
      <c r="BF47" s="12"/>
      <c r="BH47" s="291"/>
      <c r="BI47" s="291"/>
      <c r="BJ47" s="291"/>
      <c r="BO47" s="356"/>
      <c r="BP47" s="297" t="s">
        <v>604</v>
      </c>
      <c r="BQ47" s="298"/>
      <c r="BR47" s="281"/>
      <c r="BS47" s="175"/>
      <c r="BT47" s="175"/>
      <c r="BU47" s="175"/>
      <c r="BV47" s="175"/>
      <c r="BW47" s="175"/>
      <c r="BX47" s="175"/>
      <c r="BY47" s="281"/>
      <c r="BZ47" s="173" t="s">
        <v>629</v>
      </c>
      <c r="CA47" s="359" t="s">
        <v>623</v>
      </c>
      <c r="CB47" s="381"/>
      <c r="CC47" s="382" t="s">
        <v>189</v>
      </c>
      <c r="CD47" s="383"/>
      <c r="CE47" s="363" t="s">
        <v>910</v>
      </c>
      <c r="CF47" s="364"/>
      <c r="CG47" s="365" t="s">
        <v>638</v>
      </c>
      <c r="CH47" s="366"/>
      <c r="CI47" s="366"/>
      <c r="CJ47" s="367"/>
      <c r="CK47" s="365" t="s">
        <v>624</v>
      </c>
      <c r="CL47" s="366"/>
      <c r="CM47" s="366"/>
      <c r="CN47" s="366"/>
      <c r="CO47" s="366"/>
      <c r="CP47" s="367"/>
      <c r="DA47" s="291"/>
      <c r="DB47" s="291"/>
      <c r="DC47" s="291"/>
      <c r="DD47" s="291"/>
      <c r="DE47" s="291"/>
      <c r="DF47" s="291"/>
      <c r="DG47" s="291"/>
      <c r="DH47" s="291"/>
      <c r="DI47" s="291"/>
      <c r="DJ47" s="291"/>
      <c r="DK47" s="291"/>
      <c r="DL47" s="291"/>
      <c r="DM47" s="291"/>
      <c r="DN47" s="291"/>
      <c r="DO47" s="291"/>
      <c r="DQ47" s="356"/>
      <c r="DR47" s="297" t="s">
        <v>604</v>
      </c>
      <c r="DS47" s="298"/>
      <c r="DT47" s="315"/>
      <c r="DU47" s="175"/>
      <c r="DV47" s="175"/>
      <c r="DW47" s="175"/>
      <c r="DX47" s="175"/>
      <c r="DY47" s="175"/>
      <c r="DZ47" s="175"/>
      <c r="EA47" s="315"/>
      <c r="EB47" s="173" t="s">
        <v>629</v>
      </c>
      <c r="EC47" s="359" t="s">
        <v>623</v>
      </c>
      <c r="ED47" s="381"/>
      <c r="EE47" s="382" t="s">
        <v>189</v>
      </c>
      <c r="EF47" s="383"/>
      <c r="EG47" s="363" t="s">
        <v>910</v>
      </c>
      <c r="EH47" s="364"/>
      <c r="EI47" s="365" t="s">
        <v>638</v>
      </c>
      <c r="EJ47" s="366"/>
      <c r="EK47" s="366"/>
      <c r="EL47" s="367"/>
      <c r="EV47" s="12"/>
      <c r="EW47" s="3"/>
      <c r="EX47" s="3"/>
      <c r="FW47" s="356"/>
      <c r="FX47" s="297" t="s">
        <v>604</v>
      </c>
      <c r="FY47" s="298"/>
      <c r="FZ47" s="315"/>
      <c r="GA47" s="175"/>
      <c r="GB47" s="175"/>
      <c r="GC47" s="175"/>
      <c r="GD47" s="175"/>
      <c r="GE47" s="175"/>
      <c r="GF47" s="175"/>
      <c r="GG47" s="315"/>
      <c r="GH47" s="173" t="s">
        <v>629</v>
      </c>
      <c r="GI47" s="359" t="s">
        <v>623</v>
      </c>
      <c r="GJ47" s="381"/>
      <c r="GK47" s="382" t="s">
        <v>189</v>
      </c>
      <c r="GL47" s="383"/>
      <c r="GM47" s="363" t="s">
        <v>910</v>
      </c>
      <c r="GN47" s="364"/>
      <c r="GO47" s="365" t="s">
        <v>638</v>
      </c>
      <c r="GP47" s="366"/>
      <c r="GQ47" s="366"/>
      <c r="GR47" s="367"/>
      <c r="IH47" s="356"/>
      <c r="II47" s="297" t="s">
        <v>604</v>
      </c>
      <c r="IJ47" s="298"/>
      <c r="IK47" s="315"/>
      <c r="IL47" s="175"/>
      <c r="IM47" s="175"/>
      <c r="IN47" s="175"/>
      <c r="IO47" s="175"/>
      <c r="IP47" s="175"/>
      <c r="IQ47" s="175"/>
      <c r="IR47" s="315"/>
      <c r="IS47" s="173" t="s">
        <v>629</v>
      </c>
      <c r="IT47" s="359" t="s">
        <v>623</v>
      </c>
      <c r="IU47" s="360"/>
      <c r="IV47" s="361" t="s">
        <v>189</v>
      </c>
      <c r="IW47" s="362"/>
      <c r="IX47" s="363" t="s">
        <v>910</v>
      </c>
      <c r="IY47" s="364"/>
      <c r="IZ47" s="365" t="s">
        <v>638</v>
      </c>
      <c r="JA47" s="366"/>
      <c r="JB47" s="366"/>
      <c r="JC47" s="367"/>
      <c r="LP47" s="356"/>
      <c r="LQ47" s="297" t="s">
        <v>604</v>
      </c>
      <c r="LR47" s="298"/>
      <c r="LS47" s="321"/>
      <c r="LT47" s="175"/>
      <c r="LU47" s="175"/>
      <c r="LV47" s="175"/>
      <c r="LW47" s="175"/>
      <c r="LX47" s="175"/>
      <c r="LY47" s="175"/>
      <c r="LZ47" s="321"/>
      <c r="MA47" s="173" t="s">
        <v>629</v>
      </c>
      <c r="MB47" s="393" t="s">
        <v>623</v>
      </c>
      <c r="MC47" s="394"/>
      <c r="MD47" s="382" t="s">
        <v>189</v>
      </c>
      <c r="ME47" s="383"/>
      <c r="MF47" s="363" t="s">
        <v>910</v>
      </c>
      <c r="MG47" s="364"/>
      <c r="MH47" s="365" t="s">
        <v>638</v>
      </c>
      <c r="MI47" s="366"/>
      <c r="MJ47" s="366"/>
      <c r="MK47" s="367"/>
      <c r="OZ47" s="356"/>
      <c r="PA47" s="297" t="s">
        <v>604</v>
      </c>
      <c r="PB47" s="298"/>
      <c r="PC47" s="321"/>
      <c r="PD47" s="175"/>
      <c r="PE47" s="175"/>
      <c r="PF47" s="175"/>
      <c r="PG47" s="175"/>
      <c r="PH47" s="175"/>
      <c r="PI47" s="175"/>
      <c r="PJ47" s="321"/>
      <c r="PK47" s="173" t="s">
        <v>629</v>
      </c>
      <c r="PL47" s="359" t="s">
        <v>623</v>
      </c>
      <c r="PM47" s="381"/>
      <c r="PN47" s="382" t="s">
        <v>189</v>
      </c>
      <c r="PO47" s="383"/>
      <c r="PP47" s="363" t="s">
        <v>910</v>
      </c>
      <c r="PQ47" s="364"/>
      <c r="PR47" s="365" t="s">
        <v>638</v>
      </c>
      <c r="PS47" s="366"/>
      <c r="PT47" s="366"/>
      <c r="PU47" s="367"/>
      <c r="VL47" s="356"/>
      <c r="VM47" s="297" t="s">
        <v>604</v>
      </c>
      <c r="VN47" s="298"/>
      <c r="VO47" s="321"/>
      <c r="VP47" s="175"/>
      <c r="VQ47" s="175"/>
      <c r="VR47" s="175"/>
      <c r="VS47" s="175"/>
      <c r="VT47" s="175"/>
      <c r="VU47" s="175"/>
      <c r="VV47" s="321"/>
      <c r="VW47" s="173" t="s">
        <v>629</v>
      </c>
      <c r="VX47" s="359" t="s">
        <v>623</v>
      </c>
      <c r="VY47" s="381"/>
      <c r="VZ47" s="382" t="s">
        <v>189</v>
      </c>
      <c r="WA47" s="383"/>
      <c r="WB47" s="363" t="s">
        <v>910</v>
      </c>
      <c r="WC47" s="364"/>
      <c r="WD47" s="365" t="s">
        <v>638</v>
      </c>
      <c r="WE47" s="366"/>
      <c r="WF47" s="366"/>
      <c r="WG47" s="367"/>
      <c r="ZG47" s="356"/>
      <c r="ZH47" s="297" t="s">
        <v>604</v>
      </c>
      <c r="ZI47" s="298"/>
      <c r="ZJ47" s="321"/>
      <c r="ZK47" s="175"/>
      <c r="ZL47" s="175"/>
      <c r="ZM47" s="175"/>
      <c r="ZN47" s="175"/>
      <c r="ZO47" s="175"/>
      <c r="ZP47" s="175"/>
      <c r="ZQ47" s="321"/>
      <c r="ZR47" s="173" t="s">
        <v>629</v>
      </c>
      <c r="ZS47" s="359" t="s">
        <v>623</v>
      </c>
      <c r="ZT47" s="381"/>
      <c r="ZU47" s="382" t="s">
        <v>189</v>
      </c>
      <c r="ZV47" s="383"/>
      <c r="ZW47" s="363" t="s">
        <v>910</v>
      </c>
      <c r="ZX47" s="364"/>
      <c r="ZY47" s="365" t="s">
        <v>638</v>
      </c>
      <c r="ZZ47" s="366"/>
      <c r="AAA47" s="366"/>
      <c r="AAB47" s="367"/>
    </row>
    <row r="48" spans="1:781" ht="48" customHeight="1" x14ac:dyDescent="0.3">
      <c r="A48" s="291"/>
      <c r="B48" s="291"/>
      <c r="D48" s="1"/>
      <c r="E48" s="1"/>
      <c r="F48" s="1"/>
      <c r="Z48" s="451"/>
      <c r="AA48" s="452"/>
      <c r="AB48" s="453"/>
      <c r="AC48" s="357"/>
      <c r="AD48" s="523" t="s">
        <v>971</v>
      </c>
      <c r="AE48" s="573"/>
      <c r="AF48" s="573"/>
      <c r="AG48" s="573"/>
      <c r="AH48" s="573"/>
      <c r="AI48" s="573"/>
      <c r="AJ48" s="573"/>
      <c r="AK48" s="573"/>
      <c r="AL48" s="573"/>
      <c r="AM48" s="573"/>
      <c r="AN48" s="573"/>
      <c r="AO48" s="573"/>
      <c r="AP48" s="574"/>
      <c r="AQ48" s="424">
        <v>0.88</v>
      </c>
      <c r="AR48" s="425"/>
      <c r="AS48" s="420" t="s">
        <v>915</v>
      </c>
      <c r="AT48" s="421"/>
      <c r="AU48" s="379"/>
      <c r="AV48" s="401" t="s">
        <v>622</v>
      </c>
      <c r="AW48" s="402"/>
      <c r="AX48" s="379"/>
      <c r="BF48" s="12"/>
      <c r="BH48" s="291"/>
      <c r="BI48" s="291"/>
      <c r="BJ48" s="291"/>
      <c r="BO48" s="357"/>
      <c r="BP48" s="514" t="s">
        <v>34</v>
      </c>
      <c r="BQ48" s="515"/>
      <c r="BR48" s="515"/>
      <c r="BS48" s="515"/>
      <c r="BT48" s="515"/>
      <c r="BU48" s="515"/>
      <c r="BV48" s="515"/>
      <c r="BW48" s="515"/>
      <c r="BX48" s="515"/>
      <c r="BY48" s="515"/>
      <c r="BZ48" s="515"/>
      <c r="CA48" s="515"/>
      <c r="CB48" s="515"/>
      <c r="CC48" s="388">
        <f>AH4/(CD32*AH6*AQ48*AQ44)</f>
        <v>28.318471799333043</v>
      </c>
      <c r="CD48" s="371"/>
      <c r="CE48" s="457" t="s">
        <v>38</v>
      </c>
      <c r="CF48" s="458"/>
      <c r="CG48" s="386"/>
      <c r="CH48" s="416" t="s">
        <v>1010</v>
      </c>
      <c r="CI48" s="417"/>
      <c r="CJ48" s="379"/>
      <c r="CK48" s="396"/>
      <c r="CL48" s="397"/>
      <c r="CM48" s="397"/>
      <c r="CN48" s="397"/>
      <c r="CO48" s="397"/>
      <c r="CP48" s="398"/>
      <c r="DA48" s="291"/>
      <c r="DB48" s="291"/>
      <c r="DC48" s="291"/>
      <c r="DD48" s="291"/>
      <c r="DE48" s="291"/>
      <c r="DF48" s="291"/>
      <c r="DG48" s="291"/>
      <c r="DH48" s="291"/>
      <c r="DI48" s="291"/>
      <c r="DJ48" s="291"/>
      <c r="DK48" s="291"/>
      <c r="DL48" s="291"/>
      <c r="DM48" s="291"/>
      <c r="DN48" s="291"/>
      <c r="DO48" s="291"/>
      <c r="DQ48" s="357"/>
      <c r="DR48" s="384" t="s">
        <v>54</v>
      </c>
      <c r="DS48" s="384"/>
      <c r="DT48" s="384"/>
      <c r="DU48" s="384"/>
      <c r="DV48" s="384"/>
      <c r="DW48" s="384"/>
      <c r="DX48" s="384"/>
      <c r="DY48" s="384"/>
      <c r="DZ48" s="384"/>
      <c r="EA48" s="384"/>
      <c r="EB48" s="384"/>
      <c r="EC48" s="384"/>
      <c r="ED48" s="447"/>
      <c r="EE48" s="348"/>
      <c r="EF48" s="349"/>
      <c r="EG48" s="388"/>
      <c r="EH48" s="371"/>
      <c r="EI48" s="386"/>
      <c r="EJ48" s="375" t="s">
        <v>604</v>
      </c>
      <c r="EK48" s="376"/>
      <c r="EL48" s="379"/>
      <c r="EV48" s="12"/>
      <c r="EW48" s="3"/>
      <c r="EX48" s="3"/>
      <c r="FW48" s="357"/>
      <c r="FX48" s="344" t="s">
        <v>70</v>
      </c>
      <c r="FY48" s="345"/>
      <c r="FZ48" s="345"/>
      <c r="GA48" s="345"/>
      <c r="GB48" s="345"/>
      <c r="GC48" s="345"/>
      <c r="GD48" s="345"/>
      <c r="GE48" s="345"/>
      <c r="GF48" s="345"/>
      <c r="GG48" s="345"/>
      <c r="GH48" s="345"/>
      <c r="GI48" s="345"/>
      <c r="GJ48" s="345"/>
      <c r="GK48" s="388">
        <f>(2*CD32*CC64*AN64)/GK24</f>
        <v>15.003947368421052</v>
      </c>
      <c r="GL48" s="371"/>
      <c r="GM48" s="406"/>
      <c r="GN48" s="408"/>
      <c r="GO48" s="386"/>
      <c r="GP48" s="375" t="s">
        <v>604</v>
      </c>
      <c r="GQ48" s="376"/>
      <c r="GR48" s="379"/>
      <c r="IH48" s="357"/>
      <c r="II48" s="344" t="s">
        <v>91</v>
      </c>
      <c r="IJ48" s="345"/>
      <c r="IK48" s="345"/>
      <c r="IL48" s="345"/>
      <c r="IM48" s="345"/>
      <c r="IN48" s="345"/>
      <c r="IO48" s="345"/>
      <c r="IP48" s="345"/>
      <c r="IQ48" s="345"/>
      <c r="IR48" s="345"/>
      <c r="IS48" s="345"/>
      <c r="IT48" s="345"/>
      <c r="IU48" s="345"/>
      <c r="IV48" s="348">
        <f>2*EE52/1000*IV52</f>
        <v>134.66822156907907</v>
      </c>
      <c r="IW48" s="349"/>
      <c r="IX48" s="352"/>
      <c r="IY48" s="353"/>
      <c r="IZ48" s="373"/>
      <c r="JA48" s="375" t="s">
        <v>604</v>
      </c>
      <c r="JB48" s="376"/>
      <c r="JC48" s="379"/>
      <c r="JZ48" s="8"/>
      <c r="LP48" s="357"/>
      <c r="LQ48" s="344" t="s">
        <v>125</v>
      </c>
      <c r="LR48" s="345"/>
      <c r="LS48" s="345"/>
      <c r="LT48" s="345"/>
      <c r="LU48" s="345"/>
      <c r="LV48" s="345"/>
      <c r="LW48" s="345"/>
      <c r="LX48" s="345"/>
      <c r="LY48" s="345"/>
      <c r="LZ48" s="345"/>
      <c r="MA48" s="345"/>
      <c r="MB48" s="345"/>
      <c r="MC48" s="345"/>
      <c r="MD48" s="348">
        <f>((KX59*3.14*MD52)/(GK24*GK108/1000))</f>
        <v>4.6842108904364108E-7</v>
      </c>
      <c r="ME48" s="349"/>
      <c r="MF48" s="390">
        <f>MD48*10^6</f>
        <v>0.4684210890436411</v>
      </c>
      <c r="MG48" s="371"/>
      <c r="MH48" s="386"/>
      <c r="MI48" s="375" t="s">
        <v>604</v>
      </c>
      <c r="MJ48" s="376"/>
      <c r="MK48" s="379"/>
      <c r="OZ48" s="357"/>
      <c r="PA48" s="384"/>
      <c r="PB48" s="384"/>
      <c r="PC48" s="384"/>
      <c r="PD48" s="384"/>
      <c r="PE48" s="384"/>
      <c r="PF48" s="384"/>
      <c r="PG48" s="384"/>
      <c r="PH48" s="384"/>
      <c r="PI48" s="384"/>
      <c r="PJ48" s="384"/>
      <c r="PK48" s="384"/>
      <c r="PL48" s="384"/>
      <c r="PM48" s="391"/>
      <c r="PN48" s="348"/>
      <c r="PO48" s="349"/>
      <c r="PP48" s="390"/>
      <c r="PQ48" s="371"/>
      <c r="PR48" s="386"/>
      <c r="PS48" s="375" t="s">
        <v>604</v>
      </c>
      <c r="PT48" s="376"/>
      <c r="PU48" s="379"/>
      <c r="VL48" s="357"/>
      <c r="VM48" s="384"/>
      <c r="VN48" s="384"/>
      <c r="VO48" s="384"/>
      <c r="VP48" s="384"/>
      <c r="VQ48" s="384"/>
      <c r="VR48" s="384"/>
      <c r="VS48" s="384"/>
      <c r="VT48" s="384"/>
      <c r="VU48" s="384"/>
      <c r="VV48" s="384"/>
      <c r="VW48" s="384"/>
      <c r="VX48" s="384"/>
      <c r="VY48" s="384"/>
      <c r="VZ48" s="348"/>
      <c r="WA48" s="349"/>
      <c r="WB48" s="370"/>
      <c r="WC48" s="371"/>
      <c r="WD48" s="386"/>
      <c r="WE48" s="375" t="s">
        <v>604</v>
      </c>
      <c r="WF48" s="376"/>
      <c r="WG48" s="379"/>
      <c r="ZG48" s="357"/>
      <c r="ZH48" s="384"/>
      <c r="ZI48" s="384"/>
      <c r="ZJ48" s="384"/>
      <c r="ZK48" s="384"/>
      <c r="ZL48" s="384"/>
      <c r="ZM48" s="384"/>
      <c r="ZN48" s="384"/>
      <c r="ZO48" s="384"/>
      <c r="ZP48" s="384"/>
      <c r="ZQ48" s="384"/>
      <c r="ZR48" s="384"/>
      <c r="ZS48" s="384"/>
      <c r="ZT48" s="384"/>
      <c r="ZU48" s="348"/>
      <c r="ZV48" s="349"/>
      <c r="ZW48" s="370"/>
      <c r="ZX48" s="371"/>
      <c r="ZY48" s="386"/>
      <c r="ZZ48" s="375" t="s">
        <v>604</v>
      </c>
      <c r="AAA48" s="376"/>
      <c r="AAB48" s="379"/>
    </row>
    <row r="49" spans="1:704" ht="48" customHeight="1" thickBot="1" x14ac:dyDescent="0.35">
      <c r="A49" s="291"/>
      <c r="B49" s="291"/>
      <c r="D49" s="1"/>
      <c r="E49" s="1"/>
      <c r="F49" s="1"/>
      <c r="Z49" s="454"/>
      <c r="AA49" s="455"/>
      <c r="AB49" s="456"/>
      <c r="AC49" s="358"/>
      <c r="AD49" s="575"/>
      <c r="AE49" s="544"/>
      <c r="AF49" s="544"/>
      <c r="AG49" s="544"/>
      <c r="AH49" s="544"/>
      <c r="AI49" s="544"/>
      <c r="AJ49" s="544"/>
      <c r="AK49" s="544"/>
      <c r="AL49" s="544"/>
      <c r="AM49" s="544"/>
      <c r="AN49" s="544"/>
      <c r="AO49" s="544"/>
      <c r="AP49" s="576"/>
      <c r="AQ49" s="426"/>
      <c r="AR49" s="427"/>
      <c r="AS49" s="422"/>
      <c r="AT49" s="423"/>
      <c r="AU49" s="380"/>
      <c r="AV49" s="403"/>
      <c r="AW49" s="404"/>
      <c r="AX49" s="380"/>
      <c r="BF49" s="12"/>
      <c r="BH49" s="291"/>
      <c r="BI49" s="291"/>
      <c r="BJ49" s="291"/>
      <c r="BO49" s="358"/>
      <c r="BP49" s="517"/>
      <c r="BQ49" s="518"/>
      <c r="BR49" s="518"/>
      <c r="BS49" s="518"/>
      <c r="BT49" s="518"/>
      <c r="BU49" s="518"/>
      <c r="BV49" s="518"/>
      <c r="BW49" s="518"/>
      <c r="BX49" s="518"/>
      <c r="BY49" s="518"/>
      <c r="BZ49" s="518"/>
      <c r="CA49" s="518"/>
      <c r="CB49" s="518"/>
      <c r="CC49" s="389"/>
      <c r="CD49" s="372"/>
      <c r="CE49" s="459"/>
      <c r="CF49" s="460"/>
      <c r="CG49" s="387"/>
      <c r="CH49" s="418"/>
      <c r="CI49" s="419"/>
      <c r="CJ49" s="380"/>
      <c r="CK49" s="341"/>
      <c r="CL49" s="342"/>
      <c r="CM49" s="342"/>
      <c r="CN49" s="342"/>
      <c r="CO49" s="342"/>
      <c r="CP49" s="343"/>
      <c r="DA49" s="291"/>
      <c r="DB49" s="291"/>
      <c r="DC49" s="291"/>
      <c r="DD49" s="291"/>
      <c r="DE49" s="291"/>
      <c r="DF49" s="291"/>
      <c r="DG49" s="291"/>
      <c r="DH49" s="291"/>
      <c r="DI49" s="291"/>
      <c r="DJ49" s="291"/>
      <c r="DK49" s="291"/>
      <c r="DL49" s="291"/>
      <c r="DM49" s="291"/>
      <c r="DN49" s="291"/>
      <c r="DO49" s="291"/>
      <c r="DQ49" s="358"/>
      <c r="DR49" s="385"/>
      <c r="DS49" s="385"/>
      <c r="DT49" s="385"/>
      <c r="DU49" s="385"/>
      <c r="DV49" s="385"/>
      <c r="DW49" s="385"/>
      <c r="DX49" s="385"/>
      <c r="DY49" s="385"/>
      <c r="DZ49" s="385"/>
      <c r="EA49" s="385"/>
      <c r="EB49" s="385"/>
      <c r="EC49" s="385"/>
      <c r="ED49" s="351"/>
      <c r="EE49" s="350"/>
      <c r="EF49" s="351"/>
      <c r="EG49" s="389"/>
      <c r="EH49" s="372"/>
      <c r="EI49" s="387"/>
      <c r="EJ49" s="377"/>
      <c r="EK49" s="378"/>
      <c r="EL49" s="380"/>
      <c r="EV49" s="12"/>
      <c r="EW49" s="3"/>
      <c r="EX49" s="3"/>
      <c r="FW49" s="358"/>
      <c r="FX49" s="346"/>
      <c r="FY49" s="347"/>
      <c r="FZ49" s="347"/>
      <c r="GA49" s="347"/>
      <c r="GB49" s="347"/>
      <c r="GC49" s="347"/>
      <c r="GD49" s="347"/>
      <c r="GE49" s="347"/>
      <c r="GF49" s="347"/>
      <c r="GG49" s="347"/>
      <c r="GH49" s="347"/>
      <c r="GI49" s="347"/>
      <c r="GJ49" s="347"/>
      <c r="GK49" s="389"/>
      <c r="GL49" s="372"/>
      <c r="GM49" s="409"/>
      <c r="GN49" s="411"/>
      <c r="GO49" s="387"/>
      <c r="GP49" s="377"/>
      <c r="GQ49" s="378"/>
      <c r="GR49" s="380"/>
      <c r="IH49" s="358"/>
      <c r="II49" s="346"/>
      <c r="IJ49" s="347"/>
      <c r="IK49" s="347"/>
      <c r="IL49" s="347"/>
      <c r="IM49" s="347"/>
      <c r="IN49" s="347"/>
      <c r="IO49" s="347"/>
      <c r="IP49" s="347"/>
      <c r="IQ49" s="347"/>
      <c r="IR49" s="347"/>
      <c r="IS49" s="347"/>
      <c r="IT49" s="347"/>
      <c r="IU49" s="347"/>
      <c r="IV49" s="350"/>
      <c r="IW49" s="351"/>
      <c r="IX49" s="354"/>
      <c r="IY49" s="355"/>
      <c r="IZ49" s="374"/>
      <c r="JA49" s="377"/>
      <c r="JB49" s="378"/>
      <c r="JC49" s="380"/>
      <c r="LP49" s="358"/>
      <c r="LQ49" s="346"/>
      <c r="LR49" s="347"/>
      <c r="LS49" s="347"/>
      <c r="LT49" s="347"/>
      <c r="LU49" s="347"/>
      <c r="LV49" s="347"/>
      <c r="LW49" s="347"/>
      <c r="LX49" s="347"/>
      <c r="LY49" s="347"/>
      <c r="LZ49" s="347"/>
      <c r="MA49" s="347"/>
      <c r="MB49" s="347"/>
      <c r="MC49" s="347"/>
      <c r="MD49" s="350"/>
      <c r="ME49" s="351"/>
      <c r="MF49" s="347"/>
      <c r="MG49" s="372"/>
      <c r="MH49" s="387"/>
      <c r="MI49" s="377"/>
      <c r="MJ49" s="378"/>
      <c r="MK49" s="380"/>
      <c r="OZ49" s="358"/>
      <c r="PA49" s="385"/>
      <c r="PB49" s="385"/>
      <c r="PC49" s="385"/>
      <c r="PD49" s="385"/>
      <c r="PE49" s="385"/>
      <c r="PF49" s="385"/>
      <c r="PG49" s="385"/>
      <c r="PH49" s="385"/>
      <c r="PI49" s="385"/>
      <c r="PJ49" s="385"/>
      <c r="PK49" s="385"/>
      <c r="PL49" s="385"/>
      <c r="PM49" s="392"/>
      <c r="PN49" s="350"/>
      <c r="PO49" s="351"/>
      <c r="PP49" s="347"/>
      <c r="PQ49" s="372"/>
      <c r="PR49" s="387"/>
      <c r="PS49" s="377"/>
      <c r="PT49" s="378"/>
      <c r="PU49" s="380"/>
      <c r="VL49" s="358"/>
      <c r="VM49" s="385"/>
      <c r="VN49" s="385"/>
      <c r="VO49" s="385"/>
      <c r="VP49" s="385"/>
      <c r="VQ49" s="385"/>
      <c r="VR49" s="385"/>
      <c r="VS49" s="385"/>
      <c r="VT49" s="385"/>
      <c r="VU49" s="385"/>
      <c r="VV49" s="385"/>
      <c r="VW49" s="385"/>
      <c r="VX49" s="385"/>
      <c r="VY49" s="385"/>
      <c r="VZ49" s="350"/>
      <c r="WA49" s="351"/>
      <c r="WB49" s="346"/>
      <c r="WC49" s="372"/>
      <c r="WD49" s="387"/>
      <c r="WE49" s="377"/>
      <c r="WF49" s="378"/>
      <c r="WG49" s="380"/>
      <c r="ZG49" s="358"/>
      <c r="ZH49" s="385"/>
      <c r="ZI49" s="385"/>
      <c r="ZJ49" s="385"/>
      <c r="ZK49" s="385"/>
      <c r="ZL49" s="385"/>
      <c r="ZM49" s="385"/>
      <c r="ZN49" s="385"/>
      <c r="ZO49" s="385"/>
      <c r="ZP49" s="385"/>
      <c r="ZQ49" s="385"/>
      <c r="ZR49" s="385"/>
      <c r="ZS49" s="385"/>
      <c r="ZT49" s="385"/>
      <c r="ZU49" s="350"/>
      <c r="ZV49" s="351"/>
      <c r="ZW49" s="346"/>
      <c r="ZX49" s="372"/>
      <c r="ZY49" s="387"/>
      <c r="ZZ49" s="377"/>
      <c r="AAA49" s="378"/>
      <c r="AAB49" s="380"/>
    </row>
    <row r="50" spans="1:704" ht="48" customHeight="1" x14ac:dyDescent="0.3">
      <c r="A50" s="291"/>
      <c r="B50" s="291"/>
      <c r="D50" s="1"/>
      <c r="E50" s="1"/>
      <c r="F50" s="1"/>
      <c r="BH50" s="291"/>
      <c r="BI50" s="291"/>
      <c r="BJ50" s="291"/>
      <c r="DD50" s="291"/>
      <c r="DE50" s="291"/>
      <c r="DF50" s="291"/>
      <c r="DG50" s="291"/>
      <c r="DH50" s="291"/>
      <c r="DI50" s="291"/>
      <c r="DJ50" s="291"/>
      <c r="DK50" s="291"/>
      <c r="DL50" s="291"/>
      <c r="DM50" s="291"/>
      <c r="DN50" s="291"/>
      <c r="DO50" s="291"/>
      <c r="EV50" s="12"/>
      <c r="EW50" s="3"/>
      <c r="JZ50" s="8"/>
    </row>
    <row r="51" spans="1:704" ht="48" customHeight="1" thickBot="1" x14ac:dyDescent="0.35">
      <c r="A51" s="291"/>
      <c r="B51" s="291"/>
      <c r="D51" s="1"/>
      <c r="E51" s="1"/>
      <c r="F51" s="1"/>
      <c r="Z51" s="448" t="s">
        <v>958</v>
      </c>
      <c r="AA51" s="449"/>
      <c r="AB51" s="450"/>
      <c r="AC51" s="356"/>
      <c r="AD51" s="572" t="s">
        <v>913</v>
      </c>
      <c r="AE51" s="572"/>
      <c r="AF51" s="268"/>
      <c r="AG51" s="175"/>
      <c r="AH51" s="175"/>
      <c r="AI51" s="175"/>
      <c r="AJ51" s="175"/>
      <c r="AK51" s="295"/>
      <c r="AL51" s="172" t="s">
        <v>908</v>
      </c>
      <c r="AM51" s="268"/>
      <c r="AN51" s="173" t="s">
        <v>629</v>
      </c>
      <c r="AO51" s="570" t="s">
        <v>623</v>
      </c>
      <c r="AP51" s="571"/>
      <c r="AQ51" s="361" t="s">
        <v>189</v>
      </c>
      <c r="AR51" s="362"/>
      <c r="AS51" s="363" t="s">
        <v>910</v>
      </c>
      <c r="AT51" s="364"/>
      <c r="AU51" s="365" t="s">
        <v>638</v>
      </c>
      <c r="AV51" s="366"/>
      <c r="AW51" s="366"/>
      <c r="AX51" s="367"/>
      <c r="BH51" s="291"/>
      <c r="BI51" s="291"/>
      <c r="BJ51" s="291"/>
      <c r="BO51" s="448" t="s">
        <v>957</v>
      </c>
      <c r="BP51" s="449"/>
      <c r="BQ51" s="450"/>
      <c r="BR51" s="356"/>
      <c r="BS51" s="297" t="s">
        <v>604</v>
      </c>
      <c r="BT51" s="298"/>
      <c r="BU51" s="295"/>
      <c r="BV51" s="175"/>
      <c r="BW51" s="175"/>
      <c r="BX51" s="175"/>
      <c r="BY51" s="175"/>
      <c r="BZ51" s="295"/>
      <c r="CA51" s="172" t="s">
        <v>643</v>
      </c>
      <c r="CB51" s="295"/>
      <c r="CC51" s="173" t="s">
        <v>629</v>
      </c>
      <c r="CD51" s="359" t="s">
        <v>623</v>
      </c>
      <c r="CE51" s="381"/>
      <c r="CF51" s="382" t="s">
        <v>189</v>
      </c>
      <c r="CG51" s="383"/>
      <c r="CH51" s="363" t="s">
        <v>910</v>
      </c>
      <c r="CI51" s="364"/>
      <c r="CJ51" s="365" t="s">
        <v>638</v>
      </c>
      <c r="CK51" s="366"/>
      <c r="CL51" s="366"/>
      <c r="CM51" s="367"/>
      <c r="DD51" s="291"/>
      <c r="DE51" s="291"/>
      <c r="DF51" s="291"/>
      <c r="DG51" s="291"/>
      <c r="DH51" s="291"/>
      <c r="DI51" s="291"/>
      <c r="DJ51" s="291"/>
      <c r="DK51" s="291"/>
      <c r="DL51" s="291"/>
      <c r="DM51" s="291"/>
      <c r="DN51" s="291"/>
      <c r="DO51" s="291"/>
      <c r="DQ51" s="173" t="s">
        <v>1050</v>
      </c>
      <c r="DR51" s="297" t="s">
        <v>604</v>
      </c>
      <c r="DS51" s="298"/>
      <c r="DT51" s="315"/>
      <c r="DU51" s="175"/>
      <c r="DV51" s="175"/>
      <c r="DW51" s="175"/>
      <c r="DX51" s="175"/>
      <c r="DY51" s="175"/>
      <c r="DZ51" s="175"/>
      <c r="EA51" s="315"/>
      <c r="EB51" s="173" t="s">
        <v>629</v>
      </c>
      <c r="EC51" s="359" t="s">
        <v>623</v>
      </c>
      <c r="ED51" s="381"/>
      <c r="EE51" s="382" t="s">
        <v>189</v>
      </c>
      <c r="EF51" s="383"/>
      <c r="EG51" s="363" t="s">
        <v>910</v>
      </c>
      <c r="EH51" s="364"/>
      <c r="EI51" s="365" t="s">
        <v>638</v>
      </c>
      <c r="EJ51" s="366"/>
      <c r="EK51" s="366"/>
      <c r="EL51" s="367"/>
      <c r="EV51" s="12"/>
      <c r="EW51" s="3"/>
      <c r="FW51" s="356"/>
      <c r="FX51" s="297" t="s">
        <v>604</v>
      </c>
      <c r="FY51" s="298"/>
      <c r="FZ51" s="315"/>
      <c r="GA51" s="175"/>
      <c r="GB51" s="175"/>
      <c r="GC51" s="175"/>
      <c r="GD51" s="175"/>
      <c r="GE51" s="175"/>
      <c r="GF51" s="175"/>
      <c r="GG51" s="315"/>
      <c r="GH51" s="173" t="s">
        <v>629</v>
      </c>
      <c r="GI51" s="359" t="s">
        <v>623</v>
      </c>
      <c r="GJ51" s="381"/>
      <c r="GK51" s="382" t="s">
        <v>189</v>
      </c>
      <c r="GL51" s="383"/>
      <c r="GM51" s="363" t="s">
        <v>910</v>
      </c>
      <c r="GN51" s="364"/>
      <c r="GO51" s="365" t="s">
        <v>638</v>
      </c>
      <c r="GP51" s="366"/>
      <c r="GQ51" s="366"/>
      <c r="GR51" s="367"/>
      <c r="IH51" s="356"/>
      <c r="II51" s="297" t="s">
        <v>604</v>
      </c>
      <c r="IJ51" s="298"/>
      <c r="IK51" s="315"/>
      <c r="IL51" s="175"/>
      <c r="IM51" s="175"/>
      <c r="IN51" s="175"/>
      <c r="IO51" s="175"/>
      <c r="IP51" s="175"/>
      <c r="IQ51" s="175"/>
      <c r="IR51" s="315"/>
      <c r="IS51" s="173" t="s">
        <v>629</v>
      </c>
      <c r="IT51" s="359" t="s">
        <v>623</v>
      </c>
      <c r="IU51" s="360"/>
      <c r="IV51" s="382" t="s">
        <v>189</v>
      </c>
      <c r="IW51" s="383"/>
      <c r="IX51" s="363" t="s">
        <v>910</v>
      </c>
      <c r="IY51" s="364"/>
      <c r="IZ51" s="365" t="s">
        <v>638</v>
      </c>
      <c r="JA51" s="366"/>
      <c r="JB51" s="366"/>
      <c r="JC51" s="367"/>
      <c r="LP51" s="356"/>
      <c r="LQ51" s="297" t="s">
        <v>604</v>
      </c>
      <c r="LR51" s="298"/>
      <c r="LS51" s="321"/>
      <c r="LT51" s="175"/>
      <c r="LU51" s="175"/>
      <c r="LV51" s="175"/>
      <c r="LW51" s="175"/>
      <c r="LX51" s="175"/>
      <c r="LY51" s="175"/>
      <c r="LZ51" s="321"/>
      <c r="MA51" s="173" t="s">
        <v>629</v>
      </c>
      <c r="MB51" s="359" t="s">
        <v>623</v>
      </c>
      <c r="MC51" s="381"/>
      <c r="MD51" s="382" t="s">
        <v>189</v>
      </c>
      <c r="ME51" s="383"/>
      <c r="MF51" s="363" t="s">
        <v>910</v>
      </c>
      <c r="MG51" s="364"/>
      <c r="MH51" s="365" t="s">
        <v>638</v>
      </c>
      <c r="MI51" s="366"/>
      <c r="MJ51" s="366"/>
      <c r="MK51" s="367"/>
      <c r="OZ51" s="356"/>
      <c r="PA51" s="297" t="s">
        <v>604</v>
      </c>
      <c r="PB51" s="298"/>
      <c r="PC51" s="321"/>
      <c r="PD51" s="175"/>
      <c r="PE51" s="175"/>
      <c r="PF51" s="175"/>
      <c r="PG51" s="175"/>
      <c r="PH51" s="175"/>
      <c r="PI51" s="175"/>
      <c r="PJ51" s="321"/>
      <c r="PK51" s="173" t="s">
        <v>629</v>
      </c>
      <c r="PL51" s="359" t="s">
        <v>623</v>
      </c>
      <c r="PM51" s="381"/>
      <c r="PN51" s="382" t="s">
        <v>189</v>
      </c>
      <c r="PO51" s="383"/>
      <c r="PP51" s="363" t="s">
        <v>910</v>
      </c>
      <c r="PQ51" s="364"/>
      <c r="PR51" s="365" t="s">
        <v>638</v>
      </c>
      <c r="PS51" s="366"/>
      <c r="PT51" s="366"/>
      <c r="PU51" s="367"/>
      <c r="VL51" s="356"/>
      <c r="VM51" s="297" t="s">
        <v>604</v>
      </c>
      <c r="VN51" s="298"/>
      <c r="VO51" s="321"/>
      <c r="VP51" s="175"/>
      <c r="VQ51" s="175"/>
      <c r="VR51" s="175"/>
      <c r="VS51" s="175"/>
      <c r="VT51" s="175"/>
      <c r="VU51" s="175"/>
      <c r="VV51" s="321"/>
      <c r="VW51" s="173" t="s">
        <v>629</v>
      </c>
      <c r="VX51" s="359" t="s">
        <v>623</v>
      </c>
      <c r="VY51" s="381"/>
      <c r="VZ51" s="382" t="s">
        <v>189</v>
      </c>
      <c r="WA51" s="383"/>
      <c r="WB51" s="363" t="s">
        <v>910</v>
      </c>
      <c r="WC51" s="364"/>
      <c r="WD51" s="365" t="s">
        <v>638</v>
      </c>
      <c r="WE51" s="366"/>
      <c r="WF51" s="366"/>
      <c r="WG51" s="367"/>
      <c r="ZG51" s="356"/>
      <c r="ZH51" s="297" t="s">
        <v>604</v>
      </c>
      <c r="ZI51" s="298"/>
      <c r="ZJ51" s="321"/>
      <c r="ZK51" s="175"/>
      <c r="ZL51" s="175"/>
      <c r="ZM51" s="175"/>
      <c r="ZN51" s="175"/>
      <c r="ZO51" s="175"/>
      <c r="ZP51" s="175"/>
      <c r="ZQ51" s="321"/>
      <c r="ZR51" s="173" t="s">
        <v>629</v>
      </c>
      <c r="ZS51" s="359" t="s">
        <v>623</v>
      </c>
      <c r="ZT51" s="381"/>
      <c r="ZU51" s="382" t="s">
        <v>189</v>
      </c>
      <c r="ZV51" s="383"/>
      <c r="ZW51" s="363" t="s">
        <v>910</v>
      </c>
      <c r="ZX51" s="364"/>
      <c r="ZY51" s="365" t="s">
        <v>638</v>
      </c>
      <c r="ZZ51" s="366"/>
      <c r="AAA51" s="366"/>
      <c r="AAB51" s="367"/>
    </row>
    <row r="52" spans="1:704" ht="48" customHeight="1" x14ac:dyDescent="0.3">
      <c r="A52" s="291"/>
      <c r="B52" s="291"/>
      <c r="D52" s="1"/>
      <c r="E52" s="1"/>
      <c r="F52" s="1"/>
      <c r="Z52" s="451"/>
      <c r="AA52" s="452"/>
      <c r="AB52" s="453"/>
      <c r="AC52" s="357"/>
      <c r="AD52" s="523" t="s">
        <v>993</v>
      </c>
      <c r="AE52" s="573"/>
      <c r="AF52" s="573"/>
      <c r="AG52" s="573"/>
      <c r="AH52" s="573"/>
      <c r="AI52" s="573"/>
      <c r="AJ52" s="573"/>
      <c r="AK52" s="573"/>
      <c r="AL52" s="573"/>
      <c r="AM52" s="573"/>
      <c r="AN52" s="573"/>
      <c r="AO52" s="573"/>
      <c r="AP52" s="574"/>
      <c r="AQ52" s="534">
        <v>0.98</v>
      </c>
      <c r="AR52" s="577"/>
      <c r="AS52" s="420" t="s">
        <v>915</v>
      </c>
      <c r="AT52" s="421"/>
      <c r="AU52" s="379"/>
      <c r="AV52" s="416" t="s">
        <v>907</v>
      </c>
      <c r="AW52" s="417"/>
      <c r="AX52" s="379"/>
      <c r="BH52" s="291"/>
      <c r="BI52" s="291"/>
      <c r="BJ52" s="291"/>
      <c r="BO52" s="451"/>
      <c r="BP52" s="452"/>
      <c r="BQ52" s="453"/>
      <c r="BR52" s="357"/>
      <c r="BS52" s="560" t="s">
        <v>35</v>
      </c>
      <c r="BT52" s="561"/>
      <c r="BU52" s="561"/>
      <c r="BV52" s="561"/>
      <c r="BW52" s="561"/>
      <c r="BX52" s="561"/>
      <c r="BY52" s="561"/>
      <c r="BZ52" s="561"/>
      <c r="CA52" s="561"/>
      <c r="CB52" s="561"/>
      <c r="CC52" s="561"/>
      <c r="CD52" s="561"/>
      <c r="CE52" s="562"/>
      <c r="CF52" s="424">
        <v>1</v>
      </c>
      <c r="CG52" s="425"/>
      <c r="CH52" s="536" t="s">
        <v>940</v>
      </c>
      <c r="CI52" s="537"/>
      <c r="CJ52" s="386"/>
      <c r="CK52" s="416" t="s">
        <v>956</v>
      </c>
      <c r="CL52" s="417"/>
      <c r="CM52" s="379"/>
      <c r="DD52" s="291"/>
      <c r="DE52" s="291"/>
      <c r="DF52" s="291"/>
      <c r="DG52" s="291"/>
      <c r="DH52" s="291"/>
      <c r="DI52" s="291"/>
      <c r="DJ52" s="291"/>
      <c r="DK52" s="291"/>
      <c r="DL52" s="291"/>
      <c r="DM52" s="291"/>
      <c r="DN52" s="291"/>
      <c r="DO52" s="291"/>
      <c r="DQ52" s="356"/>
      <c r="DR52" s="384" t="s">
        <v>1025</v>
      </c>
      <c r="DS52" s="384"/>
      <c r="DT52" s="384"/>
      <c r="DU52" s="384"/>
      <c r="DV52" s="384"/>
      <c r="DW52" s="384"/>
      <c r="DX52" s="384"/>
      <c r="DY52" s="384"/>
      <c r="DZ52" s="384"/>
      <c r="EA52" s="384"/>
      <c r="EB52" s="384"/>
      <c r="EC52" s="384"/>
      <c r="ED52" s="447"/>
      <c r="EE52" s="478">
        <f>(((AN20-AN32)/2))*(10^3)-EE32</f>
        <v>22.296063173688587</v>
      </c>
      <c r="EF52" s="479"/>
      <c r="EG52" s="420" t="s">
        <v>53</v>
      </c>
      <c r="EH52" s="421"/>
      <c r="EI52" s="386"/>
      <c r="EJ52" s="375" t="s">
        <v>604</v>
      </c>
      <c r="EK52" s="376"/>
      <c r="EL52" s="379"/>
      <c r="EV52" s="12"/>
      <c r="EW52" s="3"/>
      <c r="EX52" s="3"/>
      <c r="FW52" s="357"/>
      <c r="FX52" s="344" t="s">
        <v>577</v>
      </c>
      <c r="FY52" s="345"/>
      <c r="FZ52" s="345"/>
      <c r="GA52" s="345"/>
      <c r="GB52" s="345"/>
      <c r="GC52" s="345"/>
      <c r="GD52" s="345"/>
      <c r="GE52" s="345"/>
      <c r="GF52" s="345"/>
      <c r="GG52" s="345"/>
      <c r="GH52" s="345"/>
      <c r="GI52" s="345"/>
      <c r="GJ52" s="345"/>
      <c r="GK52" s="388">
        <v>0.9</v>
      </c>
      <c r="GL52" s="371"/>
      <c r="GM52" s="406"/>
      <c r="GN52" s="408"/>
      <c r="GO52" s="386"/>
      <c r="GP52" s="375" t="s">
        <v>604</v>
      </c>
      <c r="GQ52" s="376"/>
      <c r="GR52" s="379"/>
      <c r="IH52" s="357"/>
      <c r="II52" s="344" t="s">
        <v>129</v>
      </c>
      <c r="IJ52" s="345"/>
      <c r="IK52" s="345"/>
      <c r="IL52" s="345"/>
      <c r="IM52" s="345"/>
      <c r="IN52" s="345"/>
      <c r="IO52" s="345"/>
      <c r="IP52" s="345"/>
      <c r="IQ52" s="345"/>
      <c r="IR52" s="345"/>
      <c r="IS52" s="345"/>
      <c r="IT52" s="345"/>
      <c r="IU52" s="345"/>
      <c r="IV52" s="348">
        <v>3020</v>
      </c>
      <c r="IW52" s="349"/>
      <c r="IX52" s="352"/>
      <c r="IY52" s="353"/>
      <c r="IZ52" s="373"/>
      <c r="JA52" s="375" t="s">
        <v>604</v>
      </c>
      <c r="JB52" s="376"/>
      <c r="JC52" s="379"/>
      <c r="JZ52" s="8"/>
      <c r="LP52" s="357"/>
      <c r="LQ52" s="344" t="s">
        <v>141</v>
      </c>
      <c r="LR52" s="345"/>
      <c r="LS52" s="345"/>
      <c r="LT52" s="345"/>
      <c r="LU52" s="345"/>
      <c r="LV52" s="345"/>
      <c r="LW52" s="345"/>
      <c r="LX52" s="345"/>
      <c r="LY52" s="345"/>
      <c r="LZ52" s="345"/>
      <c r="MA52" s="345"/>
      <c r="MB52" s="345"/>
      <c r="MC52" s="345"/>
      <c r="MD52" s="348">
        <f>GK28*1000-GK124</f>
        <v>142.1819467927713</v>
      </c>
      <c r="ME52" s="349"/>
      <c r="MF52" s="390"/>
      <c r="MG52" s="371"/>
      <c r="MH52" s="386"/>
      <c r="MI52" s="375" t="s">
        <v>604</v>
      </c>
      <c r="MJ52" s="376"/>
      <c r="MK52" s="379"/>
      <c r="OZ52" s="357"/>
      <c r="PA52" s="384"/>
      <c r="PB52" s="384"/>
      <c r="PC52" s="384"/>
      <c r="PD52" s="384"/>
      <c r="PE52" s="384"/>
      <c r="PF52" s="384"/>
      <c r="PG52" s="384"/>
      <c r="PH52" s="384"/>
      <c r="PI52" s="384"/>
      <c r="PJ52" s="384"/>
      <c r="PK52" s="384"/>
      <c r="PL52" s="384"/>
      <c r="PM52" s="391"/>
      <c r="PN52" s="348"/>
      <c r="PO52" s="349"/>
      <c r="PP52" s="390"/>
      <c r="PQ52" s="371"/>
      <c r="PR52" s="386"/>
      <c r="PS52" s="375" t="s">
        <v>604</v>
      </c>
      <c r="PT52" s="376"/>
      <c r="PU52" s="379"/>
      <c r="VL52" s="357"/>
      <c r="VM52" s="384"/>
      <c r="VN52" s="384"/>
      <c r="VO52" s="384"/>
      <c r="VP52" s="384"/>
      <c r="VQ52" s="384"/>
      <c r="VR52" s="384"/>
      <c r="VS52" s="384"/>
      <c r="VT52" s="384"/>
      <c r="VU52" s="384"/>
      <c r="VV52" s="384"/>
      <c r="VW52" s="384"/>
      <c r="VX52" s="384"/>
      <c r="VY52" s="384"/>
      <c r="VZ52" s="348"/>
      <c r="WA52" s="349"/>
      <c r="WB52" s="370"/>
      <c r="WC52" s="371"/>
      <c r="WD52" s="386"/>
      <c r="WE52" s="375" t="s">
        <v>604</v>
      </c>
      <c r="WF52" s="376"/>
      <c r="WG52" s="379"/>
      <c r="ZG52" s="357"/>
      <c r="ZH52" s="384"/>
      <c r="ZI52" s="384"/>
      <c r="ZJ52" s="384"/>
      <c r="ZK52" s="384"/>
      <c r="ZL52" s="384"/>
      <c r="ZM52" s="384"/>
      <c r="ZN52" s="384"/>
      <c r="ZO52" s="384"/>
      <c r="ZP52" s="384"/>
      <c r="ZQ52" s="384"/>
      <c r="ZR52" s="384"/>
      <c r="ZS52" s="384"/>
      <c r="ZT52" s="384"/>
      <c r="ZU52" s="348"/>
      <c r="ZV52" s="349"/>
      <c r="ZW52" s="370"/>
      <c r="ZX52" s="371"/>
      <c r="ZY52" s="386"/>
      <c r="ZZ52" s="375" t="s">
        <v>604</v>
      </c>
      <c r="AAA52" s="376"/>
      <c r="AAB52" s="379"/>
    </row>
    <row r="53" spans="1:704" ht="48" customHeight="1" thickBot="1" x14ac:dyDescent="0.35">
      <c r="A53" s="291"/>
      <c r="B53" s="291"/>
      <c r="D53" s="1"/>
      <c r="E53" s="1"/>
      <c r="F53" s="1"/>
      <c r="Z53" s="454"/>
      <c r="AA53" s="455"/>
      <c r="AB53" s="456"/>
      <c r="AC53" s="358"/>
      <c r="AD53" s="575"/>
      <c r="AE53" s="544"/>
      <c r="AF53" s="544"/>
      <c r="AG53" s="544"/>
      <c r="AH53" s="544"/>
      <c r="AI53" s="544"/>
      <c r="AJ53" s="544"/>
      <c r="AK53" s="544"/>
      <c r="AL53" s="544"/>
      <c r="AM53" s="544"/>
      <c r="AN53" s="544"/>
      <c r="AO53" s="544"/>
      <c r="AP53" s="576"/>
      <c r="AQ53" s="426"/>
      <c r="AR53" s="578"/>
      <c r="AS53" s="422"/>
      <c r="AT53" s="423"/>
      <c r="AU53" s="380"/>
      <c r="AV53" s="418"/>
      <c r="AW53" s="419"/>
      <c r="AX53" s="380"/>
      <c r="BH53" s="291"/>
      <c r="BI53" s="291"/>
      <c r="BJ53" s="291"/>
      <c r="BO53" s="454"/>
      <c r="BP53" s="455"/>
      <c r="BQ53" s="456"/>
      <c r="BR53" s="358"/>
      <c r="BS53" s="563"/>
      <c r="BT53" s="564"/>
      <c r="BU53" s="564"/>
      <c r="BV53" s="564"/>
      <c r="BW53" s="564"/>
      <c r="BX53" s="564"/>
      <c r="BY53" s="564"/>
      <c r="BZ53" s="564"/>
      <c r="CA53" s="564"/>
      <c r="CB53" s="564"/>
      <c r="CC53" s="564"/>
      <c r="CD53" s="564"/>
      <c r="CE53" s="565"/>
      <c r="CF53" s="426"/>
      <c r="CG53" s="427"/>
      <c r="CH53" s="538"/>
      <c r="CI53" s="539"/>
      <c r="CJ53" s="387"/>
      <c r="CK53" s="418"/>
      <c r="CL53" s="419"/>
      <c r="CM53" s="380"/>
      <c r="DA53" s="291"/>
      <c r="DB53" s="291"/>
      <c r="DC53" s="291"/>
      <c r="DD53" s="291"/>
      <c r="DE53" s="291"/>
      <c r="DF53" s="291"/>
      <c r="DG53" s="291"/>
      <c r="DH53" s="291"/>
      <c r="DI53" s="291"/>
      <c r="DJ53" s="291"/>
      <c r="DK53" s="291"/>
      <c r="DL53" s="291"/>
      <c r="DM53" s="291"/>
      <c r="DN53" s="291"/>
      <c r="DO53" s="291"/>
      <c r="DQ53" s="358"/>
      <c r="DR53" s="385"/>
      <c r="DS53" s="385"/>
      <c r="DT53" s="385"/>
      <c r="DU53" s="385"/>
      <c r="DV53" s="385"/>
      <c r="DW53" s="385"/>
      <c r="DX53" s="385"/>
      <c r="DY53" s="385"/>
      <c r="DZ53" s="385"/>
      <c r="EA53" s="385"/>
      <c r="EB53" s="385"/>
      <c r="EC53" s="385"/>
      <c r="ED53" s="351"/>
      <c r="EE53" s="480"/>
      <c r="EF53" s="481"/>
      <c r="EG53" s="422"/>
      <c r="EH53" s="423"/>
      <c r="EI53" s="387"/>
      <c r="EJ53" s="377"/>
      <c r="EK53" s="378"/>
      <c r="EL53" s="380"/>
      <c r="EV53" s="12"/>
      <c r="EW53" s="3"/>
      <c r="EX53" s="3"/>
      <c r="FW53" s="358"/>
      <c r="FX53" s="346"/>
      <c r="FY53" s="347"/>
      <c r="FZ53" s="347"/>
      <c r="GA53" s="347"/>
      <c r="GB53" s="347"/>
      <c r="GC53" s="347"/>
      <c r="GD53" s="347"/>
      <c r="GE53" s="347"/>
      <c r="GF53" s="347"/>
      <c r="GG53" s="347"/>
      <c r="GH53" s="347"/>
      <c r="GI53" s="347"/>
      <c r="GJ53" s="347"/>
      <c r="GK53" s="389"/>
      <c r="GL53" s="372"/>
      <c r="GM53" s="409"/>
      <c r="GN53" s="411"/>
      <c r="GO53" s="387"/>
      <c r="GP53" s="377"/>
      <c r="GQ53" s="378"/>
      <c r="GR53" s="380"/>
      <c r="IH53" s="358"/>
      <c r="II53" s="346"/>
      <c r="IJ53" s="347"/>
      <c r="IK53" s="347"/>
      <c r="IL53" s="347"/>
      <c r="IM53" s="347"/>
      <c r="IN53" s="347"/>
      <c r="IO53" s="347"/>
      <c r="IP53" s="347"/>
      <c r="IQ53" s="347"/>
      <c r="IR53" s="347"/>
      <c r="IS53" s="347"/>
      <c r="IT53" s="347"/>
      <c r="IU53" s="347"/>
      <c r="IV53" s="350"/>
      <c r="IW53" s="351"/>
      <c r="IX53" s="354"/>
      <c r="IY53" s="355"/>
      <c r="IZ53" s="374"/>
      <c r="JA53" s="377"/>
      <c r="JB53" s="378"/>
      <c r="JC53" s="380"/>
      <c r="LP53" s="358"/>
      <c r="LQ53" s="346"/>
      <c r="LR53" s="347"/>
      <c r="LS53" s="347"/>
      <c r="LT53" s="347"/>
      <c r="LU53" s="347"/>
      <c r="LV53" s="347"/>
      <c r="LW53" s="347"/>
      <c r="LX53" s="347"/>
      <c r="LY53" s="347"/>
      <c r="LZ53" s="347"/>
      <c r="MA53" s="347"/>
      <c r="MB53" s="347"/>
      <c r="MC53" s="347"/>
      <c r="MD53" s="350"/>
      <c r="ME53" s="351"/>
      <c r="MF53" s="347"/>
      <c r="MG53" s="372"/>
      <c r="MH53" s="387"/>
      <c r="MI53" s="377"/>
      <c r="MJ53" s="378"/>
      <c r="MK53" s="380"/>
      <c r="OZ53" s="358"/>
      <c r="PA53" s="385"/>
      <c r="PB53" s="385"/>
      <c r="PC53" s="385"/>
      <c r="PD53" s="385"/>
      <c r="PE53" s="385"/>
      <c r="PF53" s="385"/>
      <c r="PG53" s="385"/>
      <c r="PH53" s="385"/>
      <c r="PI53" s="385"/>
      <c r="PJ53" s="385"/>
      <c r="PK53" s="385"/>
      <c r="PL53" s="385"/>
      <c r="PM53" s="392"/>
      <c r="PN53" s="350"/>
      <c r="PO53" s="351"/>
      <c r="PP53" s="347"/>
      <c r="PQ53" s="372"/>
      <c r="PR53" s="387"/>
      <c r="PS53" s="377"/>
      <c r="PT53" s="378"/>
      <c r="PU53" s="380"/>
      <c r="VL53" s="358"/>
      <c r="VM53" s="385"/>
      <c r="VN53" s="385"/>
      <c r="VO53" s="385"/>
      <c r="VP53" s="385"/>
      <c r="VQ53" s="385"/>
      <c r="VR53" s="385"/>
      <c r="VS53" s="385"/>
      <c r="VT53" s="385"/>
      <c r="VU53" s="385"/>
      <c r="VV53" s="385"/>
      <c r="VW53" s="385"/>
      <c r="VX53" s="385"/>
      <c r="VY53" s="385"/>
      <c r="VZ53" s="350"/>
      <c r="WA53" s="351"/>
      <c r="WB53" s="346"/>
      <c r="WC53" s="372"/>
      <c r="WD53" s="387"/>
      <c r="WE53" s="377"/>
      <c r="WF53" s="378"/>
      <c r="WG53" s="380"/>
      <c r="ZG53" s="358"/>
      <c r="ZH53" s="385"/>
      <c r="ZI53" s="385"/>
      <c r="ZJ53" s="385"/>
      <c r="ZK53" s="385"/>
      <c r="ZL53" s="385"/>
      <c r="ZM53" s="385"/>
      <c r="ZN53" s="385"/>
      <c r="ZO53" s="385"/>
      <c r="ZP53" s="385"/>
      <c r="ZQ53" s="385"/>
      <c r="ZR53" s="385"/>
      <c r="ZS53" s="385"/>
      <c r="ZT53" s="385"/>
      <c r="ZU53" s="350"/>
      <c r="ZV53" s="351"/>
      <c r="ZW53" s="346"/>
      <c r="ZX53" s="372"/>
      <c r="ZY53" s="387"/>
      <c r="ZZ53" s="377"/>
      <c r="AAA53" s="378"/>
      <c r="AAB53" s="380"/>
    </row>
    <row r="54" spans="1:704" ht="48" customHeight="1" x14ac:dyDescent="0.3">
      <c r="BH54" s="291"/>
      <c r="BI54" s="291"/>
      <c r="BJ54" s="291"/>
      <c r="DA54" s="291"/>
      <c r="DB54" s="291"/>
      <c r="DC54" s="291"/>
      <c r="DD54" s="291"/>
      <c r="DE54" s="291"/>
      <c r="DF54" s="291"/>
      <c r="DG54" s="291"/>
      <c r="DH54" s="291"/>
      <c r="DI54" s="291"/>
      <c r="DJ54" s="291"/>
      <c r="DK54" s="291"/>
      <c r="DL54" s="291"/>
      <c r="DM54" s="291"/>
      <c r="DN54" s="291"/>
      <c r="DO54" s="291"/>
      <c r="ES54" s="291"/>
      <c r="ET54" s="291"/>
      <c r="EU54" s="291"/>
      <c r="EV54" s="291"/>
      <c r="EW54" s="291"/>
      <c r="EX54" s="291"/>
      <c r="EY54" s="291"/>
      <c r="EZ54" s="291"/>
      <c r="FA54" s="291"/>
      <c r="JZ54" s="8"/>
    </row>
    <row r="55" spans="1:704" ht="48" customHeight="1" thickBot="1" x14ac:dyDescent="0.35">
      <c r="Z55" s="448" t="s">
        <v>958</v>
      </c>
      <c r="AA55" s="449"/>
      <c r="AB55" s="450"/>
      <c r="AC55" s="356"/>
      <c r="AD55" s="572" t="s">
        <v>935</v>
      </c>
      <c r="AE55" s="572"/>
      <c r="AF55" s="268"/>
      <c r="AG55" s="175"/>
      <c r="AH55" s="175"/>
      <c r="AI55" s="175"/>
      <c r="AJ55" s="175"/>
      <c r="AK55" s="295"/>
      <c r="AL55" s="172" t="s">
        <v>908</v>
      </c>
      <c r="AM55" s="268"/>
      <c r="AN55" s="173" t="s">
        <v>629</v>
      </c>
      <c r="AO55" s="359" t="s">
        <v>623</v>
      </c>
      <c r="AP55" s="381"/>
      <c r="AQ55" s="382" t="s">
        <v>189</v>
      </c>
      <c r="AR55" s="383"/>
      <c r="AS55" s="363" t="s">
        <v>910</v>
      </c>
      <c r="AT55" s="364"/>
      <c r="AU55" s="365" t="s">
        <v>638</v>
      </c>
      <c r="AV55" s="366"/>
      <c r="AW55" s="366"/>
      <c r="AX55" s="367"/>
      <c r="BH55" s="291"/>
      <c r="BI55" s="291"/>
      <c r="BJ55" s="291"/>
      <c r="BO55" s="356"/>
      <c r="BP55" s="297" t="s">
        <v>604</v>
      </c>
      <c r="BQ55" s="298"/>
      <c r="BR55" s="295"/>
      <c r="BS55" s="175"/>
      <c r="BT55" s="175"/>
      <c r="BU55" s="175"/>
      <c r="BV55" s="175"/>
      <c r="BW55" s="175"/>
      <c r="BX55" s="175"/>
      <c r="BY55" s="295"/>
      <c r="BZ55" s="173" t="s">
        <v>629</v>
      </c>
      <c r="CA55" s="359" t="s">
        <v>623</v>
      </c>
      <c r="CB55" s="381"/>
      <c r="CC55" s="508" t="s">
        <v>189</v>
      </c>
      <c r="CD55" s="510"/>
      <c r="CE55" s="363" t="s">
        <v>910</v>
      </c>
      <c r="CF55" s="364"/>
      <c r="CG55" s="365" t="s">
        <v>638</v>
      </c>
      <c r="CH55" s="366"/>
      <c r="CI55" s="366"/>
      <c r="CJ55" s="367"/>
      <c r="CK55" s="337" t="s">
        <v>624</v>
      </c>
      <c r="CL55" s="337"/>
      <c r="CM55" s="337"/>
      <c r="CN55" s="337"/>
      <c r="DA55" s="291"/>
      <c r="DB55" s="291"/>
      <c r="DC55" s="291"/>
      <c r="DD55" s="291"/>
      <c r="DE55" s="291"/>
      <c r="DF55" s="291"/>
      <c r="DG55" s="291"/>
      <c r="DH55" s="291"/>
      <c r="DI55" s="291"/>
      <c r="DJ55" s="291"/>
      <c r="DK55" s="291"/>
      <c r="DL55" s="291"/>
      <c r="DM55" s="291"/>
      <c r="DN55" s="291"/>
      <c r="DO55" s="291"/>
      <c r="DQ55" s="173" t="s">
        <v>1050</v>
      </c>
      <c r="DR55" s="297" t="s">
        <v>604</v>
      </c>
      <c r="DS55" s="298"/>
      <c r="DT55" s="315"/>
      <c r="DU55" s="175"/>
      <c r="DV55" s="175"/>
      <c r="DW55" s="175"/>
      <c r="DX55" s="175"/>
      <c r="DY55" s="175"/>
      <c r="DZ55" s="175"/>
      <c r="EA55" s="315"/>
      <c r="EB55" s="173" t="s">
        <v>629</v>
      </c>
      <c r="EC55" s="359" t="s">
        <v>623</v>
      </c>
      <c r="ED55" s="381"/>
      <c r="EE55" s="382" t="s">
        <v>189</v>
      </c>
      <c r="EF55" s="383"/>
      <c r="EG55" s="363" t="s">
        <v>910</v>
      </c>
      <c r="EH55" s="364"/>
      <c r="EI55" s="365" t="s">
        <v>638</v>
      </c>
      <c r="EJ55" s="366"/>
      <c r="EK55" s="366"/>
      <c r="EL55" s="367"/>
      <c r="ES55" s="291"/>
      <c r="ET55" s="291"/>
      <c r="EU55" s="291"/>
      <c r="EV55" s="291"/>
      <c r="EW55" s="291"/>
      <c r="EX55" s="291"/>
      <c r="EY55" s="291"/>
      <c r="EZ55" s="291"/>
      <c r="FA55" s="291"/>
      <c r="FW55" s="356"/>
      <c r="FX55" s="297" t="s">
        <v>604</v>
      </c>
      <c r="FY55" s="298"/>
      <c r="FZ55" s="315"/>
      <c r="GA55" s="175"/>
      <c r="GB55" s="175"/>
      <c r="GC55" s="175"/>
      <c r="GD55" s="175"/>
      <c r="GE55" s="175"/>
      <c r="GF55" s="175"/>
      <c r="GG55" s="315"/>
      <c r="GH55" s="173" t="s">
        <v>629</v>
      </c>
      <c r="GI55" s="359" t="s">
        <v>623</v>
      </c>
      <c r="GJ55" s="360"/>
      <c r="GK55" s="361" t="s">
        <v>189</v>
      </c>
      <c r="GL55" s="362"/>
      <c r="GM55" s="363" t="s">
        <v>910</v>
      </c>
      <c r="GN55" s="364"/>
      <c r="GO55" s="365" t="s">
        <v>638</v>
      </c>
      <c r="GP55" s="366"/>
      <c r="GQ55" s="366"/>
      <c r="GR55" s="367"/>
      <c r="GS55" s="365" t="s">
        <v>624</v>
      </c>
      <c r="GT55" s="366"/>
      <c r="GU55" s="367"/>
      <c r="IH55" s="356"/>
      <c r="II55" s="297" t="s">
        <v>604</v>
      </c>
      <c r="IJ55" s="298"/>
      <c r="IK55" s="321"/>
      <c r="IL55" s="175"/>
      <c r="IM55" s="175"/>
      <c r="IN55" s="175"/>
      <c r="IO55" s="175"/>
      <c r="IP55" s="175"/>
      <c r="IQ55" s="175"/>
      <c r="IR55" s="321"/>
      <c r="IS55" s="173" t="s">
        <v>629</v>
      </c>
      <c r="IT55" s="393" t="s">
        <v>623</v>
      </c>
      <c r="IU55" s="394"/>
      <c r="IV55" s="382" t="s">
        <v>189</v>
      </c>
      <c r="IW55" s="383"/>
      <c r="IX55" s="363" t="s">
        <v>910</v>
      </c>
      <c r="IY55" s="364"/>
      <c r="IZ55" s="365" t="s">
        <v>638</v>
      </c>
      <c r="JA55" s="366"/>
      <c r="JB55" s="366"/>
      <c r="JC55" s="367"/>
      <c r="KW55" s="12"/>
      <c r="KX55" s="3"/>
      <c r="KY55" s="3"/>
      <c r="LP55" s="356"/>
      <c r="LQ55" s="297" t="s">
        <v>604</v>
      </c>
      <c r="LR55" s="298"/>
      <c r="LS55" s="321"/>
      <c r="LT55" s="175"/>
      <c r="LU55" s="175"/>
      <c r="LV55" s="175"/>
      <c r="LW55" s="175"/>
      <c r="LX55" s="175"/>
      <c r="LY55" s="175"/>
      <c r="LZ55" s="321"/>
      <c r="MA55" s="173" t="s">
        <v>629</v>
      </c>
      <c r="MB55" s="359" t="s">
        <v>623</v>
      </c>
      <c r="MC55" s="360"/>
      <c r="MD55" s="382" t="s">
        <v>189</v>
      </c>
      <c r="ME55" s="383"/>
      <c r="MF55" s="363" t="s">
        <v>910</v>
      </c>
      <c r="MG55" s="364"/>
      <c r="MH55" s="365" t="s">
        <v>638</v>
      </c>
      <c r="MI55" s="366"/>
      <c r="MJ55" s="366"/>
      <c r="MK55" s="367"/>
      <c r="OZ55" s="356"/>
      <c r="PA55" s="297" t="s">
        <v>604</v>
      </c>
      <c r="PB55" s="298"/>
      <c r="PC55" s="321"/>
      <c r="PD55" s="175"/>
      <c r="PE55" s="175"/>
      <c r="PF55" s="175"/>
      <c r="PG55" s="175"/>
      <c r="PH55" s="175"/>
      <c r="PI55" s="175"/>
      <c r="PJ55" s="321"/>
      <c r="PK55" s="173" t="s">
        <v>629</v>
      </c>
      <c r="PL55" s="359" t="s">
        <v>623</v>
      </c>
      <c r="PM55" s="381"/>
      <c r="PN55" s="382" t="s">
        <v>189</v>
      </c>
      <c r="PO55" s="383"/>
      <c r="PP55" s="363" t="s">
        <v>910</v>
      </c>
      <c r="PQ55" s="364"/>
      <c r="PR55" s="365" t="s">
        <v>638</v>
      </c>
      <c r="PS55" s="366"/>
      <c r="PT55" s="366"/>
      <c r="PU55" s="367"/>
      <c r="VL55" s="356"/>
      <c r="VM55" s="297" t="s">
        <v>604</v>
      </c>
      <c r="VN55" s="298"/>
      <c r="VO55" s="321"/>
      <c r="VP55" s="175"/>
      <c r="VQ55" s="175"/>
      <c r="VR55" s="175"/>
      <c r="VS55" s="175"/>
      <c r="VT55" s="175"/>
      <c r="VU55" s="175"/>
      <c r="VV55" s="321"/>
      <c r="VW55" s="173" t="s">
        <v>629</v>
      </c>
      <c r="VX55" s="359" t="s">
        <v>623</v>
      </c>
      <c r="VY55" s="381"/>
      <c r="VZ55" s="382" t="s">
        <v>189</v>
      </c>
      <c r="WA55" s="383"/>
      <c r="WB55" s="363" t="s">
        <v>910</v>
      </c>
      <c r="WC55" s="364"/>
      <c r="WD55" s="365" t="s">
        <v>638</v>
      </c>
      <c r="WE55" s="366"/>
      <c r="WF55" s="366"/>
      <c r="WG55" s="367"/>
      <c r="ZG55" s="356"/>
      <c r="ZH55" s="297" t="s">
        <v>604</v>
      </c>
      <c r="ZI55" s="298"/>
      <c r="ZJ55" s="321"/>
      <c r="ZK55" s="175"/>
      <c r="ZL55" s="175"/>
      <c r="ZM55" s="175"/>
      <c r="ZN55" s="175"/>
      <c r="ZO55" s="175"/>
      <c r="ZP55" s="175"/>
      <c r="ZQ55" s="321"/>
      <c r="ZR55" s="173" t="s">
        <v>629</v>
      </c>
      <c r="ZS55" s="359" t="s">
        <v>623</v>
      </c>
      <c r="ZT55" s="381"/>
      <c r="ZU55" s="382" t="s">
        <v>189</v>
      </c>
      <c r="ZV55" s="383"/>
      <c r="ZW55" s="363" t="s">
        <v>910</v>
      </c>
      <c r="ZX55" s="364"/>
      <c r="ZY55" s="365" t="s">
        <v>638</v>
      </c>
      <c r="ZZ55" s="366"/>
      <c r="AAA55" s="366"/>
      <c r="AAB55" s="367"/>
    </row>
    <row r="56" spans="1:704" ht="48" customHeight="1" x14ac:dyDescent="0.3">
      <c r="Z56" s="451"/>
      <c r="AA56" s="452"/>
      <c r="AB56" s="453"/>
      <c r="AC56" s="357"/>
      <c r="AD56" s="523" t="s">
        <v>994</v>
      </c>
      <c r="AE56" s="573"/>
      <c r="AF56" s="573"/>
      <c r="AG56" s="573"/>
      <c r="AH56" s="573"/>
      <c r="AI56" s="573"/>
      <c r="AJ56" s="573"/>
      <c r="AK56" s="573"/>
      <c r="AL56" s="573"/>
      <c r="AM56" s="573"/>
      <c r="AN56" s="573"/>
      <c r="AO56" s="573"/>
      <c r="AP56" s="574"/>
      <c r="AQ56" s="424">
        <v>0.73</v>
      </c>
      <c r="AR56" s="425"/>
      <c r="AS56" s="420" t="s">
        <v>21</v>
      </c>
      <c r="AT56" s="421"/>
      <c r="AU56" s="386"/>
      <c r="AV56" s="416" t="s">
        <v>970</v>
      </c>
      <c r="AW56" s="417"/>
      <c r="AX56" s="379"/>
      <c r="BH56" s="291"/>
      <c r="BI56" s="291"/>
      <c r="BJ56" s="291"/>
      <c r="BO56" s="357"/>
      <c r="BP56" s="514" t="s">
        <v>575</v>
      </c>
      <c r="BQ56" s="515"/>
      <c r="BR56" s="515"/>
      <c r="BS56" s="515"/>
      <c r="BT56" s="515"/>
      <c r="BU56" s="515"/>
      <c r="BV56" s="515"/>
      <c r="BW56" s="515"/>
      <c r="BX56" s="515"/>
      <c r="BY56" s="515"/>
      <c r="BZ56" s="515"/>
      <c r="CA56" s="515"/>
      <c r="CB56" s="516"/>
      <c r="CC56" s="467">
        <f>CC44*CF52</f>
        <v>14.636416027702857</v>
      </c>
      <c r="CD56" s="468"/>
      <c r="CE56" s="536" t="s">
        <v>944</v>
      </c>
      <c r="CF56" s="537"/>
      <c r="CG56" s="386"/>
      <c r="CH56" s="566" t="s">
        <v>964</v>
      </c>
      <c r="CI56" s="567"/>
      <c r="CJ56" s="379"/>
      <c r="CK56" s="399"/>
      <c r="CL56" s="399"/>
      <c r="CM56" s="399"/>
      <c r="CN56" s="399"/>
      <c r="DA56" s="291"/>
      <c r="DB56" s="291"/>
      <c r="DC56" s="291"/>
      <c r="DD56" s="291"/>
      <c r="DE56" s="291"/>
      <c r="DF56" s="291"/>
      <c r="DG56" s="291"/>
      <c r="DH56" s="291"/>
      <c r="DI56" s="291"/>
      <c r="DJ56" s="291"/>
      <c r="DK56" s="291"/>
      <c r="DL56" s="291"/>
      <c r="DM56" s="291"/>
      <c r="DN56" s="291"/>
      <c r="DO56" s="291"/>
      <c r="DQ56" s="356"/>
      <c r="DR56" s="384" t="s">
        <v>1033</v>
      </c>
      <c r="DS56" s="384"/>
      <c r="DT56" s="384"/>
      <c r="DU56" s="384"/>
      <c r="DV56" s="384"/>
      <c r="DW56" s="384"/>
      <c r="DX56" s="384"/>
      <c r="DY56" s="384"/>
      <c r="DZ56" s="384"/>
      <c r="EA56" s="384"/>
      <c r="EB56" s="384"/>
      <c r="EC56" s="384"/>
      <c r="ED56" s="447"/>
      <c r="EE56" s="424">
        <v>0.2</v>
      </c>
      <c r="EF56" s="425"/>
      <c r="EG56" s="420" t="s">
        <v>53</v>
      </c>
      <c r="EH56" s="421"/>
      <c r="EI56" s="386"/>
      <c r="EJ56" s="375" t="s">
        <v>604</v>
      </c>
      <c r="EK56" s="376"/>
      <c r="EL56" s="379"/>
      <c r="ES56" s="291"/>
      <c r="ET56" s="291"/>
      <c r="EU56" s="291"/>
      <c r="EV56" s="291"/>
      <c r="EW56" s="291"/>
      <c r="EX56" s="291"/>
      <c r="EY56" s="291"/>
      <c r="EZ56" s="291"/>
      <c r="FA56" s="291"/>
      <c r="FB56" s="291"/>
      <c r="FC56" s="291"/>
      <c r="FD56" s="291"/>
      <c r="FE56" s="291"/>
      <c r="FF56" s="291"/>
      <c r="FG56" s="291"/>
      <c r="FH56" s="291"/>
      <c r="FI56" s="291"/>
      <c r="FJ56" s="291"/>
      <c r="FK56" s="291"/>
      <c r="FL56" s="291"/>
      <c r="FM56" s="291"/>
      <c r="FN56" s="291"/>
      <c r="FO56" s="291"/>
      <c r="FP56" s="291"/>
      <c r="FQ56" s="291"/>
      <c r="FR56" s="291"/>
      <c r="FS56" s="291"/>
      <c r="FW56" s="357"/>
      <c r="FX56" s="344" t="s">
        <v>1040</v>
      </c>
      <c r="FY56" s="345"/>
      <c r="FZ56" s="345"/>
      <c r="GA56" s="345"/>
      <c r="GB56" s="345"/>
      <c r="GC56" s="345"/>
      <c r="GD56" s="345"/>
      <c r="GE56" s="345"/>
      <c r="GF56" s="345"/>
      <c r="GG56" s="345"/>
      <c r="GH56" s="345"/>
      <c r="GI56" s="345"/>
      <c r="GJ56" s="345"/>
      <c r="GK56" s="437">
        <f>(GK44/GK60)*10^6</f>
        <v>109.25713553947939</v>
      </c>
      <c r="GL56" s="438"/>
      <c r="GM56" s="412" t="s">
        <v>990</v>
      </c>
      <c r="GN56" s="413"/>
      <c r="GO56" s="373"/>
      <c r="GP56" s="375" t="s">
        <v>604</v>
      </c>
      <c r="GQ56" s="376"/>
      <c r="GR56" s="379"/>
      <c r="GS56" s="396"/>
      <c r="GT56" s="397"/>
      <c r="GU56" s="398"/>
      <c r="IH56" s="357"/>
      <c r="II56" s="344" t="s">
        <v>130</v>
      </c>
      <c r="IJ56" s="345"/>
      <c r="IK56" s="345"/>
      <c r="IL56" s="345"/>
      <c r="IM56" s="345"/>
      <c r="IN56" s="345"/>
      <c r="IO56" s="345"/>
      <c r="IP56" s="345"/>
      <c r="IQ56" s="345"/>
      <c r="IR56" s="345"/>
      <c r="IS56" s="345"/>
      <c r="IT56" s="345"/>
      <c r="IU56" s="345"/>
      <c r="IV56" s="348">
        <v>2700</v>
      </c>
      <c r="IW56" s="349"/>
      <c r="IX56" s="352"/>
      <c r="IY56" s="353"/>
      <c r="IZ56" s="386"/>
      <c r="JA56" s="375" t="s">
        <v>604</v>
      </c>
      <c r="JB56" s="376"/>
      <c r="JC56" s="379"/>
      <c r="JZ56" s="8"/>
      <c r="KW56" s="12"/>
      <c r="KX56" s="3"/>
      <c r="KY56" s="3"/>
      <c r="LP56" s="357"/>
      <c r="LQ56" s="344" t="s">
        <v>126</v>
      </c>
      <c r="LR56" s="345"/>
      <c r="LS56" s="345"/>
      <c r="LT56" s="345"/>
      <c r="LU56" s="345"/>
      <c r="LV56" s="345"/>
      <c r="LW56" s="345"/>
      <c r="LX56" s="345"/>
      <c r="LY56" s="345"/>
      <c r="LZ56" s="345"/>
      <c r="MA56" s="345"/>
      <c r="MB56" s="345"/>
      <c r="MC56" s="345"/>
      <c r="MD56" s="348" t="e">
        <f>(MD40*4*#REF!*(CC64*CC72)^2)/GK24</f>
        <v>#REF!</v>
      </c>
      <c r="ME56" s="349"/>
      <c r="MF56" s="390"/>
      <c r="MG56" s="371"/>
      <c r="MH56" s="373"/>
      <c r="MI56" s="375" t="s">
        <v>604</v>
      </c>
      <c r="MJ56" s="376"/>
      <c r="MK56" s="379"/>
      <c r="OZ56" s="357"/>
      <c r="PA56" s="384"/>
      <c r="PB56" s="384"/>
      <c r="PC56" s="384"/>
      <c r="PD56" s="384"/>
      <c r="PE56" s="384"/>
      <c r="PF56" s="384"/>
      <c r="PG56" s="384"/>
      <c r="PH56" s="384"/>
      <c r="PI56" s="384"/>
      <c r="PJ56" s="384"/>
      <c r="PK56" s="384"/>
      <c r="PL56" s="384"/>
      <c r="PM56" s="391"/>
      <c r="PN56" s="348"/>
      <c r="PO56" s="349"/>
      <c r="PP56" s="390"/>
      <c r="PQ56" s="371"/>
      <c r="PR56" s="386"/>
      <c r="PS56" s="375" t="s">
        <v>604</v>
      </c>
      <c r="PT56" s="376"/>
      <c r="PU56" s="379"/>
      <c r="VL56" s="357"/>
      <c r="VM56" s="384"/>
      <c r="VN56" s="384"/>
      <c r="VO56" s="384"/>
      <c r="VP56" s="384"/>
      <c r="VQ56" s="384"/>
      <c r="VR56" s="384"/>
      <c r="VS56" s="384"/>
      <c r="VT56" s="384"/>
      <c r="VU56" s="384"/>
      <c r="VV56" s="384"/>
      <c r="VW56" s="384"/>
      <c r="VX56" s="384"/>
      <c r="VY56" s="384"/>
      <c r="VZ56" s="348"/>
      <c r="WA56" s="349"/>
      <c r="WB56" s="370"/>
      <c r="WC56" s="371"/>
      <c r="WD56" s="386"/>
      <c r="WE56" s="375" t="s">
        <v>604</v>
      </c>
      <c r="WF56" s="376"/>
      <c r="WG56" s="379"/>
      <c r="ZG56" s="357"/>
      <c r="ZH56" s="384"/>
      <c r="ZI56" s="384"/>
      <c r="ZJ56" s="384"/>
      <c r="ZK56" s="384"/>
      <c r="ZL56" s="384"/>
      <c r="ZM56" s="384"/>
      <c r="ZN56" s="384"/>
      <c r="ZO56" s="384"/>
      <c r="ZP56" s="384"/>
      <c r="ZQ56" s="384"/>
      <c r="ZR56" s="384"/>
      <c r="ZS56" s="384"/>
      <c r="ZT56" s="384"/>
      <c r="ZU56" s="348"/>
      <c r="ZV56" s="349"/>
      <c r="ZW56" s="370"/>
      <c r="ZX56" s="371"/>
      <c r="ZY56" s="386"/>
      <c r="ZZ56" s="375" t="s">
        <v>604</v>
      </c>
      <c r="AAA56" s="376"/>
      <c r="AAB56" s="379"/>
    </row>
    <row r="57" spans="1:704" ht="48" customHeight="1" thickBot="1" x14ac:dyDescent="0.35">
      <c r="Z57" s="454"/>
      <c r="AA57" s="455"/>
      <c r="AB57" s="456"/>
      <c r="AC57" s="358"/>
      <c r="AD57" s="575"/>
      <c r="AE57" s="544"/>
      <c r="AF57" s="544"/>
      <c r="AG57" s="544"/>
      <c r="AH57" s="544"/>
      <c r="AI57" s="544"/>
      <c r="AJ57" s="544"/>
      <c r="AK57" s="544"/>
      <c r="AL57" s="544"/>
      <c r="AM57" s="544"/>
      <c r="AN57" s="544"/>
      <c r="AO57" s="544"/>
      <c r="AP57" s="576"/>
      <c r="AQ57" s="426"/>
      <c r="AR57" s="427"/>
      <c r="AS57" s="422"/>
      <c r="AT57" s="423"/>
      <c r="AU57" s="387"/>
      <c r="AV57" s="418"/>
      <c r="AW57" s="419"/>
      <c r="AX57" s="380"/>
      <c r="BH57" s="291"/>
      <c r="BI57" s="291"/>
      <c r="BJ57" s="291"/>
      <c r="BO57" s="358"/>
      <c r="BP57" s="517"/>
      <c r="BQ57" s="518"/>
      <c r="BR57" s="518"/>
      <c r="BS57" s="518"/>
      <c r="BT57" s="518"/>
      <c r="BU57" s="518"/>
      <c r="BV57" s="518"/>
      <c r="BW57" s="518"/>
      <c r="BX57" s="518"/>
      <c r="BY57" s="518"/>
      <c r="BZ57" s="518"/>
      <c r="CA57" s="518"/>
      <c r="CB57" s="440"/>
      <c r="CC57" s="389"/>
      <c r="CD57" s="372"/>
      <c r="CE57" s="538"/>
      <c r="CF57" s="539"/>
      <c r="CG57" s="387"/>
      <c r="CH57" s="568"/>
      <c r="CI57" s="569"/>
      <c r="CJ57" s="380"/>
      <c r="CK57" s="400"/>
      <c r="CL57" s="400"/>
      <c r="CM57" s="400"/>
      <c r="CN57" s="400"/>
      <c r="DA57" s="291"/>
      <c r="DB57" s="291"/>
      <c r="DC57" s="291"/>
      <c r="DD57" s="291"/>
      <c r="DE57" s="291"/>
      <c r="DF57" s="291"/>
      <c r="DG57" s="291"/>
      <c r="DH57" s="291"/>
      <c r="DI57" s="291"/>
      <c r="DJ57" s="291"/>
      <c r="DK57" s="291"/>
      <c r="DL57" s="291"/>
      <c r="DM57" s="291"/>
      <c r="DN57" s="291"/>
      <c r="DO57" s="291"/>
      <c r="DQ57" s="358"/>
      <c r="DR57" s="385"/>
      <c r="DS57" s="385"/>
      <c r="DT57" s="385"/>
      <c r="DU57" s="385"/>
      <c r="DV57" s="385"/>
      <c r="DW57" s="385"/>
      <c r="DX57" s="385"/>
      <c r="DY57" s="385"/>
      <c r="DZ57" s="385"/>
      <c r="EA57" s="385"/>
      <c r="EB57" s="385"/>
      <c r="EC57" s="385"/>
      <c r="ED57" s="351"/>
      <c r="EE57" s="426"/>
      <c r="EF57" s="427"/>
      <c r="EG57" s="422"/>
      <c r="EH57" s="423"/>
      <c r="EI57" s="387"/>
      <c r="EJ57" s="377"/>
      <c r="EK57" s="378"/>
      <c r="EL57" s="380"/>
      <c r="ES57" s="291"/>
      <c r="ET57" s="291"/>
      <c r="EU57" s="291"/>
      <c r="EV57" s="291"/>
      <c r="EW57" s="291"/>
      <c r="EX57" s="291"/>
      <c r="EY57" s="291"/>
      <c r="EZ57" s="291"/>
      <c r="FA57" s="291"/>
      <c r="FB57" s="291"/>
      <c r="FC57" s="291"/>
      <c r="FD57" s="291"/>
      <c r="FE57" s="291"/>
      <c r="FF57" s="291"/>
      <c r="FG57" s="291"/>
      <c r="FH57" s="291"/>
      <c r="FI57" s="291"/>
      <c r="FJ57" s="291"/>
      <c r="FK57" s="291"/>
      <c r="FL57" s="291"/>
      <c r="FM57" s="291"/>
      <c r="FN57" s="291"/>
      <c r="FO57" s="291"/>
      <c r="FP57" s="291"/>
      <c r="FQ57" s="291"/>
      <c r="FR57" s="291"/>
      <c r="FS57" s="291"/>
      <c r="FW57" s="358"/>
      <c r="FX57" s="346"/>
      <c r="FY57" s="347"/>
      <c r="FZ57" s="347"/>
      <c r="GA57" s="347"/>
      <c r="GB57" s="347"/>
      <c r="GC57" s="347"/>
      <c r="GD57" s="347"/>
      <c r="GE57" s="347"/>
      <c r="GF57" s="347"/>
      <c r="GG57" s="347"/>
      <c r="GH57" s="347"/>
      <c r="GI57" s="347"/>
      <c r="GJ57" s="347"/>
      <c r="GK57" s="439"/>
      <c r="GL57" s="440"/>
      <c r="GM57" s="414"/>
      <c r="GN57" s="415"/>
      <c r="GO57" s="374"/>
      <c r="GP57" s="377"/>
      <c r="GQ57" s="378"/>
      <c r="GR57" s="380"/>
      <c r="GS57" s="341"/>
      <c r="GT57" s="342"/>
      <c r="GU57" s="343"/>
      <c r="IH57" s="358"/>
      <c r="II57" s="346"/>
      <c r="IJ57" s="347"/>
      <c r="IK57" s="347"/>
      <c r="IL57" s="347"/>
      <c r="IM57" s="347"/>
      <c r="IN57" s="347"/>
      <c r="IO57" s="347"/>
      <c r="IP57" s="347"/>
      <c r="IQ57" s="347"/>
      <c r="IR57" s="347"/>
      <c r="IS57" s="347"/>
      <c r="IT57" s="347"/>
      <c r="IU57" s="347"/>
      <c r="IV57" s="350"/>
      <c r="IW57" s="351"/>
      <c r="IX57" s="354"/>
      <c r="IY57" s="355"/>
      <c r="IZ57" s="387"/>
      <c r="JA57" s="377"/>
      <c r="JB57" s="378"/>
      <c r="JC57" s="380"/>
      <c r="KW57" s="11" t="s">
        <v>138</v>
      </c>
      <c r="KX57" s="4">
        <f>(1/47)*10^(-6)</f>
        <v>2.127659574468085E-8</v>
      </c>
      <c r="KY57" s="6"/>
      <c r="LP57" s="358"/>
      <c r="LQ57" s="346"/>
      <c r="LR57" s="347"/>
      <c r="LS57" s="347"/>
      <c r="LT57" s="347"/>
      <c r="LU57" s="347"/>
      <c r="LV57" s="347"/>
      <c r="LW57" s="347"/>
      <c r="LX57" s="347"/>
      <c r="LY57" s="347"/>
      <c r="LZ57" s="347"/>
      <c r="MA57" s="347"/>
      <c r="MB57" s="347"/>
      <c r="MC57" s="347"/>
      <c r="MD57" s="350"/>
      <c r="ME57" s="351"/>
      <c r="MF57" s="347"/>
      <c r="MG57" s="372"/>
      <c r="MH57" s="374"/>
      <c r="MI57" s="377"/>
      <c r="MJ57" s="378"/>
      <c r="MK57" s="380"/>
      <c r="OZ57" s="358"/>
      <c r="PA57" s="385"/>
      <c r="PB57" s="385"/>
      <c r="PC57" s="385"/>
      <c r="PD57" s="385"/>
      <c r="PE57" s="385"/>
      <c r="PF57" s="385"/>
      <c r="PG57" s="385"/>
      <c r="PH57" s="385"/>
      <c r="PI57" s="385"/>
      <c r="PJ57" s="385"/>
      <c r="PK57" s="385"/>
      <c r="PL57" s="385"/>
      <c r="PM57" s="392"/>
      <c r="PN57" s="350"/>
      <c r="PO57" s="351"/>
      <c r="PP57" s="347"/>
      <c r="PQ57" s="372"/>
      <c r="PR57" s="387"/>
      <c r="PS57" s="377"/>
      <c r="PT57" s="378"/>
      <c r="PU57" s="380"/>
      <c r="VL57" s="358"/>
      <c r="VM57" s="385"/>
      <c r="VN57" s="385"/>
      <c r="VO57" s="385"/>
      <c r="VP57" s="385"/>
      <c r="VQ57" s="385"/>
      <c r="VR57" s="385"/>
      <c r="VS57" s="385"/>
      <c r="VT57" s="385"/>
      <c r="VU57" s="385"/>
      <c r="VV57" s="385"/>
      <c r="VW57" s="385"/>
      <c r="VX57" s="385"/>
      <c r="VY57" s="385"/>
      <c r="VZ57" s="350"/>
      <c r="WA57" s="351"/>
      <c r="WB57" s="346"/>
      <c r="WC57" s="372"/>
      <c r="WD57" s="387"/>
      <c r="WE57" s="377"/>
      <c r="WF57" s="378"/>
      <c r="WG57" s="380"/>
      <c r="ZG57" s="358"/>
      <c r="ZH57" s="385"/>
      <c r="ZI57" s="385"/>
      <c r="ZJ57" s="385"/>
      <c r="ZK57" s="385"/>
      <c r="ZL57" s="385"/>
      <c r="ZM57" s="385"/>
      <c r="ZN57" s="385"/>
      <c r="ZO57" s="385"/>
      <c r="ZP57" s="385"/>
      <c r="ZQ57" s="385"/>
      <c r="ZR57" s="385"/>
      <c r="ZS57" s="385"/>
      <c r="ZT57" s="385"/>
      <c r="ZU57" s="350"/>
      <c r="ZV57" s="351"/>
      <c r="ZW57" s="346"/>
      <c r="ZX57" s="372"/>
      <c r="ZY57" s="387"/>
      <c r="ZZ57" s="377"/>
      <c r="AAA57" s="378"/>
      <c r="AAB57" s="380"/>
    </row>
    <row r="58" spans="1:704" ht="48" customHeight="1" x14ac:dyDescent="0.3">
      <c r="CE58" s="291"/>
      <c r="CF58" s="291"/>
      <c r="CG58" s="291"/>
      <c r="CH58" s="291"/>
      <c r="CI58" s="291"/>
      <c r="DA58" s="291"/>
      <c r="DB58" s="291"/>
      <c r="DC58" s="291"/>
      <c r="DD58" s="291"/>
      <c r="DE58" s="291"/>
      <c r="DF58" s="291"/>
      <c r="DG58" s="291"/>
      <c r="DH58" s="291"/>
      <c r="DI58" s="291"/>
      <c r="DJ58" s="291"/>
      <c r="DK58" s="291"/>
      <c r="DL58" s="291"/>
      <c r="DM58" s="291"/>
      <c r="DN58" s="291"/>
      <c r="DO58" s="291"/>
      <c r="ES58" s="291"/>
      <c r="ET58" s="291"/>
      <c r="EU58" s="291"/>
      <c r="EV58" s="291"/>
      <c r="EW58" s="291"/>
      <c r="EX58" s="291"/>
      <c r="EY58" s="291"/>
      <c r="EZ58" s="291"/>
      <c r="FA58" s="291"/>
      <c r="FB58" s="291"/>
      <c r="FC58" s="291"/>
      <c r="FD58" s="291"/>
      <c r="FE58" s="291"/>
      <c r="FF58" s="291"/>
      <c r="FG58" s="291"/>
      <c r="FH58" s="291"/>
      <c r="FI58" s="291"/>
      <c r="FJ58" s="291"/>
      <c r="FK58" s="291"/>
      <c r="FL58" s="291"/>
      <c r="FM58" s="291"/>
      <c r="FN58" s="291"/>
      <c r="FO58" s="291"/>
      <c r="FP58" s="291"/>
      <c r="FQ58" s="291"/>
      <c r="FR58" s="291"/>
      <c r="FS58" s="291"/>
      <c r="JZ58" s="8"/>
      <c r="KW58" s="11" t="s">
        <v>139</v>
      </c>
      <c r="KX58" s="4">
        <f>1/14*10^(-6)</f>
        <v>7.1428571428571423E-8</v>
      </c>
      <c r="KY58" s="6"/>
    </row>
    <row r="59" spans="1:704" ht="48" customHeight="1" thickBot="1" x14ac:dyDescent="0.35">
      <c r="Z59" s="448" t="s">
        <v>958</v>
      </c>
      <c r="AA59" s="449"/>
      <c r="AB59" s="450"/>
      <c r="AC59" s="356"/>
      <c r="AD59" s="572" t="s">
        <v>604</v>
      </c>
      <c r="AE59" s="572"/>
      <c r="AF59" s="268"/>
      <c r="AG59" s="175"/>
      <c r="AH59" s="175"/>
      <c r="AI59" s="175"/>
      <c r="AJ59" s="175"/>
      <c r="AK59" s="295"/>
      <c r="AL59" s="172" t="s">
        <v>908</v>
      </c>
      <c r="AM59" s="268"/>
      <c r="AN59" s="173" t="s">
        <v>629</v>
      </c>
      <c r="AO59" s="359" t="s">
        <v>623</v>
      </c>
      <c r="AP59" s="381"/>
      <c r="AQ59" s="382" t="s">
        <v>189</v>
      </c>
      <c r="AR59" s="383"/>
      <c r="AS59" s="363" t="s">
        <v>910</v>
      </c>
      <c r="AT59" s="364"/>
      <c r="AU59" s="365" t="s">
        <v>638</v>
      </c>
      <c r="AV59" s="366"/>
      <c r="AW59" s="366"/>
      <c r="AX59" s="367"/>
      <c r="BO59" s="356"/>
      <c r="BP59" s="297" t="s">
        <v>604</v>
      </c>
      <c r="BQ59" s="298"/>
      <c r="BR59" s="295"/>
      <c r="BS59" s="175"/>
      <c r="BT59" s="175"/>
      <c r="BU59" s="175"/>
      <c r="BV59" s="175"/>
      <c r="BW59" s="175"/>
      <c r="BX59" s="175"/>
      <c r="BY59" s="295"/>
      <c r="BZ59" s="173" t="s">
        <v>629</v>
      </c>
      <c r="CA59" s="359" t="s">
        <v>623</v>
      </c>
      <c r="CB59" s="381"/>
      <c r="CC59" s="382" t="s">
        <v>189</v>
      </c>
      <c r="CD59" s="383"/>
      <c r="CE59" s="363" t="s">
        <v>910</v>
      </c>
      <c r="CF59" s="364"/>
      <c r="CG59" s="365" t="s">
        <v>638</v>
      </c>
      <c r="CH59" s="366"/>
      <c r="CI59" s="366"/>
      <c r="CJ59" s="367"/>
      <c r="DA59" s="291"/>
      <c r="DB59" s="291"/>
      <c r="DC59" s="291"/>
      <c r="DD59" s="291"/>
      <c r="DE59" s="291"/>
      <c r="DF59" s="291"/>
      <c r="DG59" s="291"/>
      <c r="DH59" s="291"/>
      <c r="DI59" s="291"/>
      <c r="DJ59" s="291"/>
      <c r="DK59" s="291"/>
      <c r="DL59" s="291"/>
      <c r="DM59" s="291"/>
      <c r="DN59" s="291"/>
      <c r="DO59" s="291"/>
      <c r="DQ59" s="173" t="s">
        <v>1050</v>
      </c>
      <c r="DR59" s="297" t="s">
        <v>604</v>
      </c>
      <c r="DS59" s="298"/>
      <c r="DT59" s="315"/>
      <c r="DU59" s="175"/>
      <c r="DV59" s="175"/>
      <c r="DW59" s="175"/>
      <c r="DX59" s="175"/>
      <c r="DY59" s="175"/>
      <c r="DZ59" s="175"/>
      <c r="EA59" s="315"/>
      <c r="EB59" s="173" t="s">
        <v>629</v>
      </c>
      <c r="EC59" s="359" t="s">
        <v>623</v>
      </c>
      <c r="ED59" s="381"/>
      <c r="EE59" s="382" t="s">
        <v>189</v>
      </c>
      <c r="EF59" s="383"/>
      <c r="EG59" s="363" t="s">
        <v>910</v>
      </c>
      <c r="EH59" s="364"/>
      <c r="EI59" s="365" t="s">
        <v>638</v>
      </c>
      <c r="EJ59" s="366"/>
      <c r="EK59" s="366"/>
      <c r="EL59" s="367"/>
      <c r="ES59" s="291"/>
      <c r="ET59" s="291"/>
      <c r="EU59" s="291"/>
      <c r="EV59" s="291"/>
      <c r="EW59" s="291"/>
      <c r="EX59" s="291"/>
      <c r="EY59" s="291"/>
      <c r="EZ59" s="291"/>
      <c r="FA59" s="291"/>
      <c r="FB59" s="291"/>
      <c r="FC59" s="291"/>
      <c r="FD59" s="291"/>
      <c r="FE59" s="291"/>
      <c r="FF59" s="291"/>
      <c r="FG59" s="291"/>
      <c r="FH59" s="291"/>
      <c r="FI59" s="291"/>
      <c r="FJ59" s="291"/>
      <c r="FK59" s="291"/>
      <c r="FL59" s="291"/>
      <c r="FM59" s="291"/>
      <c r="FN59" s="291"/>
      <c r="FO59" s="291"/>
      <c r="FP59" s="291"/>
      <c r="FQ59" s="291"/>
      <c r="FR59" s="291"/>
      <c r="FS59" s="291"/>
      <c r="FW59" s="356"/>
      <c r="FX59" s="297" t="s">
        <v>604</v>
      </c>
      <c r="FY59" s="298"/>
      <c r="FZ59" s="315"/>
      <c r="GA59" s="175"/>
      <c r="GB59" s="175"/>
      <c r="GC59" s="175"/>
      <c r="GD59" s="175"/>
      <c r="GE59" s="175"/>
      <c r="GF59" s="175"/>
      <c r="GG59" s="315"/>
      <c r="GH59" s="173" t="s">
        <v>629</v>
      </c>
      <c r="GI59" s="359" t="s">
        <v>623</v>
      </c>
      <c r="GJ59" s="360"/>
      <c r="GK59" s="361" t="s">
        <v>189</v>
      </c>
      <c r="GL59" s="362"/>
      <c r="GM59" s="363" t="s">
        <v>910</v>
      </c>
      <c r="GN59" s="364"/>
      <c r="GO59" s="365" t="s">
        <v>638</v>
      </c>
      <c r="GP59" s="366"/>
      <c r="GQ59" s="366"/>
      <c r="GR59" s="367"/>
      <c r="IH59" s="356"/>
      <c r="II59" s="297" t="s">
        <v>604</v>
      </c>
      <c r="IJ59" s="298"/>
      <c r="IK59" s="321"/>
      <c r="IL59" s="175"/>
      <c r="IM59" s="175"/>
      <c r="IN59" s="175"/>
      <c r="IO59" s="175"/>
      <c r="IP59" s="175"/>
      <c r="IQ59" s="175"/>
      <c r="IR59" s="321"/>
      <c r="IS59" s="173" t="s">
        <v>629</v>
      </c>
      <c r="IT59" s="393" t="s">
        <v>623</v>
      </c>
      <c r="IU59" s="394"/>
      <c r="IV59" s="382" t="s">
        <v>189</v>
      </c>
      <c r="IW59" s="383"/>
      <c r="IX59" s="363" t="s">
        <v>910</v>
      </c>
      <c r="IY59" s="364"/>
      <c r="IZ59" s="365" t="s">
        <v>638</v>
      </c>
      <c r="JA59" s="366"/>
      <c r="JB59" s="366"/>
      <c r="JC59" s="367"/>
      <c r="KW59" s="11" t="s">
        <v>140</v>
      </c>
      <c r="KX59" s="4">
        <f>1/28*10^(-6)</f>
        <v>3.5714285714285712E-8</v>
      </c>
      <c r="KY59" s="6"/>
      <c r="LP59" s="356"/>
      <c r="LQ59" s="297" t="s">
        <v>604</v>
      </c>
      <c r="LR59" s="298"/>
      <c r="LS59" s="321"/>
      <c r="LT59" s="175"/>
      <c r="LU59" s="175"/>
      <c r="LV59" s="175"/>
      <c r="LW59" s="175"/>
      <c r="LX59" s="175"/>
      <c r="LY59" s="175"/>
      <c r="LZ59" s="321"/>
      <c r="MA59" s="173" t="s">
        <v>629</v>
      </c>
      <c r="MB59" s="359" t="s">
        <v>623</v>
      </c>
      <c r="MC59" s="360"/>
      <c r="MD59" s="382" t="s">
        <v>189</v>
      </c>
      <c r="ME59" s="383"/>
      <c r="MF59" s="363" t="s">
        <v>910</v>
      </c>
      <c r="MG59" s="364"/>
      <c r="MH59" s="365" t="s">
        <v>638</v>
      </c>
      <c r="MI59" s="366"/>
      <c r="MJ59" s="366"/>
      <c r="MK59" s="367"/>
      <c r="OZ59" s="356"/>
      <c r="PA59" s="297" t="s">
        <v>604</v>
      </c>
      <c r="PB59" s="298"/>
      <c r="PC59" s="321"/>
      <c r="PD59" s="175"/>
      <c r="PE59" s="175"/>
      <c r="PF59" s="175"/>
      <c r="PG59" s="175"/>
      <c r="PH59" s="175"/>
      <c r="PI59" s="175"/>
      <c r="PJ59" s="321"/>
      <c r="PK59" s="173" t="s">
        <v>629</v>
      </c>
      <c r="PL59" s="359" t="s">
        <v>623</v>
      </c>
      <c r="PM59" s="381"/>
      <c r="PN59" s="382" t="s">
        <v>189</v>
      </c>
      <c r="PO59" s="383"/>
      <c r="PP59" s="363" t="s">
        <v>910</v>
      </c>
      <c r="PQ59" s="364"/>
      <c r="PR59" s="365" t="s">
        <v>638</v>
      </c>
      <c r="PS59" s="366"/>
      <c r="PT59" s="366"/>
      <c r="PU59" s="367"/>
      <c r="VL59" s="356"/>
      <c r="VM59" s="297" t="s">
        <v>604</v>
      </c>
      <c r="VN59" s="298"/>
      <c r="VO59" s="321"/>
      <c r="VP59" s="175"/>
      <c r="VQ59" s="175"/>
      <c r="VR59" s="175"/>
      <c r="VS59" s="175"/>
      <c r="VT59" s="175"/>
      <c r="VU59" s="175"/>
      <c r="VV59" s="321"/>
      <c r="VW59" s="173" t="s">
        <v>629</v>
      </c>
      <c r="VX59" s="359" t="s">
        <v>623</v>
      </c>
      <c r="VY59" s="381"/>
      <c r="VZ59" s="382" t="s">
        <v>189</v>
      </c>
      <c r="WA59" s="383"/>
      <c r="WB59" s="363" t="s">
        <v>910</v>
      </c>
      <c r="WC59" s="364"/>
      <c r="WD59" s="365" t="s">
        <v>638</v>
      </c>
      <c r="WE59" s="366"/>
      <c r="WF59" s="366"/>
      <c r="WG59" s="367"/>
      <c r="ZG59" s="356"/>
      <c r="ZH59" s="297" t="s">
        <v>604</v>
      </c>
      <c r="ZI59" s="298"/>
      <c r="ZJ59" s="321"/>
      <c r="ZK59" s="175"/>
      <c r="ZL59" s="175"/>
      <c r="ZM59" s="175"/>
      <c r="ZN59" s="175"/>
      <c r="ZO59" s="175"/>
      <c r="ZP59" s="175"/>
      <c r="ZQ59" s="321"/>
      <c r="ZR59" s="173" t="s">
        <v>629</v>
      </c>
      <c r="ZS59" s="359" t="s">
        <v>623</v>
      </c>
      <c r="ZT59" s="381"/>
      <c r="ZU59" s="382" t="s">
        <v>189</v>
      </c>
      <c r="ZV59" s="383"/>
      <c r="ZW59" s="363" t="s">
        <v>910</v>
      </c>
      <c r="ZX59" s="364"/>
      <c r="ZY59" s="365" t="s">
        <v>638</v>
      </c>
      <c r="ZZ59" s="366"/>
      <c r="AAA59" s="366"/>
      <c r="AAB59" s="367"/>
    </row>
    <row r="60" spans="1:704" ht="48" customHeight="1" x14ac:dyDescent="0.3">
      <c r="Z60" s="451"/>
      <c r="AA60" s="452"/>
      <c r="AB60" s="453"/>
      <c r="AC60" s="357"/>
      <c r="AD60" s="523" t="s">
        <v>995</v>
      </c>
      <c r="AE60" s="573"/>
      <c r="AF60" s="573"/>
      <c r="AG60" s="573"/>
      <c r="AH60" s="573"/>
      <c r="AI60" s="573"/>
      <c r="AJ60" s="573"/>
      <c r="AK60" s="573"/>
      <c r="AL60" s="573"/>
      <c r="AM60" s="573"/>
      <c r="AN60" s="573"/>
      <c r="AO60" s="573"/>
      <c r="AP60" s="573"/>
      <c r="AQ60" s="608">
        <v>32500</v>
      </c>
      <c r="AR60" s="609"/>
      <c r="AS60" s="420" t="s">
        <v>20</v>
      </c>
      <c r="AT60" s="421"/>
      <c r="AU60" s="379"/>
      <c r="AV60" s="416" t="s">
        <v>38</v>
      </c>
      <c r="AW60" s="417"/>
      <c r="AX60" s="379"/>
      <c r="BO60" s="357"/>
      <c r="BP60" s="514" t="s">
        <v>973</v>
      </c>
      <c r="BQ60" s="515"/>
      <c r="BR60" s="515"/>
      <c r="BS60" s="515"/>
      <c r="BT60" s="515"/>
      <c r="BU60" s="515"/>
      <c r="BV60" s="515"/>
      <c r="BW60" s="515"/>
      <c r="BX60" s="515"/>
      <c r="BY60" s="515"/>
      <c r="BZ60" s="515"/>
      <c r="CA60" s="515"/>
      <c r="CB60" s="516"/>
      <c r="CC60" s="502">
        <f>ROUND(CC56,0)</f>
        <v>15</v>
      </c>
      <c r="CD60" s="504"/>
      <c r="CE60" s="536" t="s">
        <v>940</v>
      </c>
      <c r="CF60" s="537"/>
      <c r="CG60" s="386"/>
      <c r="CH60" s="375" t="s">
        <v>604</v>
      </c>
      <c r="CI60" s="376"/>
      <c r="CJ60" s="379"/>
      <c r="DA60" s="291"/>
      <c r="DB60" s="291"/>
      <c r="DC60" s="291"/>
      <c r="DD60" s="291"/>
      <c r="DE60" s="291"/>
      <c r="DF60" s="291"/>
      <c r="DG60" s="291"/>
      <c r="DH60" s="291"/>
      <c r="DI60" s="291"/>
      <c r="DJ60" s="291"/>
      <c r="DK60" s="291"/>
      <c r="DL60" s="291"/>
      <c r="DM60" s="291"/>
      <c r="DN60" s="291"/>
      <c r="DO60" s="291"/>
      <c r="DQ60" s="356"/>
      <c r="DR60" s="384" t="s">
        <v>1032</v>
      </c>
      <c r="DS60" s="384"/>
      <c r="DT60" s="384"/>
      <c r="DU60" s="384"/>
      <c r="DV60" s="384"/>
      <c r="DW60" s="384"/>
      <c r="DX60" s="384"/>
      <c r="DY60" s="384"/>
      <c r="DZ60" s="384"/>
      <c r="EA60" s="384"/>
      <c r="EB60" s="384"/>
      <c r="EC60" s="384"/>
      <c r="ED60" s="447"/>
      <c r="EE60" s="424">
        <v>0.2</v>
      </c>
      <c r="EF60" s="425"/>
      <c r="EG60" s="420" t="s">
        <v>53</v>
      </c>
      <c r="EH60" s="421"/>
      <c r="EI60" s="386"/>
      <c r="EJ60" s="375" t="s">
        <v>604</v>
      </c>
      <c r="EK60" s="376"/>
      <c r="EL60" s="379"/>
      <c r="ES60" s="291"/>
      <c r="ET60" s="291"/>
      <c r="EU60" s="291"/>
      <c r="EV60" s="291"/>
      <c r="EW60" s="291"/>
      <c r="EX60" s="291"/>
      <c r="EY60" s="291"/>
      <c r="EZ60" s="291"/>
      <c r="FA60" s="291"/>
      <c r="FW60" s="357"/>
      <c r="FX60" s="344" t="s">
        <v>1068</v>
      </c>
      <c r="FY60" s="345"/>
      <c r="FZ60" s="345"/>
      <c r="GA60" s="345"/>
      <c r="GB60" s="345"/>
      <c r="GC60" s="345"/>
      <c r="GD60" s="345"/>
      <c r="GE60" s="345"/>
      <c r="GF60" s="345"/>
      <c r="GG60" s="345"/>
      <c r="GH60" s="345"/>
      <c r="GI60" s="345"/>
      <c r="GJ60" s="345"/>
      <c r="GK60" s="441">
        <f>3.5*10^6</f>
        <v>3500000</v>
      </c>
      <c r="GL60" s="442"/>
      <c r="GM60" s="420" t="s">
        <v>983</v>
      </c>
      <c r="GN60" s="421"/>
      <c r="GO60" s="373"/>
      <c r="GP60" s="375" t="s">
        <v>1083</v>
      </c>
      <c r="GQ60" s="376"/>
      <c r="GR60" s="379"/>
      <c r="IH60" s="357"/>
      <c r="II60" s="344" t="s">
        <v>92</v>
      </c>
      <c r="IJ60" s="345"/>
      <c r="IK60" s="345"/>
      <c r="IL60" s="345"/>
      <c r="IM60" s="345"/>
      <c r="IN60" s="345"/>
      <c r="IO60" s="345"/>
      <c r="IP60" s="345"/>
      <c r="IQ60" s="345"/>
      <c r="IR60" s="345"/>
      <c r="IS60" s="345"/>
      <c r="IT60" s="345"/>
      <c r="IU60" s="345"/>
      <c r="IV60" s="348">
        <f>2*IV64/1000*IV56</f>
        <v>114.31000813802505</v>
      </c>
      <c r="IW60" s="349"/>
      <c r="IX60" s="352"/>
      <c r="IY60" s="353"/>
      <c r="IZ60" s="386"/>
      <c r="JA60" s="375" t="s">
        <v>604</v>
      </c>
      <c r="JB60" s="376"/>
      <c r="JC60" s="379"/>
      <c r="JZ60" s="8"/>
      <c r="KW60" s="10" t="s">
        <v>137</v>
      </c>
      <c r="KX60" s="6">
        <v>0.01</v>
      </c>
      <c r="KY60" s="6" t="s">
        <v>19</v>
      </c>
      <c r="LP60" s="357"/>
      <c r="LQ60" s="344" t="s">
        <v>127</v>
      </c>
      <c r="LR60" s="345"/>
      <c r="LS60" s="345"/>
      <c r="LT60" s="345"/>
      <c r="LU60" s="345"/>
      <c r="LV60" s="345"/>
      <c r="LW60" s="345"/>
      <c r="LX60" s="345"/>
      <c r="LY60" s="345"/>
      <c r="LZ60" s="345"/>
      <c r="MA60" s="345"/>
      <c r="MB60" s="345"/>
      <c r="MC60" s="345"/>
      <c r="MD60" s="348" t="e">
        <f>MD56*(CC48/AH6)</f>
        <v>#REF!</v>
      </c>
      <c r="ME60" s="349"/>
      <c r="MF60" s="390"/>
      <c r="MG60" s="371"/>
      <c r="MH60" s="373"/>
      <c r="MI60" s="375" t="s">
        <v>604</v>
      </c>
      <c r="MJ60" s="376"/>
      <c r="MK60" s="379"/>
      <c r="OZ60" s="357"/>
      <c r="PA60" s="384"/>
      <c r="PB60" s="384"/>
      <c r="PC60" s="384"/>
      <c r="PD60" s="384"/>
      <c r="PE60" s="384"/>
      <c r="PF60" s="384"/>
      <c r="PG60" s="384"/>
      <c r="PH60" s="384"/>
      <c r="PI60" s="384"/>
      <c r="PJ60" s="384"/>
      <c r="PK60" s="384"/>
      <c r="PL60" s="384"/>
      <c r="PM60" s="391"/>
      <c r="PN60" s="348"/>
      <c r="PO60" s="349"/>
      <c r="PP60" s="390"/>
      <c r="PQ60" s="371"/>
      <c r="PR60" s="386"/>
      <c r="PS60" s="375" t="s">
        <v>604</v>
      </c>
      <c r="PT60" s="376"/>
      <c r="PU60" s="379"/>
      <c r="VL60" s="357"/>
      <c r="VM60" s="384"/>
      <c r="VN60" s="384"/>
      <c r="VO60" s="384"/>
      <c r="VP60" s="384"/>
      <c r="VQ60" s="384"/>
      <c r="VR60" s="384"/>
      <c r="VS60" s="384"/>
      <c r="VT60" s="384"/>
      <c r="VU60" s="384"/>
      <c r="VV60" s="384"/>
      <c r="VW60" s="384"/>
      <c r="VX60" s="384"/>
      <c r="VY60" s="384"/>
      <c r="VZ60" s="348"/>
      <c r="WA60" s="349"/>
      <c r="WB60" s="370"/>
      <c r="WC60" s="371"/>
      <c r="WD60" s="386"/>
      <c r="WE60" s="375" t="s">
        <v>604</v>
      </c>
      <c r="WF60" s="376"/>
      <c r="WG60" s="379"/>
      <c r="ZG60" s="357"/>
      <c r="ZH60" s="384"/>
      <c r="ZI60" s="384"/>
      <c r="ZJ60" s="384"/>
      <c r="ZK60" s="384"/>
      <c r="ZL60" s="384"/>
      <c r="ZM60" s="384"/>
      <c r="ZN60" s="384"/>
      <c r="ZO60" s="384"/>
      <c r="ZP60" s="384"/>
      <c r="ZQ60" s="384"/>
      <c r="ZR60" s="384"/>
      <c r="ZS60" s="384"/>
      <c r="ZT60" s="384"/>
      <c r="ZU60" s="348"/>
      <c r="ZV60" s="349"/>
      <c r="ZW60" s="370"/>
      <c r="ZX60" s="371"/>
      <c r="ZY60" s="386"/>
      <c r="ZZ60" s="375" t="s">
        <v>604</v>
      </c>
      <c r="AAA60" s="376"/>
      <c r="AAB60" s="379"/>
    </row>
    <row r="61" spans="1:704" ht="48" customHeight="1" thickBot="1" x14ac:dyDescent="0.35">
      <c r="Z61" s="454"/>
      <c r="AA61" s="455"/>
      <c r="AB61" s="456"/>
      <c r="AC61" s="358"/>
      <c r="AD61" s="575"/>
      <c r="AE61" s="544"/>
      <c r="AF61" s="544"/>
      <c r="AG61" s="544"/>
      <c r="AH61" s="544"/>
      <c r="AI61" s="544"/>
      <c r="AJ61" s="544"/>
      <c r="AK61" s="544"/>
      <c r="AL61" s="544"/>
      <c r="AM61" s="544"/>
      <c r="AN61" s="544"/>
      <c r="AO61" s="544"/>
      <c r="AP61" s="544"/>
      <c r="AQ61" s="610"/>
      <c r="AR61" s="611"/>
      <c r="AS61" s="422"/>
      <c r="AT61" s="423"/>
      <c r="AU61" s="380"/>
      <c r="AV61" s="418"/>
      <c r="AW61" s="419"/>
      <c r="AX61" s="380"/>
      <c r="BE61" s="291"/>
      <c r="BF61" s="291"/>
      <c r="BG61" s="291"/>
      <c r="BH61" s="291"/>
      <c r="BO61" s="358"/>
      <c r="BP61" s="517"/>
      <c r="BQ61" s="518"/>
      <c r="BR61" s="518"/>
      <c r="BS61" s="518"/>
      <c r="BT61" s="518"/>
      <c r="BU61" s="518"/>
      <c r="BV61" s="518"/>
      <c r="BW61" s="518"/>
      <c r="BX61" s="518"/>
      <c r="BY61" s="518"/>
      <c r="BZ61" s="518"/>
      <c r="CA61" s="518"/>
      <c r="CB61" s="440"/>
      <c r="CC61" s="505"/>
      <c r="CD61" s="507"/>
      <c r="CE61" s="538"/>
      <c r="CF61" s="539"/>
      <c r="CG61" s="387"/>
      <c r="CH61" s="377"/>
      <c r="CI61" s="378"/>
      <c r="CJ61" s="380"/>
      <c r="DA61" s="291"/>
      <c r="DB61" s="291"/>
      <c r="DC61" s="291"/>
      <c r="DD61" s="291"/>
      <c r="DE61" s="291"/>
      <c r="DF61" s="291"/>
      <c r="DG61" s="291"/>
      <c r="DH61" s="291"/>
      <c r="DI61" s="291"/>
      <c r="DJ61" s="291"/>
      <c r="DK61" s="291"/>
      <c r="DL61" s="291"/>
      <c r="DM61" s="291"/>
      <c r="DN61" s="291"/>
      <c r="DO61" s="291"/>
      <c r="DQ61" s="358"/>
      <c r="DR61" s="385"/>
      <c r="DS61" s="385"/>
      <c r="DT61" s="385"/>
      <c r="DU61" s="385"/>
      <c r="DV61" s="385"/>
      <c r="DW61" s="385"/>
      <c r="DX61" s="385"/>
      <c r="DY61" s="385"/>
      <c r="DZ61" s="385"/>
      <c r="EA61" s="385"/>
      <c r="EB61" s="385"/>
      <c r="EC61" s="385"/>
      <c r="ED61" s="351"/>
      <c r="EE61" s="426"/>
      <c r="EF61" s="427"/>
      <c r="EG61" s="422"/>
      <c r="EH61" s="423"/>
      <c r="EI61" s="387"/>
      <c r="EJ61" s="377"/>
      <c r="EK61" s="378"/>
      <c r="EL61" s="380"/>
      <c r="ES61" s="291"/>
      <c r="ET61" s="291"/>
      <c r="EU61" s="291"/>
      <c r="EV61" s="291"/>
      <c r="EW61" s="291"/>
      <c r="EX61" s="291"/>
      <c r="EY61" s="291"/>
      <c r="EZ61" s="291"/>
      <c r="FA61" s="291"/>
      <c r="FW61" s="358"/>
      <c r="FX61" s="346"/>
      <c r="FY61" s="347"/>
      <c r="FZ61" s="347"/>
      <c r="GA61" s="347"/>
      <c r="GB61" s="347"/>
      <c r="GC61" s="347"/>
      <c r="GD61" s="347"/>
      <c r="GE61" s="347"/>
      <c r="GF61" s="347"/>
      <c r="GG61" s="347"/>
      <c r="GH61" s="347"/>
      <c r="GI61" s="347"/>
      <c r="GJ61" s="347"/>
      <c r="GK61" s="443"/>
      <c r="GL61" s="444"/>
      <c r="GM61" s="422"/>
      <c r="GN61" s="423"/>
      <c r="GO61" s="374"/>
      <c r="GP61" s="377"/>
      <c r="GQ61" s="378"/>
      <c r="GR61" s="380"/>
      <c r="IH61" s="358"/>
      <c r="II61" s="346"/>
      <c r="IJ61" s="347"/>
      <c r="IK61" s="347"/>
      <c r="IL61" s="347"/>
      <c r="IM61" s="347"/>
      <c r="IN61" s="347"/>
      <c r="IO61" s="347"/>
      <c r="IP61" s="347"/>
      <c r="IQ61" s="347"/>
      <c r="IR61" s="347"/>
      <c r="IS61" s="347"/>
      <c r="IT61" s="347"/>
      <c r="IU61" s="347"/>
      <c r="IV61" s="350"/>
      <c r="IW61" s="351"/>
      <c r="IX61" s="354"/>
      <c r="IY61" s="355"/>
      <c r="IZ61" s="387"/>
      <c r="JA61" s="377"/>
      <c r="JB61" s="378"/>
      <c r="JC61" s="380"/>
      <c r="KW61" s="12"/>
      <c r="KX61" s="3"/>
      <c r="KY61" s="3"/>
      <c r="LP61" s="358"/>
      <c r="LQ61" s="346"/>
      <c r="LR61" s="347"/>
      <c r="LS61" s="347"/>
      <c r="LT61" s="347"/>
      <c r="LU61" s="347"/>
      <c r="LV61" s="347"/>
      <c r="LW61" s="347"/>
      <c r="LX61" s="347"/>
      <c r="LY61" s="347"/>
      <c r="LZ61" s="347"/>
      <c r="MA61" s="347"/>
      <c r="MB61" s="347"/>
      <c r="MC61" s="347"/>
      <c r="MD61" s="350"/>
      <c r="ME61" s="351"/>
      <c r="MF61" s="347"/>
      <c r="MG61" s="372"/>
      <c r="MH61" s="374"/>
      <c r="MI61" s="377"/>
      <c r="MJ61" s="378"/>
      <c r="MK61" s="380"/>
      <c r="OZ61" s="358"/>
      <c r="PA61" s="385"/>
      <c r="PB61" s="385"/>
      <c r="PC61" s="385"/>
      <c r="PD61" s="385"/>
      <c r="PE61" s="385"/>
      <c r="PF61" s="385"/>
      <c r="PG61" s="385"/>
      <c r="PH61" s="385"/>
      <c r="PI61" s="385"/>
      <c r="PJ61" s="385"/>
      <c r="PK61" s="385"/>
      <c r="PL61" s="385"/>
      <c r="PM61" s="392"/>
      <c r="PN61" s="350"/>
      <c r="PO61" s="351"/>
      <c r="PP61" s="347"/>
      <c r="PQ61" s="372"/>
      <c r="PR61" s="387"/>
      <c r="PS61" s="377"/>
      <c r="PT61" s="378"/>
      <c r="PU61" s="380"/>
      <c r="VL61" s="358"/>
      <c r="VM61" s="385"/>
      <c r="VN61" s="385"/>
      <c r="VO61" s="385"/>
      <c r="VP61" s="385"/>
      <c r="VQ61" s="385"/>
      <c r="VR61" s="385"/>
      <c r="VS61" s="385"/>
      <c r="VT61" s="385"/>
      <c r="VU61" s="385"/>
      <c r="VV61" s="385"/>
      <c r="VW61" s="385"/>
      <c r="VX61" s="385"/>
      <c r="VY61" s="385"/>
      <c r="VZ61" s="350"/>
      <c r="WA61" s="351"/>
      <c r="WB61" s="346"/>
      <c r="WC61" s="372"/>
      <c r="WD61" s="387"/>
      <c r="WE61" s="377"/>
      <c r="WF61" s="378"/>
      <c r="WG61" s="380"/>
      <c r="ZG61" s="358"/>
      <c r="ZH61" s="385"/>
      <c r="ZI61" s="385"/>
      <c r="ZJ61" s="385"/>
      <c r="ZK61" s="385"/>
      <c r="ZL61" s="385"/>
      <c r="ZM61" s="385"/>
      <c r="ZN61" s="385"/>
      <c r="ZO61" s="385"/>
      <c r="ZP61" s="385"/>
      <c r="ZQ61" s="385"/>
      <c r="ZR61" s="385"/>
      <c r="ZS61" s="385"/>
      <c r="ZT61" s="385"/>
      <c r="ZU61" s="350"/>
      <c r="ZV61" s="351"/>
      <c r="ZW61" s="346"/>
      <c r="ZX61" s="372"/>
      <c r="ZY61" s="387"/>
      <c r="ZZ61" s="377"/>
      <c r="AAA61" s="378"/>
      <c r="AAB61" s="380"/>
    </row>
    <row r="62" spans="1:704" ht="48" customHeight="1" x14ac:dyDescent="0.3">
      <c r="BE62" s="291"/>
      <c r="BF62" s="291"/>
      <c r="BG62" s="291"/>
      <c r="BH62" s="291"/>
      <c r="DA62" s="291"/>
      <c r="DB62" s="291"/>
      <c r="DC62" s="291"/>
      <c r="DD62" s="291"/>
      <c r="DE62" s="291"/>
      <c r="DF62" s="291"/>
      <c r="DG62" s="291"/>
      <c r="DH62" s="291"/>
      <c r="DI62" s="291"/>
      <c r="DJ62" s="291"/>
      <c r="DK62" s="291"/>
      <c r="DL62" s="291"/>
      <c r="DM62" s="291"/>
      <c r="DN62" s="291"/>
      <c r="DO62" s="291"/>
      <c r="ES62" s="291"/>
      <c r="ET62" s="291"/>
      <c r="EU62" s="291"/>
      <c r="EV62" s="291"/>
      <c r="EW62" s="291"/>
      <c r="EX62" s="291"/>
      <c r="EY62" s="9"/>
      <c r="EZ62" s="13"/>
      <c r="FA62" s="5"/>
      <c r="FB62" s="5"/>
      <c r="FE62" s="12"/>
      <c r="FF62" s="3"/>
      <c r="FG62" s="3"/>
      <c r="JZ62" s="8"/>
      <c r="KW62" s="12"/>
      <c r="KX62" s="3"/>
      <c r="KY62" s="3"/>
    </row>
    <row r="63" spans="1:704" ht="48" customHeight="1" thickBot="1" x14ac:dyDescent="0.35">
      <c r="Z63" s="356"/>
      <c r="AA63" s="546" t="s">
        <v>8</v>
      </c>
      <c r="AB63" s="547"/>
      <c r="AC63" s="276"/>
      <c r="AD63" s="175"/>
      <c r="AE63" s="175"/>
      <c r="AF63" s="175"/>
      <c r="AG63" s="175"/>
      <c r="AH63" s="175"/>
      <c r="AI63" s="175"/>
      <c r="AJ63" s="276"/>
      <c r="AK63" s="173" t="s">
        <v>629</v>
      </c>
      <c r="AL63" s="359" t="s">
        <v>623</v>
      </c>
      <c r="AM63" s="360"/>
      <c r="AN63" s="382" t="s">
        <v>189</v>
      </c>
      <c r="AO63" s="383"/>
      <c r="AP63" s="363" t="s">
        <v>910</v>
      </c>
      <c r="AQ63" s="364"/>
      <c r="AR63" s="365" t="s">
        <v>638</v>
      </c>
      <c r="AS63" s="366"/>
      <c r="AT63" s="366"/>
      <c r="AU63" s="367"/>
      <c r="BE63" s="291"/>
      <c r="BF63" s="291"/>
      <c r="BG63" s="291"/>
      <c r="BH63" s="291"/>
      <c r="BI63" s="291"/>
      <c r="BJ63" s="291"/>
      <c r="BK63" s="291"/>
      <c r="BO63" s="356"/>
      <c r="BP63" s="297" t="s">
        <v>604</v>
      </c>
      <c r="BQ63" s="298"/>
      <c r="BR63" s="295"/>
      <c r="BS63" s="175"/>
      <c r="BT63" s="175"/>
      <c r="BU63" s="175"/>
      <c r="BV63" s="175"/>
      <c r="BW63" s="175"/>
      <c r="BX63" s="175"/>
      <c r="BY63" s="295"/>
      <c r="BZ63" s="173" t="s">
        <v>629</v>
      </c>
      <c r="CA63" s="359" t="s">
        <v>623</v>
      </c>
      <c r="CB63" s="381"/>
      <c r="CC63" s="382" t="s">
        <v>189</v>
      </c>
      <c r="CD63" s="383"/>
      <c r="CE63" s="363" t="s">
        <v>910</v>
      </c>
      <c r="CF63" s="364"/>
      <c r="CG63" s="365" t="s">
        <v>638</v>
      </c>
      <c r="CH63" s="366"/>
      <c r="CI63" s="366"/>
      <c r="CJ63" s="367"/>
      <c r="CK63" s="365" t="s">
        <v>624</v>
      </c>
      <c r="CL63" s="366"/>
      <c r="CM63" s="367"/>
      <c r="DA63" s="291"/>
      <c r="DB63" s="291"/>
      <c r="DC63" s="291"/>
      <c r="DD63" s="291"/>
      <c r="DE63" s="291"/>
      <c r="DF63" s="291"/>
      <c r="DG63" s="291"/>
      <c r="DH63" s="291"/>
      <c r="DI63" s="291"/>
      <c r="DJ63" s="291"/>
      <c r="DK63" s="291"/>
      <c r="DL63" s="291"/>
      <c r="DM63" s="291"/>
      <c r="DN63" s="291"/>
      <c r="DO63" s="291"/>
      <c r="DQ63" s="356"/>
      <c r="DR63" s="297" t="s">
        <v>604</v>
      </c>
      <c r="DS63" s="298"/>
      <c r="DT63" s="315"/>
      <c r="DU63" s="175"/>
      <c r="DV63" s="175"/>
      <c r="DW63" s="175"/>
      <c r="DX63" s="175"/>
      <c r="DY63" s="175"/>
      <c r="DZ63" s="175"/>
      <c r="EA63" s="315"/>
      <c r="EB63" s="173" t="s">
        <v>629</v>
      </c>
      <c r="EC63" s="359" t="s">
        <v>623</v>
      </c>
      <c r="ED63" s="381"/>
      <c r="EE63" s="382" t="s">
        <v>189</v>
      </c>
      <c r="EF63" s="383"/>
      <c r="EG63" s="363" t="s">
        <v>910</v>
      </c>
      <c r="EH63" s="364"/>
      <c r="EI63" s="365" t="s">
        <v>638</v>
      </c>
      <c r="EJ63" s="366"/>
      <c r="EK63" s="366"/>
      <c r="EL63" s="367"/>
      <c r="ES63" s="291"/>
      <c r="ET63" s="291"/>
      <c r="EU63" s="291"/>
      <c r="EV63" s="291"/>
      <c r="EW63" s="286"/>
      <c r="EX63" s="286"/>
      <c r="EY63" s="286"/>
      <c r="EZ63" s="286"/>
      <c r="FA63" s="286"/>
      <c r="FB63" s="286"/>
      <c r="FC63" s="286"/>
      <c r="FD63" s="286"/>
      <c r="FE63" s="286"/>
      <c r="FF63" s="286"/>
      <c r="FG63" s="286"/>
      <c r="FH63" s="286"/>
      <c r="FI63" s="286"/>
      <c r="FJ63" s="286"/>
      <c r="FK63" s="286"/>
      <c r="FL63" s="286"/>
      <c r="FM63" s="286"/>
      <c r="FN63" s="286"/>
      <c r="FO63" s="286"/>
      <c r="FW63" s="356"/>
      <c r="FX63" s="297" t="s">
        <v>604</v>
      </c>
      <c r="FY63" s="298"/>
      <c r="FZ63" s="315"/>
      <c r="GA63" s="175"/>
      <c r="GB63" s="175"/>
      <c r="GC63" s="175"/>
      <c r="GD63" s="175"/>
      <c r="GE63" s="175"/>
      <c r="GF63" s="175"/>
      <c r="GG63" s="315"/>
      <c r="GH63" s="173" t="s">
        <v>629</v>
      </c>
      <c r="GI63" s="359" t="s">
        <v>623</v>
      </c>
      <c r="GJ63" s="360"/>
      <c r="GK63" s="382" t="s">
        <v>189</v>
      </c>
      <c r="GL63" s="383"/>
      <c r="GM63" s="363" t="s">
        <v>910</v>
      </c>
      <c r="GN63" s="364"/>
      <c r="GO63" s="365" t="s">
        <v>638</v>
      </c>
      <c r="GP63" s="366"/>
      <c r="GQ63" s="366"/>
      <c r="GR63" s="367"/>
      <c r="IH63" s="356"/>
      <c r="II63" s="297" t="s">
        <v>604</v>
      </c>
      <c r="IJ63" s="298"/>
      <c r="IK63" s="321"/>
      <c r="IL63" s="175"/>
      <c r="IM63" s="175"/>
      <c r="IN63" s="175"/>
      <c r="IO63" s="175"/>
      <c r="IP63" s="175"/>
      <c r="IQ63" s="175"/>
      <c r="IR63" s="321"/>
      <c r="IS63" s="173" t="s">
        <v>629</v>
      </c>
      <c r="IT63" s="359" t="s">
        <v>623</v>
      </c>
      <c r="IU63" s="381"/>
      <c r="IV63" s="382" t="s">
        <v>189</v>
      </c>
      <c r="IW63" s="383"/>
      <c r="IX63" s="363" t="s">
        <v>910</v>
      </c>
      <c r="IY63" s="364"/>
      <c r="IZ63" s="365" t="s">
        <v>638</v>
      </c>
      <c r="JA63" s="366"/>
      <c r="JB63" s="366"/>
      <c r="JC63" s="367"/>
      <c r="KW63" s="12"/>
      <c r="KX63" s="3"/>
      <c r="KY63" s="3"/>
      <c r="LP63" s="356"/>
      <c r="LQ63" s="297" t="s">
        <v>604</v>
      </c>
      <c r="LR63" s="298"/>
      <c r="LS63" s="321"/>
      <c r="LT63" s="175"/>
      <c r="LU63" s="175"/>
      <c r="LV63" s="175"/>
      <c r="LW63" s="175"/>
      <c r="LX63" s="175"/>
      <c r="LY63" s="175"/>
      <c r="LZ63" s="321"/>
      <c r="MA63" s="173" t="s">
        <v>629</v>
      </c>
      <c r="MB63" s="359" t="s">
        <v>623</v>
      </c>
      <c r="MC63" s="360"/>
      <c r="MD63" s="361" t="s">
        <v>189</v>
      </c>
      <c r="ME63" s="362"/>
      <c r="MF63" s="363" t="s">
        <v>910</v>
      </c>
      <c r="MG63" s="364"/>
      <c r="MH63" s="365" t="s">
        <v>638</v>
      </c>
      <c r="MI63" s="366"/>
      <c r="MJ63" s="366"/>
      <c r="MK63" s="367"/>
      <c r="OZ63" s="356"/>
      <c r="PA63" s="297" t="s">
        <v>604</v>
      </c>
      <c r="PB63" s="298"/>
      <c r="PC63" s="321"/>
      <c r="PD63" s="175"/>
      <c r="PE63" s="175"/>
      <c r="PF63" s="175"/>
      <c r="PG63" s="175"/>
      <c r="PH63" s="175"/>
      <c r="PI63" s="175"/>
      <c r="PJ63" s="321"/>
      <c r="PK63" s="173" t="s">
        <v>629</v>
      </c>
      <c r="PL63" s="359" t="s">
        <v>623</v>
      </c>
      <c r="PM63" s="381"/>
      <c r="PN63" s="382" t="s">
        <v>189</v>
      </c>
      <c r="PO63" s="383"/>
      <c r="PP63" s="363" t="s">
        <v>910</v>
      </c>
      <c r="PQ63" s="364"/>
      <c r="PR63" s="365" t="s">
        <v>638</v>
      </c>
      <c r="PS63" s="366"/>
      <c r="PT63" s="366"/>
      <c r="PU63" s="367"/>
      <c r="VL63" s="356"/>
      <c r="VM63" s="297" t="s">
        <v>604</v>
      </c>
      <c r="VN63" s="298"/>
      <c r="VO63" s="321"/>
      <c r="VP63" s="175"/>
      <c r="VQ63" s="175"/>
      <c r="VR63" s="175"/>
      <c r="VS63" s="175"/>
      <c r="VT63" s="175"/>
      <c r="VU63" s="175"/>
      <c r="VV63" s="321"/>
      <c r="VW63" s="173" t="s">
        <v>629</v>
      </c>
      <c r="VX63" s="359" t="s">
        <v>623</v>
      </c>
      <c r="VY63" s="381"/>
      <c r="VZ63" s="382" t="s">
        <v>189</v>
      </c>
      <c r="WA63" s="383"/>
      <c r="WB63" s="363" t="s">
        <v>910</v>
      </c>
      <c r="WC63" s="364"/>
      <c r="WD63" s="365" t="s">
        <v>638</v>
      </c>
      <c r="WE63" s="366"/>
      <c r="WF63" s="366"/>
      <c r="WG63" s="367"/>
      <c r="ZG63" s="356"/>
      <c r="ZH63" s="297" t="s">
        <v>604</v>
      </c>
      <c r="ZI63" s="298"/>
      <c r="ZJ63" s="321"/>
      <c r="ZK63" s="175"/>
      <c r="ZL63" s="175"/>
      <c r="ZM63" s="175"/>
      <c r="ZN63" s="175"/>
      <c r="ZO63" s="175"/>
      <c r="ZP63" s="175"/>
      <c r="ZQ63" s="321"/>
      <c r="ZR63" s="173" t="s">
        <v>629</v>
      </c>
      <c r="ZS63" s="359" t="s">
        <v>623</v>
      </c>
      <c r="ZT63" s="381"/>
      <c r="ZU63" s="382" t="s">
        <v>189</v>
      </c>
      <c r="ZV63" s="383"/>
      <c r="ZW63" s="363" t="s">
        <v>910</v>
      </c>
      <c r="ZX63" s="364"/>
      <c r="ZY63" s="365" t="s">
        <v>638</v>
      </c>
      <c r="ZZ63" s="366"/>
      <c r="AAA63" s="366"/>
      <c r="AAB63" s="367"/>
    </row>
    <row r="64" spans="1:704" ht="48" customHeight="1" x14ac:dyDescent="0.3">
      <c r="Z64" s="357"/>
      <c r="AA64" s="523" t="s">
        <v>926</v>
      </c>
      <c r="AB64" s="573"/>
      <c r="AC64" s="573"/>
      <c r="AD64" s="573"/>
      <c r="AE64" s="573"/>
      <c r="AF64" s="573"/>
      <c r="AG64" s="573"/>
      <c r="AH64" s="573"/>
      <c r="AI64" s="573"/>
      <c r="AJ64" s="573"/>
      <c r="AK64" s="573"/>
      <c r="AL64" s="573"/>
      <c r="AM64" s="598"/>
      <c r="AN64" s="424">
        <v>0.90500000000000003</v>
      </c>
      <c r="AO64" s="425"/>
      <c r="AP64" s="420" t="s">
        <v>915</v>
      </c>
      <c r="AQ64" s="421"/>
      <c r="AR64" s="379"/>
      <c r="AS64" s="416" t="s">
        <v>930</v>
      </c>
      <c r="AT64" s="417"/>
      <c r="AU64" s="379"/>
      <c r="BE64" s="291"/>
      <c r="BF64" s="291"/>
      <c r="BG64" s="291"/>
      <c r="BH64" s="291"/>
      <c r="BI64" s="291"/>
      <c r="BJ64" s="291"/>
      <c r="BK64" s="291"/>
      <c r="BO64" s="357"/>
      <c r="BP64" s="514" t="s">
        <v>36</v>
      </c>
      <c r="BQ64" s="515"/>
      <c r="BR64" s="515"/>
      <c r="BS64" s="515"/>
      <c r="BT64" s="515"/>
      <c r="BU64" s="515"/>
      <c r="BV64" s="515"/>
      <c r="BW64" s="515"/>
      <c r="BX64" s="515"/>
      <c r="BY64" s="515"/>
      <c r="BZ64" s="515"/>
      <c r="CA64" s="515"/>
      <c r="CB64" s="516"/>
      <c r="CC64" s="441">
        <f>(CC60*CC28)/(2*CF52*CD32)</f>
        <v>105</v>
      </c>
      <c r="CD64" s="442"/>
      <c r="CE64" s="536" t="s">
        <v>940</v>
      </c>
      <c r="CF64" s="537"/>
      <c r="CG64" s="386"/>
      <c r="CH64" s="375" t="s">
        <v>604</v>
      </c>
      <c r="CI64" s="376"/>
      <c r="CJ64" s="379"/>
      <c r="CK64" s="396"/>
      <c r="CL64" s="397"/>
      <c r="CM64" s="398"/>
      <c r="DA64" s="291"/>
      <c r="DB64" s="291"/>
      <c r="DC64" s="291"/>
      <c r="DD64" s="291"/>
      <c r="DE64" s="291"/>
      <c r="DF64" s="291"/>
      <c r="DG64" s="291"/>
      <c r="DH64" s="291"/>
      <c r="DI64" s="291"/>
      <c r="DJ64" s="291"/>
      <c r="DK64" s="291"/>
      <c r="DL64" s="291"/>
      <c r="DM64" s="291"/>
      <c r="DN64" s="291"/>
      <c r="DO64" s="291"/>
      <c r="DQ64" s="357"/>
      <c r="DR64" s="477" t="s">
        <v>1026</v>
      </c>
      <c r="DS64" s="384"/>
      <c r="DT64" s="384"/>
      <c r="DU64" s="384"/>
      <c r="DV64" s="384"/>
      <c r="DW64" s="384"/>
      <c r="DX64" s="384"/>
      <c r="DY64" s="384"/>
      <c r="DZ64" s="384"/>
      <c r="EA64" s="384"/>
      <c r="EB64" s="384"/>
      <c r="EC64" s="384"/>
      <c r="ED64" s="447"/>
      <c r="EE64" s="424">
        <v>0.25</v>
      </c>
      <c r="EF64" s="425"/>
      <c r="EG64" s="388"/>
      <c r="EH64" s="371"/>
      <c r="EI64" s="386"/>
      <c r="EJ64" s="375" t="s">
        <v>604</v>
      </c>
      <c r="EK64" s="376"/>
      <c r="EL64" s="379"/>
      <c r="ES64" s="291"/>
      <c r="ET64" s="291"/>
      <c r="EU64" s="291"/>
      <c r="EV64" s="291"/>
      <c r="EW64" s="286"/>
      <c r="EX64" s="286"/>
      <c r="EY64" s="286"/>
      <c r="EZ64" s="286"/>
      <c r="FA64" s="286"/>
      <c r="FB64" s="286"/>
      <c r="FC64" s="286"/>
      <c r="FD64" s="286"/>
      <c r="FE64" s="286"/>
      <c r="FF64" s="286"/>
      <c r="FG64" s="286"/>
      <c r="FH64" s="286"/>
      <c r="FI64" s="286"/>
      <c r="FJ64" s="286"/>
      <c r="FK64" s="286"/>
      <c r="FL64" s="286"/>
      <c r="FM64" s="286"/>
      <c r="FN64" s="286"/>
      <c r="FO64" s="286"/>
      <c r="FT64" s="12"/>
      <c r="FU64" s="3"/>
      <c r="FV64" s="3"/>
      <c r="FW64" s="357"/>
      <c r="FX64" s="344" t="s">
        <v>190</v>
      </c>
      <c r="FY64" s="345"/>
      <c r="FZ64" s="345"/>
      <c r="GA64" s="345"/>
      <c r="GB64" s="345"/>
      <c r="GC64" s="345"/>
      <c r="GD64" s="345"/>
      <c r="GE64" s="345"/>
      <c r="GF64" s="345"/>
      <c r="GG64" s="345"/>
      <c r="GH64" s="345"/>
      <c r="GI64" s="345"/>
      <c r="GJ64" s="345"/>
      <c r="GK64" s="388">
        <v>1.5</v>
      </c>
      <c r="GL64" s="371"/>
      <c r="GM64" s="406"/>
      <c r="GN64" s="408"/>
      <c r="GO64" s="373"/>
      <c r="GP64" s="375" t="s">
        <v>604</v>
      </c>
      <c r="GQ64" s="376"/>
      <c r="GR64" s="379"/>
      <c r="IH64" s="357"/>
      <c r="II64" s="344" t="s">
        <v>93</v>
      </c>
      <c r="IJ64" s="345"/>
      <c r="IK64" s="345"/>
      <c r="IL64" s="345"/>
      <c r="IM64" s="345"/>
      <c r="IN64" s="345"/>
      <c r="IO64" s="345"/>
      <c r="IP64" s="345"/>
      <c r="IQ64" s="345"/>
      <c r="IR64" s="345"/>
      <c r="IS64" s="345"/>
      <c r="IT64" s="345"/>
      <c r="IU64" s="345"/>
      <c r="IV64" s="348">
        <f>GK96-0.1*GK88</f>
        <v>21.168520025560195</v>
      </c>
      <c r="IW64" s="349"/>
      <c r="IX64" s="352"/>
      <c r="IY64" s="353"/>
      <c r="IZ64" s="386"/>
      <c r="JA64" s="375" t="s">
        <v>604</v>
      </c>
      <c r="JB64" s="376"/>
      <c r="JC64" s="379"/>
      <c r="JZ64" s="8"/>
      <c r="KW64" s="12"/>
      <c r="KX64" s="3"/>
      <c r="KY64" s="3"/>
      <c r="LP64" s="357"/>
      <c r="LQ64" s="344" t="s">
        <v>128</v>
      </c>
      <c r="LR64" s="345"/>
      <c r="LS64" s="345"/>
      <c r="LT64" s="345"/>
      <c r="LU64" s="345"/>
      <c r="LV64" s="345"/>
      <c r="LW64" s="345"/>
      <c r="LX64" s="345"/>
      <c r="LY64" s="345"/>
      <c r="LZ64" s="345"/>
      <c r="MA64" s="345"/>
      <c r="MB64" s="345"/>
      <c r="MC64" s="345"/>
      <c r="MD64" s="348">
        <f>15.8*(AH7/100)*((CC64/100)^2)*(AN77/(AN12*CC36))*(MD112+MD104+MD108)</f>
        <v>0.15215565413577195</v>
      </c>
      <c r="ME64" s="349"/>
      <c r="MF64" s="390"/>
      <c r="MG64" s="371"/>
      <c r="MH64" s="373"/>
      <c r="MI64" s="375" t="s">
        <v>604</v>
      </c>
      <c r="MJ64" s="376"/>
      <c r="MK64" s="379"/>
      <c r="OZ64" s="357"/>
      <c r="PA64" s="384"/>
      <c r="PB64" s="384"/>
      <c r="PC64" s="384"/>
      <c r="PD64" s="384"/>
      <c r="PE64" s="384"/>
      <c r="PF64" s="384"/>
      <c r="PG64" s="384"/>
      <c r="PH64" s="384"/>
      <c r="PI64" s="384"/>
      <c r="PJ64" s="384"/>
      <c r="PK64" s="384"/>
      <c r="PL64" s="384"/>
      <c r="PM64" s="391"/>
      <c r="PN64" s="348"/>
      <c r="PO64" s="349"/>
      <c r="PP64" s="390"/>
      <c r="PQ64" s="371"/>
      <c r="PR64" s="386"/>
      <c r="PS64" s="375" t="s">
        <v>604</v>
      </c>
      <c r="PT64" s="376"/>
      <c r="PU64" s="379"/>
      <c r="VL64" s="357"/>
      <c r="VM64" s="384"/>
      <c r="VN64" s="384"/>
      <c r="VO64" s="384"/>
      <c r="VP64" s="384"/>
      <c r="VQ64" s="384"/>
      <c r="VR64" s="384"/>
      <c r="VS64" s="384"/>
      <c r="VT64" s="384"/>
      <c r="VU64" s="384"/>
      <c r="VV64" s="384"/>
      <c r="VW64" s="384"/>
      <c r="VX64" s="384"/>
      <c r="VY64" s="384"/>
      <c r="VZ64" s="348"/>
      <c r="WA64" s="349"/>
      <c r="WB64" s="370"/>
      <c r="WC64" s="371"/>
      <c r="WD64" s="386"/>
      <c r="WE64" s="375" t="s">
        <v>604</v>
      </c>
      <c r="WF64" s="376"/>
      <c r="WG64" s="379"/>
      <c r="ZG64" s="357"/>
      <c r="ZH64" s="384"/>
      <c r="ZI64" s="384"/>
      <c r="ZJ64" s="384"/>
      <c r="ZK64" s="384"/>
      <c r="ZL64" s="384"/>
      <c r="ZM64" s="384"/>
      <c r="ZN64" s="384"/>
      <c r="ZO64" s="384"/>
      <c r="ZP64" s="384"/>
      <c r="ZQ64" s="384"/>
      <c r="ZR64" s="384"/>
      <c r="ZS64" s="384"/>
      <c r="ZT64" s="384"/>
      <c r="ZU64" s="348"/>
      <c r="ZV64" s="349"/>
      <c r="ZW64" s="370"/>
      <c r="ZX64" s="371"/>
      <c r="ZY64" s="386"/>
      <c r="ZZ64" s="375" t="s">
        <v>604</v>
      </c>
      <c r="AAA64" s="376"/>
      <c r="AAB64" s="379"/>
    </row>
    <row r="65" spans="5:704" ht="48" customHeight="1" thickBot="1" x14ac:dyDescent="0.35">
      <c r="E65" s="94"/>
      <c r="Z65" s="357"/>
      <c r="AA65" s="599"/>
      <c r="AB65" s="600"/>
      <c r="AC65" s="600"/>
      <c r="AD65" s="600"/>
      <c r="AE65" s="600"/>
      <c r="AF65" s="600"/>
      <c r="AG65" s="600"/>
      <c r="AH65" s="600"/>
      <c r="AI65" s="600"/>
      <c r="AJ65" s="600"/>
      <c r="AK65" s="600"/>
      <c r="AL65" s="600"/>
      <c r="AM65" s="601"/>
      <c r="AN65" s="534"/>
      <c r="AO65" s="535"/>
      <c r="AP65" s="584"/>
      <c r="AQ65" s="585"/>
      <c r="AR65" s="470"/>
      <c r="AS65" s="473"/>
      <c r="AT65" s="511"/>
      <c r="AU65" s="470"/>
      <c r="BE65" s="291"/>
      <c r="BF65" s="291"/>
      <c r="BG65" s="291"/>
      <c r="BH65" s="291"/>
      <c r="BI65" s="291"/>
      <c r="BJ65" s="291"/>
      <c r="BK65" s="291"/>
      <c r="BO65" s="358"/>
      <c r="BP65" s="517"/>
      <c r="BQ65" s="518"/>
      <c r="BR65" s="518"/>
      <c r="BS65" s="518"/>
      <c r="BT65" s="518"/>
      <c r="BU65" s="518"/>
      <c r="BV65" s="518"/>
      <c r="BW65" s="518"/>
      <c r="BX65" s="518"/>
      <c r="BY65" s="518"/>
      <c r="BZ65" s="518"/>
      <c r="CA65" s="518"/>
      <c r="CB65" s="440"/>
      <c r="CC65" s="443"/>
      <c r="CD65" s="444"/>
      <c r="CE65" s="538"/>
      <c r="CF65" s="539"/>
      <c r="CG65" s="387"/>
      <c r="CH65" s="377"/>
      <c r="CI65" s="378"/>
      <c r="CJ65" s="380"/>
      <c r="CK65" s="341"/>
      <c r="CL65" s="342"/>
      <c r="CM65" s="343"/>
      <c r="DA65" s="291"/>
      <c r="DB65" s="291"/>
      <c r="DC65" s="291"/>
      <c r="DD65" s="291"/>
      <c r="DE65" s="291"/>
      <c r="DF65" s="291"/>
      <c r="DG65" s="291"/>
      <c r="DH65" s="291"/>
      <c r="DI65" s="291"/>
      <c r="DJ65" s="291"/>
      <c r="DK65" s="291"/>
      <c r="DL65" s="291"/>
      <c r="DM65" s="291"/>
      <c r="DN65" s="291"/>
      <c r="DO65" s="291"/>
      <c r="DQ65" s="358"/>
      <c r="DR65" s="385"/>
      <c r="DS65" s="385"/>
      <c r="DT65" s="385"/>
      <c r="DU65" s="385"/>
      <c r="DV65" s="385"/>
      <c r="DW65" s="385"/>
      <c r="DX65" s="385"/>
      <c r="DY65" s="385"/>
      <c r="DZ65" s="385"/>
      <c r="EA65" s="385"/>
      <c r="EB65" s="385"/>
      <c r="EC65" s="385"/>
      <c r="ED65" s="351"/>
      <c r="EE65" s="426"/>
      <c r="EF65" s="427"/>
      <c r="EG65" s="389"/>
      <c r="EH65" s="372"/>
      <c r="EI65" s="387"/>
      <c r="EJ65" s="377"/>
      <c r="EK65" s="378"/>
      <c r="EL65" s="380"/>
      <c r="EW65" s="286"/>
      <c r="EX65" s="286"/>
      <c r="EY65" s="286"/>
      <c r="EZ65" s="286"/>
      <c r="FA65" s="286"/>
      <c r="FB65" s="286"/>
      <c r="FC65" s="286"/>
      <c r="FD65" s="286"/>
      <c r="FE65" s="286"/>
      <c r="FF65" s="286"/>
      <c r="FG65" s="286"/>
      <c r="FH65" s="286"/>
      <c r="FI65" s="286"/>
      <c r="FJ65" s="286"/>
      <c r="FK65" s="286"/>
      <c r="FL65" s="286"/>
      <c r="FM65" s="286"/>
      <c r="FN65" s="286"/>
      <c r="FO65" s="286"/>
      <c r="FT65" s="12"/>
      <c r="FU65" s="3"/>
      <c r="FV65" s="3"/>
      <c r="FW65" s="358"/>
      <c r="FX65" s="346"/>
      <c r="FY65" s="347"/>
      <c r="FZ65" s="347"/>
      <c r="GA65" s="347"/>
      <c r="GB65" s="347"/>
      <c r="GC65" s="347"/>
      <c r="GD65" s="347"/>
      <c r="GE65" s="347"/>
      <c r="GF65" s="347"/>
      <c r="GG65" s="347"/>
      <c r="GH65" s="347"/>
      <c r="GI65" s="347"/>
      <c r="GJ65" s="347"/>
      <c r="GK65" s="389"/>
      <c r="GL65" s="372"/>
      <c r="GM65" s="409"/>
      <c r="GN65" s="411"/>
      <c r="GO65" s="374"/>
      <c r="GP65" s="377"/>
      <c r="GQ65" s="378"/>
      <c r="GR65" s="380"/>
      <c r="IH65" s="358"/>
      <c r="II65" s="346"/>
      <c r="IJ65" s="347"/>
      <c r="IK65" s="347"/>
      <c r="IL65" s="347"/>
      <c r="IM65" s="347"/>
      <c r="IN65" s="347"/>
      <c r="IO65" s="347"/>
      <c r="IP65" s="347"/>
      <c r="IQ65" s="347"/>
      <c r="IR65" s="347"/>
      <c r="IS65" s="347"/>
      <c r="IT65" s="347"/>
      <c r="IU65" s="347"/>
      <c r="IV65" s="350"/>
      <c r="IW65" s="351"/>
      <c r="IX65" s="354"/>
      <c r="IY65" s="355"/>
      <c r="IZ65" s="387"/>
      <c r="JA65" s="377"/>
      <c r="JB65" s="378"/>
      <c r="JC65" s="380"/>
      <c r="KV65" s="1">
        <f>MD40/MD44</f>
        <v>496.18450171321911</v>
      </c>
      <c r="KW65" s="12"/>
      <c r="KX65" s="3"/>
      <c r="KY65" s="3"/>
      <c r="LP65" s="358"/>
      <c r="LQ65" s="346"/>
      <c r="LR65" s="347"/>
      <c r="LS65" s="347"/>
      <c r="LT65" s="347"/>
      <c r="LU65" s="347"/>
      <c r="LV65" s="347"/>
      <c r="LW65" s="347"/>
      <c r="LX65" s="347"/>
      <c r="LY65" s="347"/>
      <c r="LZ65" s="347"/>
      <c r="MA65" s="347"/>
      <c r="MB65" s="347"/>
      <c r="MC65" s="347"/>
      <c r="MD65" s="350"/>
      <c r="ME65" s="351"/>
      <c r="MF65" s="347"/>
      <c r="MG65" s="372"/>
      <c r="MH65" s="374"/>
      <c r="MI65" s="377"/>
      <c r="MJ65" s="378"/>
      <c r="MK65" s="380"/>
      <c r="OZ65" s="358"/>
      <c r="PA65" s="385"/>
      <c r="PB65" s="385"/>
      <c r="PC65" s="385"/>
      <c r="PD65" s="385"/>
      <c r="PE65" s="385"/>
      <c r="PF65" s="385"/>
      <c r="PG65" s="385"/>
      <c r="PH65" s="385"/>
      <c r="PI65" s="385"/>
      <c r="PJ65" s="385"/>
      <c r="PK65" s="385"/>
      <c r="PL65" s="385"/>
      <c r="PM65" s="392"/>
      <c r="PN65" s="350"/>
      <c r="PO65" s="351"/>
      <c r="PP65" s="347"/>
      <c r="PQ65" s="372"/>
      <c r="PR65" s="387"/>
      <c r="PS65" s="377"/>
      <c r="PT65" s="378"/>
      <c r="PU65" s="380"/>
      <c r="VL65" s="358"/>
      <c r="VM65" s="385"/>
      <c r="VN65" s="385"/>
      <c r="VO65" s="385"/>
      <c r="VP65" s="385"/>
      <c r="VQ65" s="385"/>
      <c r="VR65" s="385"/>
      <c r="VS65" s="385"/>
      <c r="VT65" s="385"/>
      <c r="VU65" s="385"/>
      <c r="VV65" s="385"/>
      <c r="VW65" s="385"/>
      <c r="VX65" s="385"/>
      <c r="VY65" s="385"/>
      <c r="VZ65" s="350"/>
      <c r="WA65" s="351"/>
      <c r="WB65" s="346"/>
      <c r="WC65" s="372"/>
      <c r="WD65" s="387"/>
      <c r="WE65" s="377"/>
      <c r="WF65" s="378"/>
      <c r="WG65" s="380"/>
      <c r="ZG65" s="358"/>
      <c r="ZH65" s="385"/>
      <c r="ZI65" s="385"/>
      <c r="ZJ65" s="385"/>
      <c r="ZK65" s="385"/>
      <c r="ZL65" s="385"/>
      <c r="ZM65" s="385"/>
      <c r="ZN65" s="385"/>
      <c r="ZO65" s="385"/>
      <c r="ZP65" s="385"/>
      <c r="ZQ65" s="385"/>
      <c r="ZR65" s="385"/>
      <c r="ZS65" s="385"/>
      <c r="ZT65" s="385"/>
      <c r="ZU65" s="350"/>
      <c r="ZV65" s="351"/>
      <c r="ZW65" s="346"/>
      <c r="ZX65" s="372"/>
      <c r="ZY65" s="387"/>
      <c r="ZZ65" s="377"/>
      <c r="AAA65" s="378"/>
      <c r="AAB65" s="380"/>
    </row>
    <row r="66" spans="5:704" ht="48" customHeight="1" thickBot="1" x14ac:dyDescent="0.35">
      <c r="E66" s="94"/>
      <c r="Z66" s="358"/>
      <c r="AA66" s="575"/>
      <c r="AB66" s="544"/>
      <c r="AC66" s="544"/>
      <c r="AD66" s="544"/>
      <c r="AE66" s="544"/>
      <c r="AF66" s="544"/>
      <c r="AG66" s="544"/>
      <c r="AH66" s="544"/>
      <c r="AI66" s="544"/>
      <c r="AJ66" s="544"/>
      <c r="AK66" s="544"/>
      <c r="AL66" s="544"/>
      <c r="AM66" s="545"/>
      <c r="AN66" s="426"/>
      <c r="AO66" s="427"/>
      <c r="AP66" s="422"/>
      <c r="AQ66" s="423"/>
      <c r="AR66" s="278"/>
      <c r="AS66" s="279"/>
      <c r="AT66" s="279"/>
      <c r="AU66" s="280"/>
      <c r="BE66" s="291"/>
      <c r="BF66" s="291"/>
      <c r="BG66" s="291"/>
      <c r="BH66" s="291"/>
      <c r="BI66" s="291"/>
      <c r="BJ66" s="291"/>
      <c r="BK66" s="291"/>
      <c r="DA66" s="291"/>
      <c r="DB66" s="291"/>
      <c r="DC66" s="291"/>
      <c r="DD66" s="291"/>
      <c r="DE66" s="291"/>
      <c r="DF66" s="291"/>
      <c r="DG66" s="291"/>
      <c r="DH66" s="291"/>
      <c r="DI66" s="291"/>
      <c r="DJ66" s="291"/>
      <c r="DK66" s="291"/>
      <c r="DL66" s="291"/>
      <c r="DM66" s="291"/>
      <c r="DN66" s="291"/>
      <c r="DO66" s="291"/>
      <c r="EW66" s="286"/>
      <c r="EX66" s="286"/>
      <c r="EY66" s="286"/>
      <c r="EZ66" s="286"/>
      <c r="FA66" s="286"/>
      <c r="FB66" s="286"/>
      <c r="FC66" s="286"/>
      <c r="FD66" s="286"/>
      <c r="FE66" s="286"/>
      <c r="FF66" s="286"/>
      <c r="FG66" s="286"/>
      <c r="FH66" s="286"/>
      <c r="FI66" s="286"/>
      <c r="FJ66" s="286"/>
      <c r="FK66" s="286"/>
      <c r="FL66" s="286"/>
      <c r="FM66" s="286"/>
      <c r="FN66" s="286"/>
      <c r="FO66" s="286"/>
      <c r="FT66" s="12"/>
      <c r="FU66" s="3"/>
      <c r="FV66" s="3"/>
      <c r="GO66" s="16"/>
      <c r="GP66" s="16"/>
      <c r="JZ66" s="8"/>
      <c r="KW66" s="12"/>
      <c r="KX66" s="3"/>
      <c r="KY66" s="3"/>
    </row>
    <row r="67" spans="5:704" ht="48" customHeight="1" thickBot="1" x14ac:dyDescent="0.35">
      <c r="E67" s="94"/>
      <c r="F67" s="1"/>
      <c r="BE67" s="291"/>
      <c r="BF67" s="291"/>
      <c r="BG67" s="291"/>
      <c r="BH67" s="291"/>
      <c r="BI67" s="291"/>
      <c r="BJ67" s="291"/>
      <c r="BK67" s="291"/>
      <c r="BO67" s="356"/>
      <c r="BP67" s="297" t="s">
        <v>604</v>
      </c>
      <c r="BQ67" s="298"/>
      <c r="BR67" s="295"/>
      <c r="BS67" s="303" t="s">
        <v>38</v>
      </c>
      <c r="BT67" s="175"/>
      <c r="BU67" s="175"/>
      <c r="BV67" s="175"/>
      <c r="BW67" s="175"/>
      <c r="BX67" s="175"/>
      <c r="BY67" s="295"/>
      <c r="BZ67" s="173" t="s">
        <v>629</v>
      </c>
      <c r="CA67" s="359" t="s">
        <v>623</v>
      </c>
      <c r="CB67" s="381"/>
      <c r="CC67" s="382" t="s">
        <v>189</v>
      </c>
      <c r="CD67" s="383"/>
      <c r="CE67" s="363" t="s">
        <v>910</v>
      </c>
      <c r="CF67" s="364"/>
      <c r="CG67" s="365" t="s">
        <v>638</v>
      </c>
      <c r="CH67" s="366"/>
      <c r="CI67" s="366"/>
      <c r="CJ67" s="367"/>
      <c r="CK67" s="337" t="s">
        <v>624</v>
      </c>
      <c r="CL67" s="337"/>
      <c r="CM67" s="337"/>
      <c r="CN67" s="337"/>
      <c r="DA67" s="291"/>
      <c r="DB67" s="291"/>
      <c r="DC67" s="291"/>
      <c r="DD67" s="291"/>
      <c r="DE67" s="291"/>
      <c r="DF67" s="291"/>
      <c r="DG67" s="291"/>
      <c r="DH67" s="291"/>
      <c r="DI67" s="291"/>
      <c r="DJ67" s="291"/>
      <c r="DK67" s="291"/>
      <c r="DL67" s="291"/>
      <c r="DM67" s="291"/>
      <c r="DN67" s="291"/>
      <c r="DO67" s="291"/>
      <c r="DQ67" s="173" t="s">
        <v>1050</v>
      </c>
      <c r="DR67" s="297" t="s">
        <v>604</v>
      </c>
      <c r="DS67" s="298"/>
      <c r="DT67" s="315"/>
      <c r="DU67" s="175"/>
      <c r="DV67" s="175"/>
      <c r="DW67" s="175"/>
      <c r="DX67" s="175"/>
      <c r="DY67" s="175"/>
      <c r="DZ67" s="175"/>
      <c r="EA67" s="315"/>
      <c r="EB67" s="173" t="s">
        <v>629</v>
      </c>
      <c r="EC67" s="359" t="s">
        <v>623</v>
      </c>
      <c r="ED67" s="381"/>
      <c r="EE67" s="382" t="s">
        <v>189</v>
      </c>
      <c r="EF67" s="383"/>
      <c r="EG67" s="363" t="s">
        <v>910</v>
      </c>
      <c r="EH67" s="364"/>
      <c r="EI67" s="365" t="s">
        <v>638</v>
      </c>
      <c r="EJ67" s="366"/>
      <c r="EK67" s="366"/>
      <c r="EL67" s="367"/>
      <c r="EW67" s="286"/>
      <c r="EX67" s="286"/>
      <c r="EY67" s="286"/>
      <c r="EZ67" s="286"/>
      <c r="FA67" s="286"/>
      <c r="FB67" s="286"/>
      <c r="FC67" s="286"/>
      <c r="FD67" s="286"/>
      <c r="FE67" s="286"/>
      <c r="FF67" s="286"/>
      <c r="FG67" s="286"/>
      <c r="FH67" s="286"/>
      <c r="FI67" s="286"/>
      <c r="FJ67" s="286"/>
      <c r="FK67" s="286"/>
      <c r="FL67" s="286"/>
      <c r="FM67" s="286"/>
      <c r="FN67" s="286"/>
      <c r="FO67" s="286"/>
      <c r="FP67" s="286"/>
      <c r="FQ67" s="286"/>
      <c r="FR67" s="286"/>
      <c r="FT67" s="12"/>
      <c r="FU67" s="3"/>
      <c r="FV67" s="3"/>
      <c r="FW67" s="356"/>
      <c r="FX67" s="297" t="s">
        <v>604</v>
      </c>
      <c r="FY67" s="298"/>
      <c r="FZ67" s="315"/>
      <c r="GA67" s="175"/>
      <c r="GB67" s="175"/>
      <c r="GC67" s="175"/>
      <c r="GD67" s="175"/>
      <c r="GE67" s="175"/>
      <c r="GF67" s="175"/>
      <c r="GG67" s="315"/>
      <c r="GH67" s="173" t="s">
        <v>629</v>
      </c>
      <c r="GI67" s="359" t="s">
        <v>623</v>
      </c>
      <c r="GJ67" s="381"/>
      <c r="GK67" s="382" t="s">
        <v>189</v>
      </c>
      <c r="GL67" s="383"/>
      <c r="GM67" s="363" t="s">
        <v>910</v>
      </c>
      <c r="GN67" s="364"/>
      <c r="GO67" s="365" t="s">
        <v>638</v>
      </c>
      <c r="GP67" s="366"/>
      <c r="GQ67" s="366"/>
      <c r="GR67" s="367"/>
      <c r="IH67" s="356"/>
      <c r="II67" s="297" t="s">
        <v>604</v>
      </c>
      <c r="IJ67" s="298"/>
      <c r="IK67" s="321"/>
      <c r="IL67" s="175"/>
      <c r="IM67" s="175"/>
      <c r="IN67" s="175"/>
      <c r="IO67" s="175"/>
      <c r="IP67" s="175"/>
      <c r="IQ67" s="175"/>
      <c r="IR67" s="321"/>
      <c r="IS67" s="173" t="s">
        <v>629</v>
      </c>
      <c r="IT67" s="359" t="s">
        <v>623</v>
      </c>
      <c r="IU67" s="360"/>
      <c r="IV67" s="361" t="s">
        <v>189</v>
      </c>
      <c r="IW67" s="362"/>
      <c r="IX67" s="363" t="s">
        <v>910</v>
      </c>
      <c r="IY67" s="364"/>
      <c r="IZ67" s="365" t="s">
        <v>638</v>
      </c>
      <c r="JA67" s="366"/>
      <c r="JB67" s="366"/>
      <c r="JC67" s="367"/>
      <c r="KW67" s="12"/>
      <c r="KX67" s="3"/>
      <c r="KY67" s="3"/>
      <c r="LP67" s="356"/>
      <c r="LQ67" s="297" t="s">
        <v>604</v>
      </c>
      <c r="LR67" s="298"/>
      <c r="LS67" s="321"/>
      <c r="LT67" s="175"/>
      <c r="LU67" s="175"/>
      <c r="LV67" s="175"/>
      <c r="LW67" s="175"/>
      <c r="LX67" s="175"/>
      <c r="LY67" s="175"/>
      <c r="LZ67" s="321"/>
      <c r="MA67" s="173" t="s">
        <v>629</v>
      </c>
      <c r="MB67" s="359" t="s">
        <v>623</v>
      </c>
      <c r="MC67" s="360"/>
      <c r="MD67" s="361" t="s">
        <v>189</v>
      </c>
      <c r="ME67" s="362"/>
      <c r="MF67" s="363" t="s">
        <v>910</v>
      </c>
      <c r="MG67" s="364"/>
      <c r="MH67" s="365" t="s">
        <v>638</v>
      </c>
      <c r="MI67" s="366"/>
      <c r="MJ67" s="366"/>
      <c r="MK67" s="367"/>
      <c r="OZ67" s="356"/>
      <c r="PA67" s="297" t="s">
        <v>604</v>
      </c>
      <c r="PB67" s="298"/>
      <c r="PC67" s="321"/>
      <c r="PD67" s="175"/>
      <c r="PE67" s="175"/>
      <c r="PF67" s="175"/>
      <c r="PG67" s="175"/>
      <c r="PH67" s="175"/>
      <c r="PI67" s="175"/>
      <c r="PJ67" s="321"/>
      <c r="PK67" s="173" t="s">
        <v>629</v>
      </c>
      <c r="PL67" s="359" t="s">
        <v>623</v>
      </c>
      <c r="PM67" s="360"/>
      <c r="PN67" s="382" t="s">
        <v>189</v>
      </c>
      <c r="PO67" s="383"/>
      <c r="PP67" s="363" t="s">
        <v>910</v>
      </c>
      <c r="PQ67" s="364"/>
      <c r="PR67" s="365" t="s">
        <v>638</v>
      </c>
      <c r="PS67" s="366"/>
      <c r="PT67" s="366"/>
      <c r="PU67" s="367"/>
      <c r="QZ67" s="7"/>
      <c r="RA67" s="12"/>
      <c r="RB67" s="3"/>
      <c r="RC67" s="3"/>
      <c r="RF67" s="12"/>
      <c r="RG67" s="3"/>
      <c r="RH67" s="3"/>
      <c r="VL67" s="356"/>
      <c r="VM67" s="297" t="s">
        <v>604</v>
      </c>
      <c r="VN67" s="298"/>
      <c r="VO67" s="321"/>
      <c r="VP67" s="175"/>
      <c r="VQ67" s="175"/>
      <c r="VR67" s="175"/>
      <c r="VS67" s="175"/>
      <c r="VT67" s="175"/>
      <c r="VU67" s="175"/>
      <c r="VV67" s="321"/>
      <c r="VW67" s="173" t="s">
        <v>629</v>
      </c>
      <c r="VX67" s="359" t="s">
        <v>623</v>
      </c>
      <c r="VY67" s="360"/>
      <c r="VZ67" s="361" t="s">
        <v>189</v>
      </c>
      <c r="WA67" s="362"/>
      <c r="WB67" s="363" t="s">
        <v>910</v>
      </c>
      <c r="WC67" s="364"/>
      <c r="WD67" s="365" t="s">
        <v>638</v>
      </c>
      <c r="WE67" s="366"/>
      <c r="WF67" s="366"/>
      <c r="WG67" s="367"/>
      <c r="ZG67" s="356"/>
      <c r="ZH67" s="297" t="s">
        <v>604</v>
      </c>
      <c r="ZI67" s="298"/>
      <c r="ZJ67" s="321"/>
      <c r="ZK67" s="175"/>
      <c r="ZL67" s="175"/>
      <c r="ZM67" s="175"/>
      <c r="ZN67" s="175"/>
      <c r="ZO67" s="175"/>
      <c r="ZP67" s="175"/>
      <c r="ZQ67" s="321"/>
      <c r="ZR67" s="173" t="s">
        <v>629</v>
      </c>
      <c r="ZS67" s="359" t="s">
        <v>623</v>
      </c>
      <c r="ZT67" s="360"/>
      <c r="ZU67" s="361" t="s">
        <v>189</v>
      </c>
      <c r="ZV67" s="362"/>
      <c r="ZW67" s="363" t="s">
        <v>910</v>
      </c>
      <c r="ZX67" s="364"/>
      <c r="ZY67" s="365" t="s">
        <v>638</v>
      </c>
      <c r="ZZ67" s="366"/>
      <c r="AAA67" s="366"/>
      <c r="AAB67" s="367"/>
    </row>
    <row r="68" spans="5:704" ht="48" customHeight="1" thickBot="1" x14ac:dyDescent="0.35">
      <c r="G68" s="3"/>
      <c r="H68" s="3"/>
      <c r="I68" s="3"/>
      <c r="J68" s="3"/>
      <c r="Z68" s="548" t="s">
        <v>974</v>
      </c>
      <c r="AA68" s="356"/>
      <c r="AB68" s="572" t="s">
        <v>604</v>
      </c>
      <c r="AC68" s="572"/>
      <c r="AD68" s="174"/>
      <c r="AE68" s="175"/>
      <c r="AF68" s="175"/>
      <c r="AG68" s="175"/>
      <c r="AH68" s="175"/>
      <c r="AI68" s="175"/>
      <c r="AJ68" s="175"/>
      <c r="AK68" s="174"/>
      <c r="AL68" s="173" t="s">
        <v>629</v>
      </c>
      <c r="AM68" s="359" t="s">
        <v>623</v>
      </c>
      <c r="AN68" s="381"/>
      <c r="AO68" s="382" t="s">
        <v>189</v>
      </c>
      <c r="AP68" s="383"/>
      <c r="AQ68" s="363" t="s">
        <v>910</v>
      </c>
      <c r="AR68" s="364"/>
      <c r="AS68" s="365" t="s">
        <v>638</v>
      </c>
      <c r="AT68" s="366"/>
      <c r="AU68" s="366"/>
      <c r="AV68" s="367"/>
      <c r="BE68" s="291"/>
      <c r="BF68" s="291"/>
      <c r="BG68" s="291"/>
      <c r="BH68" s="291"/>
      <c r="BI68" s="291"/>
      <c r="BJ68" s="291"/>
      <c r="BK68" s="291"/>
      <c r="BO68" s="357"/>
      <c r="BP68" s="514" t="s">
        <v>37</v>
      </c>
      <c r="BQ68" s="515"/>
      <c r="BR68" s="515"/>
      <c r="BS68" s="515"/>
      <c r="BT68" s="515"/>
      <c r="BU68" s="515"/>
      <c r="BV68" s="515"/>
      <c r="BW68" s="515"/>
      <c r="BX68" s="515"/>
      <c r="BY68" s="515"/>
      <c r="BZ68" s="515"/>
      <c r="CA68" s="515"/>
      <c r="CB68" s="516"/>
      <c r="CC68" s="437">
        <f>(2*CC48*CC64*CD32)/(3.14*AN32)</f>
        <v>33307.334191464055</v>
      </c>
      <c r="CD68" s="438"/>
      <c r="CE68" s="420" t="s">
        <v>20</v>
      </c>
      <c r="CF68" s="421"/>
      <c r="CG68" s="386"/>
      <c r="CH68" s="375" t="s">
        <v>604</v>
      </c>
      <c r="CI68" s="376"/>
      <c r="CJ68" s="379"/>
      <c r="CK68" s="399"/>
      <c r="CL68" s="399"/>
      <c r="CM68" s="399"/>
      <c r="CN68" s="399"/>
      <c r="DA68" s="291"/>
      <c r="DB68" s="291"/>
      <c r="DC68" s="291"/>
      <c r="DD68" s="291"/>
      <c r="DE68" s="291"/>
      <c r="DF68" s="291"/>
      <c r="DG68" s="291"/>
      <c r="DH68" s="291"/>
      <c r="DI68" s="291"/>
      <c r="DJ68" s="291"/>
      <c r="DK68" s="291"/>
      <c r="DL68" s="291"/>
      <c r="DM68" s="291"/>
      <c r="DN68" s="291"/>
      <c r="DO68" s="291"/>
      <c r="DQ68" s="356"/>
      <c r="DR68" s="384" t="s">
        <v>73</v>
      </c>
      <c r="DS68" s="384"/>
      <c r="DT68" s="384"/>
      <c r="DU68" s="384"/>
      <c r="DV68" s="384"/>
      <c r="DW68" s="384"/>
      <c r="DX68" s="384"/>
      <c r="DY68" s="384"/>
      <c r="DZ68" s="384"/>
      <c r="EA68" s="384"/>
      <c r="EB68" s="384"/>
      <c r="EC68" s="384"/>
      <c r="ED68" s="447"/>
      <c r="EE68" s="348">
        <f>((3.14*(AN32*1000+2*EE52)))/CC28-EE28</f>
        <v>11.035570843536657</v>
      </c>
      <c r="EF68" s="349"/>
      <c r="EG68" s="420" t="s">
        <v>53</v>
      </c>
      <c r="EH68" s="421"/>
      <c r="EI68" s="386"/>
      <c r="EJ68" s="375" t="s">
        <v>604</v>
      </c>
      <c r="EK68" s="376"/>
      <c r="EL68" s="379"/>
      <c r="EW68" s="286"/>
      <c r="EX68" s="286"/>
      <c r="EY68" s="286"/>
      <c r="EZ68" s="286"/>
      <c r="FA68" s="286"/>
      <c r="FB68" s="286"/>
      <c r="FC68" s="286"/>
      <c r="FD68" s="286"/>
      <c r="FE68" s="286"/>
      <c r="FF68" s="286"/>
      <c r="FG68" s="286"/>
      <c r="FH68" s="286"/>
      <c r="FI68" s="286"/>
      <c r="FJ68" s="286"/>
      <c r="FK68" s="286"/>
      <c r="FL68" s="286"/>
      <c r="FM68" s="286"/>
      <c r="FN68" s="286"/>
      <c r="FO68" s="286"/>
      <c r="FP68" s="286"/>
      <c r="FQ68" s="286"/>
      <c r="FR68" s="286"/>
      <c r="FT68" s="12"/>
      <c r="FU68" s="3"/>
      <c r="FV68" s="3"/>
      <c r="FW68" s="357"/>
      <c r="FX68" s="344" t="s">
        <v>191</v>
      </c>
      <c r="FY68" s="345"/>
      <c r="FZ68" s="345"/>
      <c r="GA68" s="345"/>
      <c r="GB68" s="345"/>
      <c r="GC68" s="345"/>
      <c r="GD68" s="345"/>
      <c r="GE68" s="345"/>
      <c r="GF68" s="345"/>
      <c r="GG68" s="345"/>
      <c r="GH68" s="345"/>
      <c r="GI68" s="345"/>
      <c r="GJ68" s="345"/>
      <c r="GK68" s="388">
        <v>0.7</v>
      </c>
      <c r="GL68" s="371"/>
      <c r="GM68" s="406"/>
      <c r="GN68" s="408"/>
      <c r="GO68" s="386"/>
      <c r="GP68" s="375" t="s">
        <v>604</v>
      </c>
      <c r="GQ68" s="376"/>
      <c r="GR68" s="379"/>
      <c r="IH68" s="357"/>
      <c r="II68" s="344" t="s">
        <v>94</v>
      </c>
      <c r="IJ68" s="345"/>
      <c r="IK68" s="345"/>
      <c r="IL68" s="345"/>
      <c r="IM68" s="345"/>
      <c r="IN68" s="345"/>
      <c r="IO68" s="345"/>
      <c r="IP68" s="345"/>
      <c r="IQ68" s="345"/>
      <c r="IR68" s="345"/>
      <c r="IS68" s="345"/>
      <c r="IT68" s="345"/>
      <c r="IU68" s="345"/>
      <c r="IV68" s="348">
        <f>1+(IV48+IV60)/IV36</f>
        <v>1.3172831081053413</v>
      </c>
      <c r="IW68" s="349"/>
      <c r="IX68" s="352"/>
      <c r="IY68" s="353"/>
      <c r="IZ68" s="373"/>
      <c r="JA68" s="375" t="s">
        <v>604</v>
      </c>
      <c r="JB68" s="376"/>
      <c r="JC68" s="379"/>
      <c r="JZ68" s="8"/>
      <c r="KW68" s="12"/>
      <c r="KX68" s="3"/>
      <c r="KY68" s="3"/>
      <c r="LP68" s="357"/>
      <c r="LQ68" s="344" t="s">
        <v>145</v>
      </c>
      <c r="LR68" s="345"/>
      <c r="LS68" s="345"/>
      <c r="LT68" s="345"/>
      <c r="LU68" s="345"/>
      <c r="LV68" s="345"/>
      <c r="LW68" s="345"/>
      <c r="LX68" s="345"/>
      <c r="LY68" s="345"/>
      <c r="LZ68" s="345"/>
      <c r="MA68" s="345"/>
      <c r="MB68" s="345"/>
      <c r="MC68" s="345"/>
      <c r="MD68" s="348">
        <v>1</v>
      </c>
      <c r="ME68" s="349"/>
      <c r="MF68" s="390"/>
      <c r="MG68" s="371"/>
      <c r="MH68" s="373"/>
      <c r="MI68" s="375" t="s">
        <v>604</v>
      </c>
      <c r="MJ68" s="376"/>
      <c r="MK68" s="379"/>
      <c r="OZ68" s="357"/>
      <c r="PA68" s="344"/>
      <c r="PB68" s="345"/>
      <c r="PC68" s="345"/>
      <c r="PD68" s="345"/>
      <c r="PE68" s="345"/>
      <c r="PF68" s="345"/>
      <c r="PG68" s="345"/>
      <c r="PH68" s="345"/>
      <c r="PI68" s="345"/>
      <c r="PJ68" s="345"/>
      <c r="PK68" s="345"/>
      <c r="PL68" s="345"/>
      <c r="PM68" s="345"/>
      <c r="PN68" s="388"/>
      <c r="PO68" s="371"/>
      <c r="PP68" s="390"/>
      <c r="PQ68" s="371"/>
      <c r="PR68" s="373"/>
      <c r="PS68" s="375" t="s">
        <v>604</v>
      </c>
      <c r="PT68" s="376"/>
      <c r="PU68" s="379"/>
      <c r="QZ68" s="7"/>
      <c r="RA68" s="12"/>
      <c r="RB68" s="3"/>
      <c r="RC68" s="3"/>
      <c r="RF68" s="12"/>
      <c r="RG68" s="3"/>
      <c r="RH68" s="3"/>
      <c r="VL68" s="357"/>
      <c r="VM68" s="344"/>
      <c r="VN68" s="345"/>
      <c r="VO68" s="345"/>
      <c r="VP68" s="345"/>
      <c r="VQ68" s="345"/>
      <c r="VR68" s="345"/>
      <c r="VS68" s="345"/>
      <c r="VT68" s="345"/>
      <c r="VU68" s="345"/>
      <c r="VV68" s="345"/>
      <c r="VW68" s="345"/>
      <c r="VX68" s="345"/>
      <c r="VY68" s="368"/>
      <c r="VZ68" s="348"/>
      <c r="WA68" s="349"/>
      <c r="WB68" s="370"/>
      <c r="WC68" s="371"/>
      <c r="WD68" s="373"/>
      <c r="WE68" s="375" t="s">
        <v>604</v>
      </c>
      <c r="WF68" s="376"/>
      <c r="WG68" s="379"/>
      <c r="ZG68" s="357"/>
      <c r="ZH68" s="344"/>
      <c r="ZI68" s="345"/>
      <c r="ZJ68" s="345"/>
      <c r="ZK68" s="345"/>
      <c r="ZL68" s="345"/>
      <c r="ZM68" s="345"/>
      <c r="ZN68" s="345"/>
      <c r="ZO68" s="345"/>
      <c r="ZP68" s="345"/>
      <c r="ZQ68" s="345"/>
      <c r="ZR68" s="345"/>
      <c r="ZS68" s="345"/>
      <c r="ZT68" s="368"/>
      <c r="ZU68" s="348"/>
      <c r="ZV68" s="349"/>
      <c r="ZW68" s="370"/>
      <c r="ZX68" s="371"/>
      <c r="ZY68" s="373"/>
      <c r="ZZ68" s="375" t="s">
        <v>604</v>
      </c>
      <c r="AAA68" s="376"/>
      <c r="AAB68" s="379"/>
    </row>
    <row r="69" spans="5:704" ht="48" customHeight="1" thickBot="1" x14ac:dyDescent="0.35">
      <c r="G69" s="3"/>
      <c r="H69" s="3"/>
      <c r="I69" s="3"/>
      <c r="J69" s="3"/>
      <c r="Z69" s="549"/>
      <c r="AA69" s="357"/>
      <c r="AB69" s="514" t="s">
        <v>23</v>
      </c>
      <c r="AC69" s="515"/>
      <c r="AD69" s="515"/>
      <c r="AE69" s="515"/>
      <c r="AF69" s="515"/>
      <c r="AG69" s="515"/>
      <c r="AH69" s="515"/>
      <c r="AI69" s="515"/>
      <c r="AJ69" s="515"/>
      <c r="AK69" s="515"/>
      <c r="AL69" s="515"/>
      <c r="AM69" s="515"/>
      <c r="AN69" s="515"/>
      <c r="AO69" s="616">
        <v>1.1000000000000001</v>
      </c>
      <c r="AP69" s="617"/>
      <c r="AQ69" s="420" t="s">
        <v>915</v>
      </c>
      <c r="AR69" s="421"/>
      <c r="AS69" s="379"/>
      <c r="AT69" s="416" t="s">
        <v>967</v>
      </c>
      <c r="AU69" s="417"/>
      <c r="AV69" s="379"/>
      <c r="BI69" s="291"/>
      <c r="BJ69" s="291"/>
      <c r="BK69" s="291"/>
      <c r="BO69" s="358"/>
      <c r="BP69" s="517"/>
      <c r="BQ69" s="518"/>
      <c r="BR69" s="518"/>
      <c r="BS69" s="518"/>
      <c r="BT69" s="518"/>
      <c r="BU69" s="518"/>
      <c r="BV69" s="518"/>
      <c r="BW69" s="518"/>
      <c r="BX69" s="518"/>
      <c r="BY69" s="518"/>
      <c r="BZ69" s="518"/>
      <c r="CA69" s="518"/>
      <c r="CB69" s="440"/>
      <c r="CC69" s="439"/>
      <c r="CD69" s="440"/>
      <c r="CE69" s="422"/>
      <c r="CF69" s="423"/>
      <c r="CG69" s="387"/>
      <c r="CH69" s="377"/>
      <c r="CI69" s="378"/>
      <c r="CJ69" s="380"/>
      <c r="CK69" s="400"/>
      <c r="CL69" s="400"/>
      <c r="CM69" s="400"/>
      <c r="CN69" s="400"/>
      <c r="DA69" s="291"/>
      <c r="DB69" s="291"/>
      <c r="DC69" s="291"/>
      <c r="DD69" s="291"/>
      <c r="DE69" s="291"/>
      <c r="DF69" s="291"/>
      <c r="DG69" s="291"/>
      <c r="DH69" s="291"/>
      <c r="DI69" s="291"/>
      <c r="DJ69" s="291"/>
      <c r="DK69" s="291"/>
      <c r="DL69" s="291"/>
      <c r="DM69" s="291"/>
      <c r="DN69" s="291"/>
      <c r="DO69" s="291"/>
      <c r="DQ69" s="358"/>
      <c r="DR69" s="385"/>
      <c r="DS69" s="385"/>
      <c r="DT69" s="385"/>
      <c r="DU69" s="385"/>
      <c r="DV69" s="385"/>
      <c r="DW69" s="385"/>
      <c r="DX69" s="385"/>
      <c r="DY69" s="385"/>
      <c r="DZ69" s="385"/>
      <c r="EA69" s="385"/>
      <c r="EB69" s="385"/>
      <c r="EC69" s="385"/>
      <c r="ED69" s="351"/>
      <c r="EE69" s="350"/>
      <c r="EF69" s="351"/>
      <c r="EG69" s="422"/>
      <c r="EH69" s="423"/>
      <c r="EI69" s="387"/>
      <c r="EJ69" s="377"/>
      <c r="EK69" s="378"/>
      <c r="EL69" s="380"/>
      <c r="EW69" s="286"/>
      <c r="EX69" s="286"/>
      <c r="EY69" s="286"/>
      <c r="EZ69" s="286"/>
      <c r="FA69" s="286"/>
      <c r="FB69" s="286"/>
      <c r="FC69" s="286"/>
      <c r="FD69" s="286"/>
      <c r="FE69" s="286"/>
      <c r="FF69" s="286"/>
      <c r="FG69" s="286"/>
      <c r="FH69" s="286"/>
      <c r="FI69" s="286"/>
      <c r="FJ69" s="286"/>
      <c r="FK69" s="286"/>
      <c r="FL69" s="286"/>
      <c r="FM69" s="286"/>
      <c r="FN69" s="286"/>
      <c r="FO69" s="286"/>
      <c r="FP69" s="286"/>
      <c r="FQ69" s="286"/>
      <c r="FR69" s="286"/>
      <c r="FU69" s="3"/>
      <c r="FV69" s="3"/>
      <c r="FW69" s="358"/>
      <c r="FX69" s="346"/>
      <c r="FY69" s="347"/>
      <c r="FZ69" s="347"/>
      <c r="GA69" s="347"/>
      <c r="GB69" s="347"/>
      <c r="GC69" s="347"/>
      <c r="GD69" s="347"/>
      <c r="GE69" s="347"/>
      <c r="GF69" s="347"/>
      <c r="GG69" s="347"/>
      <c r="GH69" s="347"/>
      <c r="GI69" s="347"/>
      <c r="GJ69" s="347"/>
      <c r="GK69" s="389"/>
      <c r="GL69" s="372"/>
      <c r="GM69" s="409"/>
      <c r="GN69" s="411"/>
      <c r="GO69" s="387"/>
      <c r="GP69" s="377"/>
      <c r="GQ69" s="378"/>
      <c r="GR69" s="380"/>
      <c r="IH69" s="358"/>
      <c r="II69" s="346"/>
      <c r="IJ69" s="347"/>
      <c r="IK69" s="347"/>
      <c r="IL69" s="347"/>
      <c r="IM69" s="347"/>
      <c r="IN69" s="347"/>
      <c r="IO69" s="347"/>
      <c r="IP69" s="347"/>
      <c r="IQ69" s="347"/>
      <c r="IR69" s="347"/>
      <c r="IS69" s="347"/>
      <c r="IT69" s="347"/>
      <c r="IU69" s="347"/>
      <c r="IV69" s="350"/>
      <c r="IW69" s="351"/>
      <c r="IX69" s="354"/>
      <c r="IY69" s="355"/>
      <c r="IZ69" s="374"/>
      <c r="JA69" s="377"/>
      <c r="JB69" s="378"/>
      <c r="JC69" s="380"/>
      <c r="KW69" s="12"/>
      <c r="KX69" s="3"/>
      <c r="KY69" s="3"/>
      <c r="LP69" s="358"/>
      <c r="LQ69" s="346"/>
      <c r="LR69" s="347"/>
      <c r="LS69" s="347"/>
      <c r="LT69" s="347"/>
      <c r="LU69" s="347"/>
      <c r="LV69" s="347"/>
      <c r="LW69" s="347"/>
      <c r="LX69" s="347"/>
      <c r="LY69" s="347"/>
      <c r="LZ69" s="347"/>
      <c r="MA69" s="347"/>
      <c r="MB69" s="347"/>
      <c r="MC69" s="347"/>
      <c r="MD69" s="350"/>
      <c r="ME69" s="351"/>
      <c r="MF69" s="347"/>
      <c r="MG69" s="372"/>
      <c r="MH69" s="374"/>
      <c r="MI69" s="377"/>
      <c r="MJ69" s="378"/>
      <c r="MK69" s="380"/>
      <c r="OZ69" s="358"/>
      <c r="PA69" s="346"/>
      <c r="PB69" s="347"/>
      <c r="PC69" s="347"/>
      <c r="PD69" s="347"/>
      <c r="PE69" s="347"/>
      <c r="PF69" s="347"/>
      <c r="PG69" s="347"/>
      <c r="PH69" s="347"/>
      <c r="PI69" s="347"/>
      <c r="PJ69" s="347"/>
      <c r="PK69" s="347"/>
      <c r="PL69" s="347"/>
      <c r="PM69" s="347"/>
      <c r="PN69" s="389"/>
      <c r="PO69" s="372"/>
      <c r="PP69" s="347"/>
      <c r="PQ69" s="372"/>
      <c r="PR69" s="374"/>
      <c r="PS69" s="377"/>
      <c r="PT69" s="378"/>
      <c r="PU69" s="380"/>
      <c r="QZ69" s="7"/>
      <c r="RA69" s="12"/>
      <c r="RB69" s="3"/>
      <c r="RC69" s="3"/>
      <c r="RF69" s="12"/>
      <c r="RG69" s="3"/>
      <c r="RH69" s="3"/>
      <c r="VL69" s="358"/>
      <c r="VM69" s="346"/>
      <c r="VN69" s="347"/>
      <c r="VO69" s="347"/>
      <c r="VP69" s="347"/>
      <c r="VQ69" s="347"/>
      <c r="VR69" s="347"/>
      <c r="VS69" s="347"/>
      <c r="VT69" s="347"/>
      <c r="VU69" s="347"/>
      <c r="VV69" s="347"/>
      <c r="VW69" s="347"/>
      <c r="VX69" s="347"/>
      <c r="VY69" s="369"/>
      <c r="VZ69" s="350"/>
      <c r="WA69" s="351"/>
      <c r="WB69" s="346"/>
      <c r="WC69" s="372"/>
      <c r="WD69" s="374"/>
      <c r="WE69" s="377"/>
      <c r="WF69" s="378"/>
      <c r="WG69" s="380"/>
      <c r="ZG69" s="358"/>
      <c r="ZH69" s="346"/>
      <c r="ZI69" s="347"/>
      <c r="ZJ69" s="347"/>
      <c r="ZK69" s="347"/>
      <c r="ZL69" s="347"/>
      <c r="ZM69" s="347"/>
      <c r="ZN69" s="347"/>
      <c r="ZO69" s="347"/>
      <c r="ZP69" s="347"/>
      <c r="ZQ69" s="347"/>
      <c r="ZR69" s="347"/>
      <c r="ZS69" s="347"/>
      <c r="ZT69" s="369"/>
      <c r="ZU69" s="350"/>
      <c r="ZV69" s="351"/>
      <c r="ZW69" s="346"/>
      <c r="ZX69" s="372"/>
      <c r="ZY69" s="374"/>
      <c r="ZZ69" s="377"/>
      <c r="AAA69" s="378"/>
      <c r="AAB69" s="380"/>
    </row>
    <row r="70" spans="5:704" ht="48" customHeight="1" thickBot="1" x14ac:dyDescent="0.35">
      <c r="G70" s="3"/>
      <c r="H70" s="3"/>
      <c r="I70" s="3"/>
      <c r="J70" s="3"/>
      <c r="Z70" s="637"/>
      <c r="AA70" s="358"/>
      <c r="AB70" s="517"/>
      <c r="AC70" s="518"/>
      <c r="AD70" s="518"/>
      <c r="AE70" s="518"/>
      <c r="AF70" s="518"/>
      <c r="AG70" s="518"/>
      <c r="AH70" s="518"/>
      <c r="AI70" s="518"/>
      <c r="AJ70" s="518"/>
      <c r="AK70" s="518"/>
      <c r="AL70" s="518"/>
      <c r="AM70" s="518"/>
      <c r="AN70" s="518"/>
      <c r="AO70" s="618"/>
      <c r="AP70" s="619"/>
      <c r="AQ70" s="422"/>
      <c r="AR70" s="423"/>
      <c r="AS70" s="471"/>
      <c r="AT70" s="418"/>
      <c r="AU70" s="419"/>
      <c r="AV70" s="471"/>
      <c r="DA70" s="291"/>
      <c r="DB70" s="291"/>
      <c r="DC70" s="291"/>
      <c r="DD70" s="291"/>
      <c r="DE70" s="291"/>
      <c r="DF70" s="291"/>
      <c r="DG70" s="291"/>
      <c r="DH70" s="291"/>
      <c r="DI70" s="291"/>
      <c r="DJ70" s="291"/>
      <c r="DK70" s="291"/>
      <c r="DL70" s="291"/>
      <c r="DM70" s="291"/>
      <c r="DN70" s="291"/>
      <c r="DO70" s="291"/>
      <c r="EW70" s="286"/>
      <c r="EX70" s="286"/>
      <c r="EY70" s="286"/>
      <c r="EZ70" s="286"/>
      <c r="FA70" s="286"/>
      <c r="FB70" s="286"/>
      <c r="FC70" s="286"/>
      <c r="FD70" s="286"/>
      <c r="FE70" s="286"/>
      <c r="FF70" s="286"/>
      <c r="FG70" s="286"/>
      <c r="FH70" s="286"/>
      <c r="FI70" s="286"/>
      <c r="FJ70" s="286"/>
      <c r="FK70" s="286"/>
      <c r="FL70" s="286"/>
      <c r="FM70" s="286"/>
      <c r="FN70" s="286"/>
      <c r="FO70" s="286"/>
      <c r="FP70" s="286"/>
      <c r="FQ70" s="286"/>
      <c r="FR70" s="286"/>
      <c r="FT70" s="12"/>
      <c r="FU70" s="3"/>
      <c r="FV70" s="3"/>
      <c r="JZ70" s="8"/>
      <c r="KW70" s="12"/>
      <c r="KX70" s="3"/>
      <c r="KY70" s="3"/>
      <c r="QZ70" s="7"/>
      <c r="RA70" s="12"/>
      <c r="RB70" s="3"/>
      <c r="RC70" s="3"/>
      <c r="RF70" s="12"/>
      <c r="RG70" s="3"/>
      <c r="RH70" s="3"/>
    </row>
    <row r="71" spans="5:704" ht="48" customHeight="1" thickBot="1" x14ac:dyDescent="0.35">
      <c r="G71" s="3"/>
      <c r="H71" s="3"/>
      <c r="I71" s="3"/>
      <c r="J71" s="3"/>
      <c r="BO71" s="356"/>
      <c r="BP71" s="297" t="s">
        <v>604</v>
      </c>
      <c r="BQ71" s="298"/>
      <c r="BR71" s="295"/>
      <c r="BS71" s="175"/>
      <c r="BT71" s="175"/>
      <c r="BU71" s="175"/>
      <c r="BV71" s="175"/>
      <c r="BW71" s="175"/>
      <c r="BX71" s="175"/>
      <c r="BY71" s="295"/>
      <c r="BZ71" s="173" t="s">
        <v>629</v>
      </c>
      <c r="CA71" s="359" t="s">
        <v>623</v>
      </c>
      <c r="CB71" s="381"/>
      <c r="CC71" s="382" t="s">
        <v>189</v>
      </c>
      <c r="CD71" s="383"/>
      <c r="CE71" s="363" t="s">
        <v>910</v>
      </c>
      <c r="CF71" s="364"/>
      <c r="CG71" s="365" t="s">
        <v>638</v>
      </c>
      <c r="CH71" s="366"/>
      <c r="CI71" s="366"/>
      <c r="CJ71" s="367"/>
      <c r="CK71" s="365" t="s">
        <v>624</v>
      </c>
      <c r="CL71" s="366"/>
      <c r="CM71" s="366"/>
      <c r="CN71" s="367"/>
      <c r="CT71" s="291"/>
      <c r="CU71" s="291"/>
      <c r="CV71" s="291"/>
      <c r="CW71" s="291"/>
      <c r="CX71" s="291"/>
      <c r="CY71" s="291"/>
      <c r="CZ71" s="291"/>
      <c r="DA71" s="291"/>
      <c r="DB71" s="291"/>
      <c r="DC71" s="291"/>
      <c r="DD71" s="291"/>
      <c r="DE71" s="291"/>
      <c r="DF71" s="291"/>
      <c r="DG71" s="291"/>
      <c r="DH71" s="291"/>
      <c r="DI71" s="291"/>
      <c r="DJ71" s="291"/>
      <c r="DK71" s="291"/>
      <c r="DL71" s="291"/>
      <c r="DM71" s="291"/>
      <c r="DN71" s="291"/>
      <c r="DO71" s="291"/>
      <c r="DQ71" s="173" t="s">
        <v>1050</v>
      </c>
      <c r="DR71" s="297" t="s">
        <v>604</v>
      </c>
      <c r="DS71" s="298"/>
      <c r="DT71" s="315"/>
      <c r="DU71" s="175"/>
      <c r="DV71" s="175"/>
      <c r="DW71" s="175"/>
      <c r="DX71" s="175"/>
      <c r="DY71" s="175"/>
      <c r="DZ71" s="175"/>
      <c r="EA71" s="315"/>
      <c r="EB71" s="173" t="s">
        <v>629</v>
      </c>
      <c r="EC71" s="359" t="s">
        <v>623</v>
      </c>
      <c r="ED71" s="381"/>
      <c r="EE71" s="382" t="s">
        <v>189</v>
      </c>
      <c r="EF71" s="383"/>
      <c r="EG71" s="363" t="s">
        <v>910</v>
      </c>
      <c r="EH71" s="364"/>
      <c r="EI71" s="365" t="s">
        <v>638</v>
      </c>
      <c r="EJ71" s="366"/>
      <c r="EK71" s="366"/>
      <c r="EL71" s="367"/>
      <c r="EW71" s="286"/>
      <c r="EX71" s="286"/>
      <c r="EY71" s="286"/>
      <c r="EZ71" s="286"/>
      <c r="FA71" s="286"/>
      <c r="FB71" s="286"/>
      <c r="FC71" s="286"/>
      <c r="FD71" s="286"/>
      <c r="FE71" s="286"/>
      <c r="FF71" s="286"/>
      <c r="FG71" s="286"/>
      <c r="FH71" s="286"/>
      <c r="FI71" s="286"/>
      <c r="FJ71" s="286"/>
      <c r="FK71" s="286"/>
      <c r="FL71" s="286"/>
      <c r="FM71" s="286"/>
      <c r="FN71" s="286"/>
      <c r="FO71" s="286"/>
      <c r="FP71" s="286"/>
      <c r="FQ71" s="286"/>
      <c r="FR71" s="286"/>
      <c r="FW71" s="173" t="s">
        <v>1050</v>
      </c>
      <c r="FX71" s="297" t="s">
        <v>604</v>
      </c>
      <c r="FY71" s="298"/>
      <c r="FZ71" s="315"/>
      <c r="GA71" s="175"/>
      <c r="GB71" s="175"/>
      <c r="GC71" s="175"/>
      <c r="GD71" s="175"/>
      <c r="GE71" s="175"/>
      <c r="GF71" s="175"/>
      <c r="GG71" s="315"/>
      <c r="GH71" s="173" t="s">
        <v>629</v>
      </c>
      <c r="GI71" s="359" t="s">
        <v>623</v>
      </c>
      <c r="GJ71" s="381"/>
      <c r="GK71" s="382" t="s">
        <v>189</v>
      </c>
      <c r="GL71" s="383"/>
      <c r="GM71" s="363" t="s">
        <v>910</v>
      </c>
      <c r="GN71" s="364"/>
      <c r="GO71" s="365" t="s">
        <v>638</v>
      </c>
      <c r="GP71" s="366"/>
      <c r="GQ71" s="366"/>
      <c r="GR71" s="367"/>
      <c r="HL71" s="291"/>
      <c r="HM71" s="291"/>
      <c r="HN71" s="291"/>
      <c r="HO71" s="291"/>
      <c r="HP71" s="291"/>
      <c r="HQ71" s="291"/>
      <c r="HR71" s="291"/>
      <c r="HS71" s="291"/>
      <c r="HT71" s="291"/>
      <c r="HU71" s="291"/>
      <c r="HV71" s="291"/>
      <c r="HW71" s="291"/>
      <c r="HX71" s="291"/>
      <c r="HY71" s="291"/>
      <c r="IH71" s="356"/>
      <c r="II71" s="297" t="s">
        <v>604</v>
      </c>
      <c r="IJ71" s="298"/>
      <c r="IK71" s="321"/>
      <c r="IL71" s="175"/>
      <c r="IM71" s="175"/>
      <c r="IN71" s="175"/>
      <c r="IO71" s="175"/>
      <c r="IP71" s="175"/>
      <c r="IQ71" s="175"/>
      <c r="IR71" s="321"/>
      <c r="IS71" s="173" t="s">
        <v>629</v>
      </c>
      <c r="IT71" s="359" t="s">
        <v>623</v>
      </c>
      <c r="IU71" s="360"/>
      <c r="IV71" s="361" t="s">
        <v>189</v>
      </c>
      <c r="IW71" s="362"/>
      <c r="IX71" s="363" t="s">
        <v>910</v>
      </c>
      <c r="IY71" s="364"/>
      <c r="IZ71" s="365" t="s">
        <v>638</v>
      </c>
      <c r="JA71" s="366"/>
      <c r="JB71" s="366"/>
      <c r="JC71" s="367"/>
      <c r="KW71" s="12"/>
      <c r="KX71" s="3"/>
      <c r="KY71" s="3"/>
      <c r="LP71" s="356"/>
      <c r="LQ71" s="297" t="s">
        <v>604</v>
      </c>
      <c r="LR71" s="298"/>
      <c r="LS71" s="321"/>
      <c r="LT71" s="175"/>
      <c r="LU71" s="175"/>
      <c r="LV71" s="175"/>
      <c r="LW71" s="175"/>
      <c r="LX71" s="175"/>
      <c r="LY71" s="175"/>
      <c r="LZ71" s="321"/>
      <c r="MA71" s="173" t="s">
        <v>629</v>
      </c>
      <c r="MB71" s="359" t="s">
        <v>623</v>
      </c>
      <c r="MC71" s="360"/>
      <c r="MD71" s="382" t="s">
        <v>189</v>
      </c>
      <c r="ME71" s="383"/>
      <c r="MF71" s="363" t="s">
        <v>910</v>
      </c>
      <c r="MG71" s="364"/>
      <c r="MH71" s="365" t="s">
        <v>638</v>
      </c>
      <c r="MI71" s="366"/>
      <c r="MJ71" s="366"/>
      <c r="MK71" s="367"/>
      <c r="OZ71" s="356"/>
      <c r="PA71" s="297" t="s">
        <v>604</v>
      </c>
      <c r="PB71" s="298"/>
      <c r="PC71" s="321"/>
      <c r="PD71" s="175"/>
      <c r="PE71" s="175"/>
      <c r="PF71" s="175"/>
      <c r="PG71" s="175"/>
      <c r="PH71" s="175"/>
      <c r="PI71" s="175"/>
      <c r="PJ71" s="321"/>
      <c r="PK71" s="173" t="s">
        <v>629</v>
      </c>
      <c r="PL71" s="359" t="s">
        <v>623</v>
      </c>
      <c r="PM71" s="360"/>
      <c r="PN71" s="382" t="s">
        <v>189</v>
      </c>
      <c r="PO71" s="383"/>
      <c r="PP71" s="363" t="s">
        <v>910</v>
      </c>
      <c r="PQ71" s="364"/>
      <c r="PR71" s="365" t="s">
        <v>638</v>
      </c>
      <c r="PS71" s="366"/>
      <c r="PT71" s="366"/>
      <c r="PU71" s="367"/>
      <c r="QZ71" s="7"/>
      <c r="RA71" s="12"/>
      <c r="RB71" s="3"/>
      <c r="RC71" s="3"/>
      <c r="RF71" s="12"/>
      <c r="RG71" s="3"/>
      <c r="RH71" s="3"/>
      <c r="VL71" s="356"/>
      <c r="VM71" s="297" t="s">
        <v>604</v>
      </c>
      <c r="VN71" s="298"/>
      <c r="VO71" s="321"/>
      <c r="VP71" s="175"/>
      <c r="VQ71" s="175"/>
      <c r="VR71" s="175"/>
      <c r="VS71" s="175"/>
      <c r="VT71" s="175"/>
      <c r="VU71" s="175"/>
      <c r="VV71" s="321"/>
      <c r="VW71" s="173" t="s">
        <v>629</v>
      </c>
      <c r="VX71" s="359" t="s">
        <v>623</v>
      </c>
      <c r="VY71" s="360"/>
      <c r="VZ71" s="361" t="s">
        <v>189</v>
      </c>
      <c r="WA71" s="362"/>
      <c r="WB71" s="363" t="s">
        <v>910</v>
      </c>
      <c r="WC71" s="364"/>
      <c r="WD71" s="365" t="s">
        <v>638</v>
      </c>
      <c r="WE71" s="366"/>
      <c r="WF71" s="366"/>
      <c r="WG71" s="367"/>
      <c r="ZG71" s="356"/>
      <c r="ZH71" s="297" t="s">
        <v>604</v>
      </c>
      <c r="ZI71" s="298"/>
      <c r="ZJ71" s="321"/>
      <c r="ZK71" s="175"/>
      <c r="ZL71" s="175"/>
      <c r="ZM71" s="175"/>
      <c r="ZN71" s="175"/>
      <c r="ZO71" s="175"/>
      <c r="ZP71" s="175"/>
      <c r="ZQ71" s="321"/>
      <c r="ZR71" s="173" t="s">
        <v>629</v>
      </c>
      <c r="ZS71" s="359" t="s">
        <v>623</v>
      </c>
      <c r="ZT71" s="360"/>
      <c r="ZU71" s="361" t="s">
        <v>189</v>
      </c>
      <c r="ZV71" s="362"/>
      <c r="ZW71" s="363" t="s">
        <v>910</v>
      </c>
      <c r="ZX71" s="364"/>
      <c r="ZY71" s="365" t="s">
        <v>638</v>
      </c>
      <c r="ZZ71" s="366"/>
      <c r="AAA71" s="366"/>
      <c r="AAB71" s="367"/>
    </row>
    <row r="72" spans="5:704" ht="48" customHeight="1" thickBot="1" x14ac:dyDescent="0.35">
      <c r="G72" s="3"/>
      <c r="H72" s="3"/>
      <c r="I72" s="3"/>
      <c r="J72" s="3"/>
      <c r="Z72" s="356"/>
      <c r="AA72" s="572" t="s">
        <v>604</v>
      </c>
      <c r="AB72" s="572"/>
      <c r="AC72" s="276"/>
      <c r="AD72" s="175"/>
      <c r="AE72" s="175"/>
      <c r="AF72" s="175"/>
      <c r="AG72" s="175"/>
      <c r="AH72" s="175"/>
      <c r="AI72" s="175"/>
      <c r="AJ72" s="276"/>
      <c r="AK72" s="173" t="s">
        <v>629</v>
      </c>
      <c r="AL72" s="359" t="s">
        <v>623</v>
      </c>
      <c r="AM72" s="381"/>
      <c r="AN72" s="382" t="s">
        <v>189</v>
      </c>
      <c r="AO72" s="383"/>
      <c r="AP72" s="626" t="s">
        <v>910</v>
      </c>
      <c r="AQ72" s="626"/>
      <c r="AR72" s="626"/>
      <c r="AS72" s="365" t="s">
        <v>638</v>
      </c>
      <c r="AT72" s="366"/>
      <c r="AU72" s="366"/>
      <c r="AV72" s="367"/>
      <c r="AW72" s="365" t="s">
        <v>637</v>
      </c>
      <c r="AX72" s="366"/>
      <c r="AY72" s="367"/>
      <c r="BO72" s="357"/>
      <c r="BP72" s="514" t="s">
        <v>18</v>
      </c>
      <c r="BQ72" s="515"/>
      <c r="BR72" s="515"/>
      <c r="BS72" s="515"/>
      <c r="BT72" s="515"/>
      <c r="BU72" s="515"/>
      <c r="BV72" s="515"/>
      <c r="BW72" s="515"/>
      <c r="BX72" s="515"/>
      <c r="BY72" s="515"/>
      <c r="BZ72" s="515"/>
      <c r="CA72" s="515"/>
      <c r="CB72" s="516"/>
      <c r="CC72" s="467">
        <f>CC76*CC80</f>
        <v>0.91876259999999987</v>
      </c>
      <c r="CD72" s="468"/>
      <c r="CE72" s="536" t="s">
        <v>944</v>
      </c>
      <c r="CF72" s="537"/>
      <c r="CG72" s="386"/>
      <c r="CH72" s="476" t="s">
        <v>1011</v>
      </c>
      <c r="CI72" s="552"/>
      <c r="CJ72" s="379"/>
      <c r="CK72" s="396"/>
      <c r="CL72" s="397"/>
      <c r="CM72" s="397"/>
      <c r="CN72" s="398"/>
      <c r="CT72" s="291"/>
      <c r="CU72" s="291"/>
      <c r="CV72" s="291"/>
      <c r="CW72" s="291"/>
      <c r="CX72" s="291"/>
      <c r="CY72" s="291"/>
      <c r="CZ72" s="291"/>
      <c r="DA72" s="291"/>
      <c r="DB72" s="291"/>
      <c r="DC72" s="291"/>
      <c r="DD72" s="291"/>
      <c r="DE72" s="291"/>
      <c r="DF72" s="291"/>
      <c r="DG72" s="291"/>
      <c r="DH72" s="291"/>
      <c r="DI72" s="291"/>
      <c r="DJ72" s="291"/>
      <c r="DK72" s="291"/>
      <c r="DL72" s="291"/>
      <c r="DM72" s="291"/>
      <c r="DN72" s="291"/>
      <c r="DO72" s="291"/>
      <c r="DQ72" s="356"/>
      <c r="DR72" s="384" t="s">
        <v>74</v>
      </c>
      <c r="DS72" s="384"/>
      <c r="DT72" s="384"/>
      <c r="DU72" s="384"/>
      <c r="DV72" s="384"/>
      <c r="DW72" s="384"/>
      <c r="DX72" s="384"/>
      <c r="DY72" s="384"/>
      <c r="DZ72" s="384"/>
      <c r="EA72" s="384"/>
      <c r="EB72" s="384"/>
      <c r="EC72" s="384"/>
      <c r="ED72" s="447"/>
      <c r="EE72" s="348">
        <f>(((3.14*(AN32*(10^3)+2*EE40-EE44))-CC28*EH20)/CC28-3.14)</f>
        <v>7.608592857142856</v>
      </c>
      <c r="EF72" s="349"/>
      <c r="EG72" s="420" t="s">
        <v>53</v>
      </c>
      <c r="EH72" s="421"/>
      <c r="EI72" s="386"/>
      <c r="EJ72" s="375" t="s">
        <v>604</v>
      </c>
      <c r="EK72" s="376"/>
      <c r="EL72" s="379"/>
      <c r="EW72" s="286"/>
      <c r="EX72" s="286"/>
      <c r="EY72" s="286"/>
      <c r="EZ72" s="286"/>
      <c r="FA72" s="286"/>
      <c r="FB72" s="286"/>
      <c r="FC72" s="286"/>
      <c r="FD72" s="286"/>
      <c r="FE72" s="286"/>
      <c r="FF72" s="286"/>
      <c r="FG72" s="286"/>
      <c r="FH72" s="286"/>
      <c r="FI72" s="286"/>
      <c r="FJ72" s="286"/>
      <c r="FK72" s="286"/>
      <c r="FL72" s="286"/>
      <c r="FM72" s="286"/>
      <c r="FN72" s="286"/>
      <c r="FO72" s="286"/>
      <c r="FP72" s="286"/>
      <c r="FQ72" s="286"/>
      <c r="FR72" s="286"/>
      <c r="FT72" s="12"/>
      <c r="FU72" s="3"/>
      <c r="FV72" s="3"/>
      <c r="FW72" s="356"/>
      <c r="FX72" s="344" t="s">
        <v>76</v>
      </c>
      <c r="FY72" s="345"/>
      <c r="FZ72" s="345"/>
      <c r="GA72" s="345"/>
      <c r="GB72" s="345"/>
      <c r="GC72" s="345"/>
      <c r="GD72" s="345"/>
      <c r="GE72" s="345"/>
      <c r="GF72" s="345"/>
      <c r="GG72" s="345"/>
      <c r="GH72" s="345"/>
      <c r="GI72" s="345"/>
      <c r="GJ72" s="345"/>
      <c r="GK72" s="388">
        <v>0</v>
      </c>
      <c r="GL72" s="371"/>
      <c r="GM72" s="406"/>
      <c r="GN72" s="408"/>
      <c r="GO72" s="386"/>
      <c r="GP72" s="375" t="s">
        <v>1063</v>
      </c>
      <c r="GQ72" s="376"/>
      <c r="GR72" s="379"/>
      <c r="HL72" s="291"/>
      <c r="HM72" s="291"/>
      <c r="HN72" s="291"/>
      <c r="HO72" s="291"/>
      <c r="HP72" s="291"/>
      <c r="HQ72" s="291"/>
      <c r="HR72" s="291"/>
      <c r="HS72" s="291"/>
      <c r="HT72" s="291"/>
      <c r="HU72" s="291"/>
      <c r="HV72" s="291"/>
      <c r="HW72" s="291"/>
      <c r="HX72" s="291"/>
      <c r="HY72" s="291"/>
      <c r="IH72" s="357"/>
      <c r="II72" s="344" t="s">
        <v>95</v>
      </c>
      <c r="IJ72" s="345"/>
      <c r="IK72" s="345"/>
      <c r="IL72" s="345"/>
      <c r="IM72" s="345"/>
      <c r="IN72" s="345"/>
      <c r="IO72" s="345"/>
      <c r="IP72" s="345"/>
      <c r="IQ72" s="345"/>
      <c r="IR72" s="345"/>
      <c r="IS72" s="345"/>
      <c r="IT72" s="345"/>
      <c r="IU72" s="345"/>
      <c r="IV72" s="348">
        <f>IV76/1000*IV80</f>
        <v>242.966759891057</v>
      </c>
      <c r="IW72" s="349"/>
      <c r="IX72" s="352"/>
      <c r="IY72" s="353"/>
      <c r="IZ72" s="373"/>
      <c r="JA72" s="375" t="s">
        <v>604</v>
      </c>
      <c r="JB72" s="376"/>
      <c r="JC72" s="379"/>
      <c r="JZ72" s="8"/>
      <c r="KW72" s="12"/>
      <c r="KX72" s="3"/>
      <c r="KY72" s="3"/>
      <c r="LP72" s="357"/>
      <c r="LQ72" s="344" t="s">
        <v>142</v>
      </c>
      <c r="LR72" s="345"/>
      <c r="LS72" s="345"/>
      <c r="LT72" s="345"/>
      <c r="LU72" s="345"/>
      <c r="LV72" s="345"/>
      <c r="LW72" s="345"/>
      <c r="LX72" s="345"/>
      <c r="LY72" s="345"/>
      <c r="LZ72" s="345"/>
      <c r="MA72" s="345"/>
      <c r="MB72" s="345"/>
      <c r="MC72" s="345"/>
      <c r="MD72" s="348">
        <v>0.7</v>
      </c>
      <c r="ME72" s="349"/>
      <c r="MF72" s="390"/>
      <c r="MG72" s="371"/>
      <c r="MH72" s="373"/>
      <c r="MI72" s="375" t="s">
        <v>604</v>
      </c>
      <c r="MJ72" s="376"/>
      <c r="MK72" s="379"/>
      <c r="OZ72" s="357"/>
      <c r="PA72" s="344"/>
      <c r="PB72" s="345"/>
      <c r="PC72" s="345"/>
      <c r="PD72" s="345"/>
      <c r="PE72" s="345"/>
      <c r="PF72" s="345"/>
      <c r="PG72" s="345"/>
      <c r="PH72" s="345"/>
      <c r="PI72" s="345"/>
      <c r="PJ72" s="345"/>
      <c r="PK72" s="345"/>
      <c r="PL72" s="345"/>
      <c r="PM72" s="345"/>
      <c r="PN72" s="388"/>
      <c r="PO72" s="371"/>
      <c r="PP72" s="390"/>
      <c r="PQ72" s="371"/>
      <c r="PR72" s="373"/>
      <c r="PS72" s="375" t="s">
        <v>604</v>
      </c>
      <c r="PT72" s="376"/>
      <c r="PU72" s="379"/>
      <c r="QZ72" s="8" t="s">
        <v>225</v>
      </c>
      <c r="RA72" s="10" t="s">
        <v>265</v>
      </c>
      <c r="RB72" s="6"/>
      <c r="RC72" s="6"/>
      <c r="RF72" s="12"/>
      <c r="RG72" s="3"/>
      <c r="RH72" s="3"/>
      <c r="VL72" s="357"/>
      <c r="VM72" s="344"/>
      <c r="VN72" s="345"/>
      <c r="VO72" s="345"/>
      <c r="VP72" s="345"/>
      <c r="VQ72" s="345"/>
      <c r="VR72" s="345"/>
      <c r="VS72" s="345"/>
      <c r="VT72" s="345"/>
      <c r="VU72" s="345"/>
      <c r="VV72" s="345"/>
      <c r="VW72" s="345"/>
      <c r="VX72" s="345"/>
      <c r="VY72" s="368"/>
      <c r="VZ72" s="348"/>
      <c r="WA72" s="349"/>
      <c r="WB72" s="370"/>
      <c r="WC72" s="371"/>
      <c r="WD72" s="373"/>
      <c r="WE72" s="375" t="s">
        <v>604</v>
      </c>
      <c r="WF72" s="376"/>
      <c r="WG72" s="379"/>
      <c r="ZG72" s="357"/>
      <c r="ZH72" s="344"/>
      <c r="ZI72" s="345"/>
      <c r="ZJ72" s="345"/>
      <c r="ZK72" s="345"/>
      <c r="ZL72" s="345"/>
      <c r="ZM72" s="345"/>
      <c r="ZN72" s="345"/>
      <c r="ZO72" s="345"/>
      <c r="ZP72" s="345"/>
      <c r="ZQ72" s="345"/>
      <c r="ZR72" s="345"/>
      <c r="ZS72" s="345"/>
      <c r="ZT72" s="368"/>
      <c r="ZU72" s="348"/>
      <c r="ZV72" s="349"/>
      <c r="ZW72" s="370"/>
      <c r="ZX72" s="371"/>
      <c r="ZY72" s="373"/>
      <c r="ZZ72" s="375" t="s">
        <v>604</v>
      </c>
      <c r="AAA72" s="376"/>
      <c r="AAB72" s="379"/>
    </row>
    <row r="73" spans="5:704" ht="48" customHeight="1" thickBot="1" x14ac:dyDescent="0.35">
      <c r="G73" s="3"/>
      <c r="H73" s="3"/>
      <c r="I73" s="3"/>
      <c r="J73" s="3"/>
      <c r="Z73" s="357"/>
      <c r="AA73" s="514" t="s">
        <v>966</v>
      </c>
      <c r="AB73" s="515"/>
      <c r="AC73" s="515"/>
      <c r="AD73" s="515"/>
      <c r="AE73" s="515"/>
      <c r="AF73" s="515"/>
      <c r="AG73" s="515"/>
      <c r="AH73" s="515"/>
      <c r="AI73" s="515"/>
      <c r="AJ73" s="515"/>
      <c r="AK73" s="515"/>
      <c r="AL73" s="515"/>
      <c r="AM73" s="515"/>
      <c r="AN73" s="437">
        <f>(2*3.14*AH5)/60</f>
        <v>376.8</v>
      </c>
      <c r="AO73" s="438"/>
      <c r="AP73" s="620" t="s">
        <v>928</v>
      </c>
      <c r="AQ73" s="621"/>
      <c r="AR73" s="622"/>
      <c r="AS73" s="386"/>
      <c r="AT73" s="375" t="s">
        <v>604</v>
      </c>
      <c r="AU73" s="376"/>
      <c r="AV73" s="379"/>
      <c r="AW73" s="156"/>
      <c r="AX73" s="152"/>
      <c r="AY73" s="153"/>
      <c r="BO73" s="358"/>
      <c r="BP73" s="517"/>
      <c r="BQ73" s="518"/>
      <c r="BR73" s="518"/>
      <c r="BS73" s="518"/>
      <c r="BT73" s="518"/>
      <c r="BU73" s="518"/>
      <c r="BV73" s="518"/>
      <c r="BW73" s="518"/>
      <c r="BX73" s="518"/>
      <c r="BY73" s="518"/>
      <c r="BZ73" s="518"/>
      <c r="CA73" s="518"/>
      <c r="CB73" s="440"/>
      <c r="CC73" s="389"/>
      <c r="CD73" s="372"/>
      <c r="CE73" s="538"/>
      <c r="CF73" s="539"/>
      <c r="CG73" s="387"/>
      <c r="CH73" s="553"/>
      <c r="CI73" s="554"/>
      <c r="CJ73" s="380"/>
      <c r="CK73" s="341"/>
      <c r="CL73" s="342"/>
      <c r="CM73" s="342"/>
      <c r="CN73" s="343"/>
      <c r="CT73" s="291"/>
      <c r="CU73" s="291"/>
      <c r="CV73" s="291"/>
      <c r="CW73" s="291"/>
      <c r="CX73" s="291"/>
      <c r="CY73" s="291"/>
      <c r="CZ73" s="291"/>
      <c r="DA73" s="291"/>
      <c r="DB73" s="291"/>
      <c r="DC73" s="291"/>
      <c r="DD73" s="291"/>
      <c r="DE73" s="291"/>
      <c r="DF73" s="291"/>
      <c r="DG73" s="291"/>
      <c r="DH73" s="291"/>
      <c r="DI73" s="291"/>
      <c r="DJ73" s="291"/>
      <c r="DK73" s="291"/>
      <c r="DL73" s="291"/>
      <c r="DM73" s="291"/>
      <c r="DN73" s="291"/>
      <c r="DO73" s="291"/>
      <c r="DQ73" s="358"/>
      <c r="DR73" s="385"/>
      <c r="DS73" s="385"/>
      <c r="DT73" s="385"/>
      <c r="DU73" s="385"/>
      <c r="DV73" s="385"/>
      <c r="DW73" s="385"/>
      <c r="DX73" s="385"/>
      <c r="DY73" s="385"/>
      <c r="DZ73" s="385"/>
      <c r="EA73" s="385"/>
      <c r="EB73" s="385"/>
      <c r="EC73" s="385"/>
      <c r="ED73" s="351"/>
      <c r="EE73" s="350"/>
      <c r="EF73" s="351"/>
      <c r="EG73" s="422"/>
      <c r="EH73" s="423"/>
      <c r="EI73" s="387"/>
      <c r="EJ73" s="377"/>
      <c r="EK73" s="378"/>
      <c r="EL73" s="380"/>
      <c r="EW73" s="286"/>
      <c r="EX73" s="286"/>
      <c r="EY73" s="286"/>
      <c r="EZ73" s="286"/>
      <c r="FA73" s="286"/>
      <c r="FB73" s="286"/>
      <c r="FC73" s="286"/>
      <c r="FD73" s="286"/>
      <c r="FE73" s="286"/>
      <c r="FF73" s="286"/>
      <c r="FG73" s="286"/>
      <c r="FH73" s="286"/>
      <c r="FI73" s="286"/>
      <c r="FJ73" s="286"/>
      <c r="FK73" s="286"/>
      <c r="FL73" s="286"/>
      <c r="FM73" s="286"/>
      <c r="FN73" s="286"/>
      <c r="FO73" s="286"/>
      <c r="FP73" s="286"/>
      <c r="FQ73" s="286"/>
      <c r="FR73" s="286"/>
      <c r="FW73" s="358"/>
      <c r="FX73" s="346"/>
      <c r="FY73" s="347"/>
      <c r="FZ73" s="347"/>
      <c r="GA73" s="347"/>
      <c r="GB73" s="347"/>
      <c r="GC73" s="347"/>
      <c r="GD73" s="347"/>
      <c r="GE73" s="347"/>
      <c r="GF73" s="347"/>
      <c r="GG73" s="347"/>
      <c r="GH73" s="347"/>
      <c r="GI73" s="347"/>
      <c r="GJ73" s="347"/>
      <c r="GK73" s="389"/>
      <c r="GL73" s="372"/>
      <c r="GM73" s="409"/>
      <c r="GN73" s="411"/>
      <c r="GO73" s="387"/>
      <c r="GP73" s="377"/>
      <c r="GQ73" s="378"/>
      <c r="GR73" s="380"/>
      <c r="HL73" s="291"/>
      <c r="HM73" s="291"/>
      <c r="HN73" s="291"/>
      <c r="HO73" s="291"/>
      <c r="HP73" s="291"/>
      <c r="HQ73" s="291"/>
      <c r="HR73" s="291"/>
      <c r="HS73" s="291"/>
      <c r="HT73" s="291"/>
      <c r="HU73" s="291"/>
      <c r="HV73" s="291"/>
      <c r="HW73" s="291"/>
      <c r="HX73" s="291"/>
      <c r="HY73" s="291"/>
      <c r="IH73" s="358"/>
      <c r="II73" s="346"/>
      <c r="IJ73" s="347"/>
      <c r="IK73" s="347"/>
      <c r="IL73" s="347"/>
      <c r="IM73" s="347"/>
      <c r="IN73" s="347"/>
      <c r="IO73" s="347"/>
      <c r="IP73" s="347"/>
      <c r="IQ73" s="347"/>
      <c r="IR73" s="347"/>
      <c r="IS73" s="347"/>
      <c r="IT73" s="347"/>
      <c r="IU73" s="347"/>
      <c r="IV73" s="350"/>
      <c r="IW73" s="351"/>
      <c r="IX73" s="354"/>
      <c r="IY73" s="355"/>
      <c r="IZ73" s="374"/>
      <c r="JA73" s="377"/>
      <c r="JB73" s="378"/>
      <c r="JC73" s="380"/>
      <c r="KW73" s="12"/>
      <c r="KX73" s="3"/>
      <c r="KY73" s="3"/>
      <c r="LP73" s="358"/>
      <c r="LQ73" s="346"/>
      <c r="LR73" s="347"/>
      <c r="LS73" s="347"/>
      <c r="LT73" s="347"/>
      <c r="LU73" s="347"/>
      <c r="LV73" s="347"/>
      <c r="LW73" s="347"/>
      <c r="LX73" s="347"/>
      <c r="LY73" s="347"/>
      <c r="LZ73" s="347"/>
      <c r="MA73" s="347"/>
      <c r="MB73" s="347"/>
      <c r="MC73" s="347"/>
      <c r="MD73" s="350"/>
      <c r="ME73" s="351"/>
      <c r="MF73" s="347"/>
      <c r="MG73" s="372"/>
      <c r="MH73" s="374"/>
      <c r="MI73" s="377"/>
      <c r="MJ73" s="378"/>
      <c r="MK73" s="380"/>
      <c r="OZ73" s="358"/>
      <c r="PA73" s="346"/>
      <c r="PB73" s="347"/>
      <c r="PC73" s="347"/>
      <c r="PD73" s="347"/>
      <c r="PE73" s="347"/>
      <c r="PF73" s="347"/>
      <c r="PG73" s="347"/>
      <c r="PH73" s="347"/>
      <c r="PI73" s="347"/>
      <c r="PJ73" s="347"/>
      <c r="PK73" s="347"/>
      <c r="PL73" s="347"/>
      <c r="PM73" s="347"/>
      <c r="PN73" s="389"/>
      <c r="PO73" s="372"/>
      <c r="PP73" s="347"/>
      <c r="PQ73" s="372"/>
      <c r="PR73" s="374"/>
      <c r="PS73" s="377"/>
      <c r="PT73" s="378"/>
      <c r="PU73" s="380"/>
      <c r="QZ73" s="8"/>
      <c r="RA73" s="10" t="s">
        <v>318</v>
      </c>
      <c r="RB73" s="6" t="e">
        <f>NA92/(#REF!*(IV116^2))</f>
        <v>#REF!</v>
      </c>
      <c r="RC73" s="6"/>
      <c r="RF73" s="12"/>
      <c r="RG73" s="3"/>
      <c r="RH73" s="3"/>
      <c r="VL73" s="358"/>
      <c r="VM73" s="346"/>
      <c r="VN73" s="347"/>
      <c r="VO73" s="347"/>
      <c r="VP73" s="347"/>
      <c r="VQ73" s="347"/>
      <c r="VR73" s="347"/>
      <c r="VS73" s="347"/>
      <c r="VT73" s="347"/>
      <c r="VU73" s="347"/>
      <c r="VV73" s="347"/>
      <c r="VW73" s="347"/>
      <c r="VX73" s="347"/>
      <c r="VY73" s="369"/>
      <c r="VZ73" s="350"/>
      <c r="WA73" s="351"/>
      <c r="WB73" s="346"/>
      <c r="WC73" s="372"/>
      <c r="WD73" s="374"/>
      <c r="WE73" s="377"/>
      <c r="WF73" s="378"/>
      <c r="WG73" s="380"/>
      <c r="ZG73" s="358"/>
      <c r="ZH73" s="346"/>
      <c r="ZI73" s="347"/>
      <c r="ZJ73" s="347"/>
      <c r="ZK73" s="347"/>
      <c r="ZL73" s="347"/>
      <c r="ZM73" s="347"/>
      <c r="ZN73" s="347"/>
      <c r="ZO73" s="347"/>
      <c r="ZP73" s="347"/>
      <c r="ZQ73" s="347"/>
      <c r="ZR73" s="347"/>
      <c r="ZS73" s="347"/>
      <c r="ZT73" s="369"/>
      <c r="ZU73" s="350"/>
      <c r="ZV73" s="351"/>
      <c r="ZW73" s="346"/>
      <c r="ZX73" s="372"/>
      <c r="ZY73" s="374"/>
      <c r="ZZ73" s="377"/>
      <c r="AAA73" s="378"/>
      <c r="AAB73" s="380"/>
    </row>
    <row r="74" spans="5:704" ht="48" customHeight="1" thickBot="1" x14ac:dyDescent="0.35">
      <c r="G74" s="3"/>
      <c r="H74" s="3"/>
      <c r="I74" s="3"/>
      <c r="J74" s="3"/>
      <c r="Z74" s="358"/>
      <c r="AA74" s="517"/>
      <c r="AB74" s="518"/>
      <c r="AC74" s="518"/>
      <c r="AD74" s="518"/>
      <c r="AE74" s="518"/>
      <c r="AF74" s="518"/>
      <c r="AG74" s="518"/>
      <c r="AH74" s="518"/>
      <c r="AI74" s="518"/>
      <c r="AJ74" s="518"/>
      <c r="AK74" s="518"/>
      <c r="AL74" s="518"/>
      <c r="AM74" s="518"/>
      <c r="AN74" s="439"/>
      <c r="AO74" s="440"/>
      <c r="AP74" s="623"/>
      <c r="AQ74" s="624"/>
      <c r="AR74" s="625"/>
      <c r="AS74" s="387"/>
      <c r="AT74" s="377"/>
      <c r="AU74" s="378"/>
      <c r="AV74" s="380"/>
      <c r="AW74" s="192"/>
      <c r="AX74" s="190"/>
      <c r="AY74" s="191"/>
      <c r="CT74" s="291"/>
      <c r="CU74" s="291"/>
      <c r="CV74" s="291"/>
      <c r="CW74" s="291"/>
      <c r="CX74" s="291"/>
      <c r="CY74" s="291"/>
      <c r="CZ74" s="291"/>
      <c r="DA74" s="291"/>
      <c r="DB74" s="291"/>
      <c r="DC74" s="291"/>
      <c r="DD74" s="291"/>
      <c r="DE74" s="291"/>
      <c r="DF74" s="291"/>
      <c r="DG74" s="291"/>
      <c r="DH74" s="291"/>
      <c r="DI74" s="291"/>
      <c r="DJ74" s="291"/>
      <c r="DK74" s="291"/>
      <c r="DL74" s="291"/>
      <c r="DM74" s="291"/>
      <c r="DN74" s="291"/>
      <c r="DO74" s="291"/>
      <c r="EW74" s="286"/>
      <c r="EX74" s="286"/>
      <c r="EY74" s="286"/>
      <c r="EZ74" s="286"/>
      <c r="FA74" s="286"/>
      <c r="FB74" s="286"/>
      <c r="FC74" s="286"/>
      <c r="FD74" s="286"/>
      <c r="FE74" s="286"/>
      <c r="FF74" s="286"/>
      <c r="FG74" s="286"/>
      <c r="FH74" s="286"/>
      <c r="FI74" s="286"/>
      <c r="FJ74" s="286"/>
      <c r="FK74" s="286"/>
      <c r="FL74" s="286"/>
      <c r="FM74" s="286"/>
      <c r="FN74" s="286"/>
      <c r="FO74" s="286"/>
      <c r="FP74" s="286"/>
      <c r="FQ74" s="286"/>
      <c r="FR74" s="286"/>
      <c r="FT74" s="12"/>
      <c r="FU74" s="3"/>
      <c r="FV74" s="3"/>
      <c r="HL74" s="291"/>
      <c r="HM74" s="291"/>
      <c r="HN74" s="291"/>
      <c r="HO74" s="291"/>
      <c r="HP74" s="291"/>
      <c r="HQ74" s="291"/>
      <c r="HR74" s="291"/>
      <c r="HS74" s="291"/>
      <c r="HT74" s="291"/>
      <c r="HU74" s="291"/>
      <c r="HV74" s="291"/>
      <c r="HW74" s="291"/>
      <c r="HX74" s="291"/>
      <c r="HY74" s="291"/>
      <c r="JZ74" s="8"/>
      <c r="KW74" s="12"/>
      <c r="KX74" s="3"/>
      <c r="KY74" s="3"/>
      <c r="QZ74" s="8"/>
      <c r="RA74" s="10" t="s">
        <v>319</v>
      </c>
      <c r="RB74" s="6">
        <f>AH6/IV116</f>
        <v>75.742987312867001</v>
      </c>
      <c r="RC74" s="6"/>
      <c r="RF74" s="12"/>
      <c r="RG74" s="3"/>
      <c r="RH74" s="3"/>
    </row>
    <row r="75" spans="5:704" ht="48" customHeight="1" thickBot="1" x14ac:dyDescent="0.35">
      <c r="G75" s="3"/>
      <c r="H75" s="3"/>
      <c r="I75" s="3"/>
      <c r="J75" s="3"/>
      <c r="BG75" s="291"/>
      <c r="BH75" s="291"/>
      <c r="BI75" s="291"/>
      <c r="BJ75" s="291"/>
      <c r="BK75" s="291"/>
      <c r="BO75" s="356"/>
      <c r="BP75" s="546" t="s">
        <v>28</v>
      </c>
      <c r="BQ75" s="547"/>
      <c r="BR75" s="276"/>
      <c r="BS75" s="175"/>
      <c r="BT75" s="175"/>
      <c r="BU75" s="175"/>
      <c r="BV75" s="175"/>
      <c r="BW75" s="175"/>
      <c r="BX75" s="172" t="s">
        <v>643</v>
      </c>
      <c r="BY75" s="276"/>
      <c r="BZ75" s="173" t="s">
        <v>629</v>
      </c>
      <c r="CA75" s="359" t="s">
        <v>623</v>
      </c>
      <c r="CB75" s="381"/>
      <c r="CC75" s="382" t="s">
        <v>189</v>
      </c>
      <c r="CD75" s="383"/>
      <c r="CE75" s="363" t="s">
        <v>910</v>
      </c>
      <c r="CF75" s="364"/>
      <c r="CG75" s="365" t="s">
        <v>638</v>
      </c>
      <c r="CH75" s="366"/>
      <c r="CI75" s="366"/>
      <c r="CJ75" s="367"/>
      <c r="CT75" s="291"/>
      <c r="CU75" s="291"/>
      <c r="CV75" s="291"/>
      <c r="CW75" s="291"/>
      <c r="CX75" s="291"/>
      <c r="CY75" s="291"/>
      <c r="CZ75" s="291"/>
      <c r="DA75" s="291"/>
      <c r="DB75" s="291"/>
      <c r="DC75" s="291"/>
      <c r="DD75" s="291"/>
      <c r="DE75" s="291"/>
      <c r="DF75" s="291"/>
      <c r="DG75" s="291"/>
      <c r="DH75" s="291"/>
      <c r="DI75" s="291"/>
      <c r="DJ75" s="291"/>
      <c r="DK75" s="291"/>
      <c r="DL75" s="291"/>
      <c r="DM75" s="291"/>
      <c r="DN75" s="291"/>
      <c r="DO75" s="291"/>
      <c r="DQ75" s="173" t="s">
        <v>1050</v>
      </c>
      <c r="DR75" s="297" t="s">
        <v>604</v>
      </c>
      <c r="DS75" s="298"/>
      <c r="DT75" s="315"/>
      <c r="DU75" s="175"/>
      <c r="DV75" s="175"/>
      <c r="DW75" s="175"/>
      <c r="DX75" s="175"/>
      <c r="DY75" s="175"/>
      <c r="DZ75" s="175"/>
      <c r="EA75" s="315"/>
      <c r="EB75" s="173" t="s">
        <v>629</v>
      </c>
      <c r="EC75" s="359" t="s">
        <v>623</v>
      </c>
      <c r="ED75" s="381"/>
      <c r="EE75" s="382" t="s">
        <v>189</v>
      </c>
      <c r="EF75" s="383"/>
      <c r="EG75" s="363" t="s">
        <v>910</v>
      </c>
      <c r="EH75" s="364"/>
      <c r="EI75" s="365" t="s">
        <v>638</v>
      </c>
      <c r="EJ75" s="366"/>
      <c r="EK75" s="366"/>
      <c r="EL75" s="367"/>
      <c r="EW75" s="286"/>
      <c r="EX75" s="286"/>
      <c r="EY75" s="286"/>
      <c r="EZ75" s="286"/>
      <c r="FA75" s="286"/>
      <c r="FB75" s="286"/>
      <c r="FC75" s="286"/>
      <c r="FD75" s="286"/>
      <c r="FE75" s="286"/>
      <c r="FF75" s="286"/>
      <c r="FG75" s="286"/>
      <c r="FH75" s="286"/>
      <c r="FI75" s="286"/>
      <c r="FJ75" s="286"/>
      <c r="FK75" s="286"/>
      <c r="FL75" s="286"/>
      <c r="FM75" s="286"/>
      <c r="FN75" s="286"/>
      <c r="FO75" s="286"/>
      <c r="FP75" s="286"/>
      <c r="FQ75" s="286"/>
      <c r="FR75" s="286"/>
      <c r="FT75" s="12"/>
      <c r="FU75" s="3"/>
      <c r="FV75" s="3"/>
      <c r="FW75" s="173" t="s">
        <v>1050</v>
      </c>
      <c r="FX75" s="297" t="s">
        <v>604</v>
      </c>
      <c r="FY75" s="298"/>
      <c r="FZ75" s="315"/>
      <c r="GA75" s="175"/>
      <c r="GB75" s="175"/>
      <c r="GC75" s="175"/>
      <c r="GD75" s="175"/>
      <c r="GE75" s="175"/>
      <c r="GF75" s="175"/>
      <c r="GG75" s="315"/>
      <c r="GH75" s="173" t="s">
        <v>629</v>
      </c>
      <c r="GI75" s="359" t="s">
        <v>623</v>
      </c>
      <c r="GJ75" s="360"/>
      <c r="GK75" s="361" t="s">
        <v>189</v>
      </c>
      <c r="GL75" s="362"/>
      <c r="GM75" s="363" t="s">
        <v>910</v>
      </c>
      <c r="GN75" s="364"/>
      <c r="GO75" s="365" t="s">
        <v>638</v>
      </c>
      <c r="GP75" s="366"/>
      <c r="GQ75" s="366"/>
      <c r="GR75" s="367"/>
      <c r="HL75" s="291"/>
      <c r="HM75" s="291"/>
      <c r="HN75" s="291"/>
      <c r="HO75" s="291"/>
      <c r="HP75" s="291"/>
      <c r="HQ75" s="291"/>
      <c r="HR75" s="291"/>
      <c r="HS75" s="291"/>
      <c r="HT75" s="291"/>
      <c r="HU75" s="291"/>
      <c r="HV75" s="291"/>
      <c r="HW75" s="291"/>
      <c r="HX75" s="291"/>
      <c r="HY75" s="291"/>
      <c r="IH75" s="356"/>
      <c r="II75" s="297" t="s">
        <v>604</v>
      </c>
      <c r="IJ75" s="298"/>
      <c r="IK75" s="321"/>
      <c r="IL75" s="175"/>
      <c r="IM75" s="175"/>
      <c r="IN75" s="175"/>
      <c r="IO75" s="175"/>
      <c r="IP75" s="175"/>
      <c r="IQ75" s="175"/>
      <c r="IR75" s="321"/>
      <c r="IS75" s="173" t="s">
        <v>629</v>
      </c>
      <c r="IT75" s="359" t="s">
        <v>623</v>
      </c>
      <c r="IU75" s="360"/>
      <c r="IV75" s="361" t="s">
        <v>189</v>
      </c>
      <c r="IW75" s="362"/>
      <c r="IX75" s="363" t="s">
        <v>910</v>
      </c>
      <c r="IY75" s="364"/>
      <c r="IZ75" s="365" t="s">
        <v>638</v>
      </c>
      <c r="JA75" s="366"/>
      <c r="JB75" s="366"/>
      <c r="JC75" s="367"/>
      <c r="KW75" s="16"/>
      <c r="KX75" s="3"/>
      <c r="KY75" s="3"/>
      <c r="LP75" s="356"/>
      <c r="LQ75" s="297" t="s">
        <v>604</v>
      </c>
      <c r="LR75" s="298"/>
      <c r="LS75" s="321"/>
      <c r="LT75" s="175"/>
      <c r="LU75" s="175"/>
      <c r="LV75" s="175"/>
      <c r="LW75" s="175"/>
      <c r="LX75" s="175"/>
      <c r="LY75" s="175"/>
      <c r="LZ75" s="321"/>
      <c r="MA75" s="173" t="s">
        <v>629</v>
      </c>
      <c r="MB75" s="393" t="s">
        <v>623</v>
      </c>
      <c r="MC75" s="394"/>
      <c r="MD75" s="382" t="s">
        <v>189</v>
      </c>
      <c r="ME75" s="383"/>
      <c r="MF75" s="363" t="s">
        <v>910</v>
      </c>
      <c r="MG75" s="364"/>
      <c r="MH75" s="365" t="s">
        <v>638</v>
      </c>
      <c r="MI75" s="366"/>
      <c r="MJ75" s="366"/>
      <c r="MK75" s="367"/>
      <c r="OZ75" s="356"/>
      <c r="PA75" s="297" t="s">
        <v>604</v>
      </c>
      <c r="PB75" s="298"/>
      <c r="PC75" s="331"/>
      <c r="PD75" s="175"/>
      <c r="PE75" s="175"/>
      <c r="PF75" s="175"/>
      <c r="PG75" s="175"/>
      <c r="PH75" s="175"/>
      <c r="PI75" s="175"/>
      <c r="PJ75" s="331"/>
      <c r="PK75" s="173" t="s">
        <v>629</v>
      </c>
      <c r="PL75" s="359" t="s">
        <v>623</v>
      </c>
      <c r="PM75" s="360"/>
      <c r="PN75" s="382" t="s">
        <v>189</v>
      </c>
      <c r="PO75" s="383"/>
      <c r="PP75" s="363" t="s">
        <v>910</v>
      </c>
      <c r="PQ75" s="364"/>
      <c r="PR75" s="365" t="s">
        <v>638</v>
      </c>
      <c r="PS75" s="366"/>
      <c r="PT75" s="366"/>
      <c r="PU75" s="367"/>
      <c r="QZ75" s="8"/>
      <c r="RA75" s="10" t="s">
        <v>320</v>
      </c>
      <c r="RB75" s="6">
        <f>1+(MD64/RB74)</f>
        <v>1.0020088414721124</v>
      </c>
      <c r="RC75" s="6"/>
      <c r="RF75" s="12"/>
      <c r="RG75" s="3"/>
      <c r="RH75" s="3"/>
      <c r="VL75" s="356"/>
      <c r="VM75" s="297" t="s">
        <v>604</v>
      </c>
      <c r="VN75" s="298"/>
      <c r="VO75" s="321"/>
      <c r="VP75" s="175"/>
      <c r="VQ75" s="175"/>
      <c r="VR75" s="175"/>
      <c r="VS75" s="175"/>
      <c r="VT75" s="175"/>
      <c r="VU75" s="175"/>
      <c r="VV75" s="321"/>
      <c r="VW75" s="173" t="s">
        <v>629</v>
      </c>
      <c r="VX75" s="359" t="s">
        <v>623</v>
      </c>
      <c r="VY75" s="381"/>
      <c r="VZ75" s="382" t="s">
        <v>189</v>
      </c>
      <c r="WA75" s="383"/>
      <c r="WB75" s="363" t="s">
        <v>910</v>
      </c>
      <c r="WC75" s="364"/>
      <c r="WD75" s="365" t="s">
        <v>638</v>
      </c>
      <c r="WE75" s="366"/>
      <c r="WF75" s="366"/>
      <c r="WG75" s="367"/>
      <c r="ZG75" s="356"/>
      <c r="ZH75" s="297" t="s">
        <v>604</v>
      </c>
      <c r="ZI75" s="298"/>
      <c r="ZJ75" s="321"/>
      <c r="ZK75" s="175"/>
      <c r="ZL75" s="175"/>
      <c r="ZM75" s="175"/>
      <c r="ZN75" s="175"/>
      <c r="ZO75" s="175"/>
      <c r="ZP75" s="175"/>
      <c r="ZQ75" s="321"/>
      <c r="ZR75" s="173" t="s">
        <v>629</v>
      </c>
      <c r="ZS75" s="359" t="s">
        <v>623</v>
      </c>
      <c r="ZT75" s="381"/>
      <c r="ZU75" s="382" t="s">
        <v>189</v>
      </c>
      <c r="ZV75" s="383"/>
      <c r="ZW75" s="363" t="s">
        <v>910</v>
      </c>
      <c r="ZX75" s="364"/>
      <c r="ZY75" s="365" t="s">
        <v>638</v>
      </c>
      <c r="ZZ75" s="366"/>
      <c r="AAA75" s="366"/>
      <c r="AAB75" s="367"/>
    </row>
    <row r="76" spans="5:704" ht="48" customHeight="1" thickBot="1" x14ac:dyDescent="0.35">
      <c r="G76" s="3"/>
      <c r="H76" s="3"/>
      <c r="I76" s="3"/>
      <c r="J76" s="3"/>
      <c r="Z76" s="356"/>
      <c r="AA76" s="572" t="s">
        <v>604</v>
      </c>
      <c r="AB76" s="572"/>
      <c r="AC76" s="276"/>
      <c r="AD76" s="175"/>
      <c r="AE76" s="175"/>
      <c r="AF76" s="175"/>
      <c r="AG76" s="175"/>
      <c r="AH76" s="175"/>
      <c r="AI76" s="175"/>
      <c r="AJ76" s="276"/>
      <c r="AK76" s="173" t="s">
        <v>629</v>
      </c>
      <c r="AL76" s="359" t="s">
        <v>623</v>
      </c>
      <c r="AM76" s="381"/>
      <c r="AN76" s="382" t="s">
        <v>189</v>
      </c>
      <c r="AO76" s="383"/>
      <c r="AP76" s="363" t="s">
        <v>910</v>
      </c>
      <c r="AQ76" s="364"/>
      <c r="AR76" s="365" t="s">
        <v>638</v>
      </c>
      <c r="AS76" s="366"/>
      <c r="AT76" s="366"/>
      <c r="AU76" s="367"/>
      <c r="AV76" s="337" t="s">
        <v>637</v>
      </c>
      <c r="AW76" s="337"/>
      <c r="AX76" s="337"/>
      <c r="AY76" s="337"/>
      <c r="AZ76" s="337"/>
      <c r="BA76" s="337"/>
      <c r="BG76" s="291"/>
      <c r="BH76" s="291"/>
      <c r="BI76" s="291"/>
      <c r="BJ76" s="291"/>
      <c r="BK76" s="291"/>
      <c r="BO76" s="357"/>
      <c r="BP76" s="514" t="s">
        <v>1003</v>
      </c>
      <c r="BQ76" s="515"/>
      <c r="BR76" s="515"/>
      <c r="BS76" s="515"/>
      <c r="BT76" s="515"/>
      <c r="BU76" s="515"/>
      <c r="BV76" s="515"/>
      <c r="BW76" s="515"/>
      <c r="BX76" s="515"/>
      <c r="BY76" s="515"/>
      <c r="BZ76" s="515"/>
      <c r="CA76" s="515"/>
      <c r="CB76" s="515"/>
      <c r="CC76" s="424">
        <v>0.96599999999999997</v>
      </c>
      <c r="CD76" s="425"/>
      <c r="CE76" s="536" t="s">
        <v>944</v>
      </c>
      <c r="CF76" s="537"/>
      <c r="CG76" s="386"/>
      <c r="CH76" s="492" t="s">
        <v>1015</v>
      </c>
      <c r="CI76" s="493"/>
      <c r="CJ76" s="379"/>
      <c r="CT76" s="291"/>
      <c r="CU76" s="291"/>
      <c r="CV76" s="291"/>
      <c r="CW76" s="291"/>
      <c r="CX76" s="291"/>
      <c r="CY76" s="291"/>
      <c r="CZ76" s="291"/>
      <c r="DA76" s="291"/>
      <c r="DB76" s="291"/>
      <c r="DC76" s="291"/>
      <c r="DD76" s="291"/>
      <c r="DE76" s="291"/>
      <c r="DF76" s="291"/>
      <c r="DG76" s="291"/>
      <c r="DH76" s="291"/>
      <c r="DI76" s="291"/>
      <c r="DJ76" s="291"/>
      <c r="DK76" s="291"/>
      <c r="DL76" s="291"/>
      <c r="DM76" s="291"/>
      <c r="DN76" s="291"/>
      <c r="DO76" s="291"/>
      <c r="DQ76" s="356"/>
      <c r="DR76" s="384" t="s">
        <v>55</v>
      </c>
      <c r="DS76" s="384"/>
      <c r="DT76" s="384"/>
      <c r="DU76" s="384"/>
      <c r="DV76" s="384"/>
      <c r="DW76" s="384"/>
      <c r="DX76" s="384"/>
      <c r="DY76" s="384"/>
      <c r="DZ76" s="384"/>
      <c r="EA76" s="384"/>
      <c r="EB76" s="384"/>
      <c r="EC76" s="384"/>
      <c r="ED76" s="447"/>
      <c r="EE76" s="348">
        <f>EE52-(EE40+((EE72-EE44)/2))</f>
        <v>19.19176674511716</v>
      </c>
      <c r="EF76" s="349"/>
      <c r="EG76" s="420" t="s">
        <v>53</v>
      </c>
      <c r="EH76" s="421"/>
      <c r="EI76" s="386"/>
      <c r="EJ76" s="375" t="s">
        <v>1079</v>
      </c>
      <c r="EK76" s="376"/>
      <c r="EL76" s="379"/>
      <c r="EW76" s="286"/>
      <c r="EX76" s="286"/>
      <c r="EY76" s="286"/>
      <c r="EZ76" s="286"/>
      <c r="FA76" s="286"/>
      <c r="FB76" s="286"/>
      <c r="FC76" s="286"/>
      <c r="FD76" s="286"/>
      <c r="FE76" s="286"/>
      <c r="FF76" s="286"/>
      <c r="FG76" s="286"/>
      <c r="FH76" s="286"/>
      <c r="FI76" s="286"/>
      <c r="FJ76" s="286"/>
      <c r="FK76" s="286"/>
      <c r="FL76" s="286"/>
      <c r="FM76" s="286"/>
      <c r="FN76" s="286"/>
      <c r="FO76" s="286"/>
      <c r="FP76" s="286"/>
      <c r="FQ76" s="286"/>
      <c r="FR76" s="286"/>
      <c r="FT76" s="12"/>
      <c r="FU76" s="3"/>
      <c r="FV76" s="3"/>
      <c r="FW76" s="356"/>
      <c r="FX76" s="344" t="s">
        <v>1047</v>
      </c>
      <c r="FY76" s="345"/>
      <c r="FZ76" s="345"/>
      <c r="GA76" s="345"/>
      <c r="GB76" s="345"/>
      <c r="GC76" s="345"/>
      <c r="GD76" s="345"/>
      <c r="GE76" s="345"/>
      <c r="GF76" s="345"/>
      <c r="GG76" s="345"/>
      <c r="GH76" s="345"/>
      <c r="GI76" s="345"/>
      <c r="GJ76" s="345"/>
      <c r="GK76" s="388">
        <f>(AQ56*GK32*1000*AN77)/(EH16*AN77*EE36)</f>
        <v>5.690414820137554</v>
      </c>
      <c r="GL76" s="371"/>
      <c r="GM76" s="406" t="s">
        <v>53</v>
      </c>
      <c r="GN76" s="408"/>
      <c r="GO76" s="373"/>
      <c r="GP76" s="428" t="s">
        <v>1048</v>
      </c>
      <c r="GQ76" s="429"/>
      <c r="GR76" s="379"/>
      <c r="IH76" s="357"/>
      <c r="II76" s="344" t="s">
        <v>106</v>
      </c>
      <c r="IJ76" s="345"/>
      <c r="IK76" s="345"/>
      <c r="IL76" s="345"/>
      <c r="IM76" s="345"/>
      <c r="IN76" s="345"/>
      <c r="IO76" s="345"/>
      <c r="IP76" s="345"/>
      <c r="IQ76" s="345"/>
      <c r="IR76" s="345"/>
      <c r="IS76" s="345"/>
      <c r="IT76" s="345"/>
      <c r="IU76" s="345"/>
      <c r="IV76" s="348">
        <f>(3.14*(AN20*1000-EE32))/AN16</f>
        <v>414.61904418269114</v>
      </c>
      <c r="IW76" s="349"/>
      <c r="IX76" s="352"/>
      <c r="IY76" s="353"/>
      <c r="IZ76" s="373"/>
      <c r="JA76" s="375" t="s">
        <v>604</v>
      </c>
      <c r="JB76" s="376"/>
      <c r="JC76" s="379"/>
      <c r="JZ76" s="8"/>
      <c r="KW76" s="16"/>
      <c r="KX76" s="3"/>
      <c r="KY76" s="3"/>
      <c r="LP76" s="357"/>
      <c r="LQ76" s="344" t="s">
        <v>143</v>
      </c>
      <c r="LR76" s="345"/>
      <c r="LS76" s="345"/>
      <c r="LT76" s="345"/>
      <c r="LU76" s="345"/>
      <c r="LV76" s="345"/>
      <c r="LW76" s="345"/>
      <c r="LX76" s="345"/>
      <c r="LY76" s="345"/>
      <c r="LZ76" s="345"/>
      <c r="MA76" s="345"/>
      <c r="MB76" s="345"/>
      <c r="MC76" s="345"/>
      <c r="MD76" s="348">
        <f>0.25*(1+3*MD72)</f>
        <v>0.77499999999999991</v>
      </c>
      <c r="ME76" s="349"/>
      <c r="MF76" s="390"/>
      <c r="MG76" s="371"/>
      <c r="MH76" s="386"/>
      <c r="MI76" s="375" t="s">
        <v>604</v>
      </c>
      <c r="MJ76" s="376"/>
      <c r="MK76" s="379"/>
      <c r="OZ76" s="357"/>
      <c r="PA76" s="344"/>
      <c r="PB76" s="345"/>
      <c r="PC76" s="345"/>
      <c r="PD76" s="345"/>
      <c r="PE76" s="345"/>
      <c r="PF76" s="345"/>
      <c r="PG76" s="345"/>
      <c r="PH76" s="345"/>
      <c r="PI76" s="345"/>
      <c r="PJ76" s="345"/>
      <c r="PK76" s="345"/>
      <c r="PL76" s="345"/>
      <c r="PM76" s="345"/>
      <c r="PN76" s="348"/>
      <c r="PO76" s="349"/>
      <c r="PP76" s="390"/>
      <c r="PQ76" s="371"/>
      <c r="PR76" s="373"/>
      <c r="PS76" s="375" t="s">
        <v>604</v>
      </c>
      <c r="PT76" s="376"/>
      <c r="PU76" s="379"/>
      <c r="QZ76" s="8" t="s">
        <v>226</v>
      </c>
      <c r="RA76" s="10" t="s">
        <v>268</v>
      </c>
      <c r="RB76" s="6">
        <f>(NA92+3*IV116^2*MD12)/(3*AH6)</f>
        <v>1.2789576213148179</v>
      </c>
      <c r="RC76" s="6"/>
      <c r="RF76" s="12"/>
      <c r="RG76" s="3"/>
      <c r="RH76" s="3"/>
      <c r="VL76" s="357"/>
      <c r="VM76" s="384"/>
      <c r="VN76" s="384"/>
      <c r="VO76" s="384"/>
      <c r="VP76" s="384"/>
      <c r="VQ76" s="384"/>
      <c r="VR76" s="384"/>
      <c r="VS76" s="384"/>
      <c r="VT76" s="384"/>
      <c r="VU76" s="384"/>
      <c r="VV76" s="384"/>
      <c r="VW76" s="384"/>
      <c r="VX76" s="384"/>
      <c r="VY76" s="384"/>
      <c r="VZ76" s="348"/>
      <c r="WA76" s="349"/>
      <c r="WB76" s="370"/>
      <c r="WC76" s="371"/>
      <c r="WD76" s="386"/>
      <c r="WE76" s="375" t="s">
        <v>604</v>
      </c>
      <c r="WF76" s="376"/>
      <c r="WG76" s="379"/>
      <c r="ZG76" s="357"/>
      <c r="ZH76" s="384"/>
      <c r="ZI76" s="384"/>
      <c r="ZJ76" s="384"/>
      <c r="ZK76" s="384"/>
      <c r="ZL76" s="384"/>
      <c r="ZM76" s="384"/>
      <c r="ZN76" s="384"/>
      <c r="ZO76" s="384"/>
      <c r="ZP76" s="384"/>
      <c r="ZQ76" s="384"/>
      <c r="ZR76" s="384"/>
      <c r="ZS76" s="384"/>
      <c r="ZT76" s="384"/>
      <c r="ZU76" s="348"/>
      <c r="ZV76" s="349"/>
      <c r="ZW76" s="370"/>
      <c r="ZX76" s="371"/>
      <c r="ZY76" s="386"/>
      <c r="ZZ76" s="375" t="s">
        <v>604</v>
      </c>
      <c r="AAA76" s="376"/>
      <c r="AAB76" s="379"/>
    </row>
    <row r="77" spans="5:704" ht="48" customHeight="1" thickBot="1" x14ac:dyDescent="0.35">
      <c r="G77" s="3"/>
      <c r="H77" s="3"/>
      <c r="I77" s="3"/>
      <c r="J77" s="3"/>
      <c r="Z77" s="357"/>
      <c r="AA77" s="514" t="s">
        <v>22</v>
      </c>
      <c r="AB77" s="515"/>
      <c r="AC77" s="515"/>
      <c r="AD77" s="515"/>
      <c r="AE77" s="515"/>
      <c r="AF77" s="515"/>
      <c r="AG77" s="515"/>
      <c r="AH77" s="515"/>
      <c r="AI77" s="515"/>
      <c r="AJ77" s="515"/>
      <c r="AK77" s="515"/>
      <c r="AL77" s="515"/>
      <c r="AM77" s="515"/>
      <c r="AN77" s="388">
        <f>AN40/(AO69*AN32^2*AN73*AN64*AQ60*AQ56)</f>
        <v>0.12216890486546117</v>
      </c>
      <c r="AO77" s="371"/>
      <c r="AP77" s="612" t="s">
        <v>916</v>
      </c>
      <c r="AQ77" s="613"/>
      <c r="AR77" s="386"/>
      <c r="AS77" s="416" t="s">
        <v>945</v>
      </c>
      <c r="AT77" s="417"/>
      <c r="AU77" s="379"/>
      <c r="AV77" s="399"/>
      <c r="AW77" s="399"/>
      <c r="AX77" s="399"/>
      <c r="AY77" s="399"/>
      <c r="AZ77" s="399"/>
      <c r="BA77" s="399"/>
      <c r="BG77" s="291"/>
      <c r="BH77" s="291"/>
      <c r="BI77" s="291"/>
      <c r="BJ77" s="291"/>
      <c r="BK77" s="291"/>
      <c r="BO77" s="358"/>
      <c r="BP77" s="517"/>
      <c r="BQ77" s="518"/>
      <c r="BR77" s="518"/>
      <c r="BS77" s="518"/>
      <c r="BT77" s="518"/>
      <c r="BU77" s="518"/>
      <c r="BV77" s="518"/>
      <c r="BW77" s="518"/>
      <c r="BX77" s="518"/>
      <c r="BY77" s="518"/>
      <c r="BZ77" s="518"/>
      <c r="CA77" s="518"/>
      <c r="CB77" s="518"/>
      <c r="CC77" s="426"/>
      <c r="CD77" s="427"/>
      <c r="CE77" s="538"/>
      <c r="CF77" s="539"/>
      <c r="CG77" s="387"/>
      <c r="CH77" s="494"/>
      <c r="CI77" s="495"/>
      <c r="CJ77" s="380"/>
      <c r="CT77" s="291"/>
      <c r="CU77" s="291"/>
      <c r="CV77" s="291"/>
      <c r="CW77" s="291"/>
      <c r="CX77" s="291"/>
      <c r="CY77" s="291"/>
      <c r="CZ77" s="291"/>
      <c r="DA77" s="291"/>
      <c r="DB77" s="291"/>
      <c r="DC77" s="291"/>
      <c r="DD77" s="291"/>
      <c r="DE77" s="291"/>
      <c r="DF77" s="291"/>
      <c r="DG77" s="291"/>
      <c r="DH77" s="291"/>
      <c r="DI77" s="291"/>
      <c r="DJ77" s="291"/>
      <c r="DK77" s="291"/>
      <c r="DL77" s="291"/>
      <c r="DM77" s="291"/>
      <c r="DN77" s="291"/>
      <c r="DO77" s="291"/>
      <c r="DQ77" s="358"/>
      <c r="DR77" s="385"/>
      <c r="DS77" s="385"/>
      <c r="DT77" s="385"/>
      <c r="DU77" s="385"/>
      <c r="DV77" s="385"/>
      <c r="DW77" s="385"/>
      <c r="DX77" s="385"/>
      <c r="DY77" s="385"/>
      <c r="DZ77" s="385"/>
      <c r="EA77" s="385"/>
      <c r="EB77" s="385"/>
      <c r="EC77" s="385"/>
      <c r="ED77" s="351"/>
      <c r="EE77" s="350"/>
      <c r="EF77" s="351"/>
      <c r="EG77" s="422"/>
      <c r="EH77" s="423"/>
      <c r="EI77" s="387"/>
      <c r="EJ77" s="377"/>
      <c r="EK77" s="378"/>
      <c r="EL77" s="380"/>
      <c r="EW77" s="286"/>
      <c r="EX77" s="286"/>
      <c r="EY77" s="286"/>
      <c r="EZ77" s="286"/>
      <c r="FA77" s="286"/>
      <c r="FB77" s="286"/>
      <c r="FC77" s="286"/>
      <c r="FD77" s="286"/>
      <c r="FE77" s="286"/>
      <c r="FF77" s="286"/>
      <c r="FG77" s="286"/>
      <c r="FH77" s="286"/>
      <c r="FI77" s="286"/>
      <c r="FJ77" s="286"/>
      <c r="FK77" s="286"/>
      <c r="FL77" s="286"/>
      <c r="FM77" s="286"/>
      <c r="FN77" s="286"/>
      <c r="FO77" s="286"/>
      <c r="FT77" s="12"/>
      <c r="FU77" s="3"/>
      <c r="FV77" s="3"/>
      <c r="FW77" s="358"/>
      <c r="FX77" s="346"/>
      <c r="FY77" s="347"/>
      <c r="FZ77" s="347"/>
      <c r="GA77" s="347"/>
      <c r="GB77" s="347"/>
      <c r="GC77" s="347"/>
      <c r="GD77" s="347"/>
      <c r="GE77" s="347"/>
      <c r="GF77" s="347"/>
      <c r="GG77" s="347"/>
      <c r="GH77" s="347"/>
      <c r="GI77" s="347"/>
      <c r="GJ77" s="347"/>
      <c r="GK77" s="389"/>
      <c r="GL77" s="372"/>
      <c r="GM77" s="409"/>
      <c r="GN77" s="411"/>
      <c r="GO77" s="374"/>
      <c r="GP77" s="430"/>
      <c r="GQ77" s="431"/>
      <c r="GR77" s="380"/>
      <c r="IH77" s="358"/>
      <c r="II77" s="346"/>
      <c r="IJ77" s="347"/>
      <c r="IK77" s="347"/>
      <c r="IL77" s="347"/>
      <c r="IM77" s="347"/>
      <c r="IN77" s="347"/>
      <c r="IO77" s="347"/>
      <c r="IP77" s="347"/>
      <c r="IQ77" s="347"/>
      <c r="IR77" s="347"/>
      <c r="IS77" s="347"/>
      <c r="IT77" s="347"/>
      <c r="IU77" s="347"/>
      <c r="IV77" s="350"/>
      <c r="IW77" s="351"/>
      <c r="IX77" s="354"/>
      <c r="IY77" s="355"/>
      <c r="IZ77" s="374"/>
      <c r="JA77" s="377"/>
      <c r="JB77" s="378"/>
      <c r="JC77" s="380"/>
      <c r="JZ77" s="8"/>
      <c r="KW77" s="16"/>
      <c r="KX77" s="3"/>
      <c r="KY77" s="3"/>
      <c r="LP77" s="358"/>
      <c r="LQ77" s="346"/>
      <c r="LR77" s="347"/>
      <c r="LS77" s="347"/>
      <c r="LT77" s="347"/>
      <c r="LU77" s="347"/>
      <c r="LV77" s="347"/>
      <c r="LW77" s="347"/>
      <c r="LX77" s="347"/>
      <c r="LY77" s="347"/>
      <c r="LZ77" s="347"/>
      <c r="MA77" s="347"/>
      <c r="MB77" s="347"/>
      <c r="MC77" s="347"/>
      <c r="MD77" s="350"/>
      <c r="ME77" s="351"/>
      <c r="MF77" s="347"/>
      <c r="MG77" s="372"/>
      <c r="MH77" s="387"/>
      <c r="MI77" s="377"/>
      <c r="MJ77" s="378"/>
      <c r="MK77" s="380"/>
      <c r="OZ77" s="358"/>
      <c r="PA77" s="346"/>
      <c r="PB77" s="347"/>
      <c r="PC77" s="347"/>
      <c r="PD77" s="347"/>
      <c r="PE77" s="347"/>
      <c r="PF77" s="347"/>
      <c r="PG77" s="347"/>
      <c r="PH77" s="347"/>
      <c r="PI77" s="347"/>
      <c r="PJ77" s="347"/>
      <c r="PK77" s="347"/>
      <c r="PL77" s="347"/>
      <c r="PM77" s="347"/>
      <c r="PN77" s="350"/>
      <c r="PO77" s="351"/>
      <c r="PP77" s="347"/>
      <c r="PQ77" s="372"/>
      <c r="PR77" s="374"/>
      <c r="PS77" s="377"/>
      <c r="PT77" s="378"/>
      <c r="PU77" s="380"/>
      <c r="QZ77" s="8"/>
      <c r="RA77" s="10"/>
      <c r="RB77" s="6">
        <f>RB75^2</f>
        <v>1.0040217183882849</v>
      </c>
      <c r="RC77" s="6"/>
      <c r="RF77" s="12"/>
      <c r="RG77" s="3"/>
      <c r="RH77" s="3"/>
      <c r="VL77" s="358"/>
      <c r="VM77" s="385"/>
      <c r="VN77" s="385"/>
      <c r="VO77" s="385"/>
      <c r="VP77" s="385"/>
      <c r="VQ77" s="385"/>
      <c r="VR77" s="385"/>
      <c r="VS77" s="385"/>
      <c r="VT77" s="385"/>
      <c r="VU77" s="385"/>
      <c r="VV77" s="385"/>
      <c r="VW77" s="385"/>
      <c r="VX77" s="385"/>
      <c r="VY77" s="385"/>
      <c r="VZ77" s="350"/>
      <c r="WA77" s="351"/>
      <c r="WB77" s="346"/>
      <c r="WC77" s="372"/>
      <c r="WD77" s="387"/>
      <c r="WE77" s="377"/>
      <c r="WF77" s="378"/>
      <c r="WG77" s="380"/>
      <c r="ZG77" s="358"/>
      <c r="ZH77" s="385"/>
      <c r="ZI77" s="385"/>
      <c r="ZJ77" s="385"/>
      <c r="ZK77" s="385"/>
      <c r="ZL77" s="385"/>
      <c r="ZM77" s="385"/>
      <c r="ZN77" s="385"/>
      <c r="ZO77" s="385"/>
      <c r="ZP77" s="385"/>
      <c r="ZQ77" s="385"/>
      <c r="ZR77" s="385"/>
      <c r="ZS77" s="385"/>
      <c r="ZT77" s="385"/>
      <c r="ZU77" s="350"/>
      <c r="ZV77" s="351"/>
      <c r="ZW77" s="346"/>
      <c r="ZX77" s="372"/>
      <c r="ZY77" s="387"/>
      <c r="ZZ77" s="377"/>
      <c r="AAA77" s="378"/>
      <c r="AAB77" s="380"/>
    </row>
    <row r="78" spans="5:704" ht="48" customHeight="1" thickBot="1" x14ac:dyDescent="0.35">
      <c r="G78" s="3"/>
      <c r="H78" s="3"/>
      <c r="I78" s="3"/>
      <c r="J78" s="3"/>
      <c r="Z78" s="358"/>
      <c r="AA78" s="517"/>
      <c r="AB78" s="518"/>
      <c r="AC78" s="518"/>
      <c r="AD78" s="518"/>
      <c r="AE78" s="518"/>
      <c r="AF78" s="518"/>
      <c r="AG78" s="518"/>
      <c r="AH78" s="518"/>
      <c r="AI78" s="518"/>
      <c r="AJ78" s="518"/>
      <c r="AK78" s="518"/>
      <c r="AL78" s="518"/>
      <c r="AM78" s="518"/>
      <c r="AN78" s="389"/>
      <c r="AO78" s="372"/>
      <c r="AP78" s="614"/>
      <c r="AQ78" s="615"/>
      <c r="AR78" s="387"/>
      <c r="AS78" s="418"/>
      <c r="AT78" s="419"/>
      <c r="AU78" s="380"/>
      <c r="AV78" s="399"/>
      <c r="AW78" s="399"/>
      <c r="AX78" s="399"/>
      <c r="AY78" s="399"/>
      <c r="AZ78" s="399"/>
      <c r="BA78" s="399"/>
      <c r="BG78" s="291"/>
      <c r="BH78" s="291"/>
      <c r="BI78" s="291"/>
      <c r="BJ78" s="291"/>
      <c r="BK78" s="291"/>
      <c r="DA78" s="291"/>
      <c r="DB78" s="291"/>
      <c r="DC78" s="291"/>
      <c r="DD78" s="291"/>
      <c r="DE78" s="291"/>
      <c r="DF78" s="291"/>
      <c r="DG78" s="291"/>
      <c r="DH78" s="291"/>
      <c r="DI78" s="291"/>
      <c r="DJ78" s="291"/>
      <c r="DK78" s="291"/>
      <c r="DL78" s="291"/>
      <c r="DM78" s="291"/>
      <c r="DN78" s="291"/>
      <c r="DO78" s="291"/>
      <c r="EW78" s="286"/>
      <c r="EX78" s="286"/>
      <c r="EY78" s="286"/>
      <c r="EZ78" s="286"/>
      <c r="FA78" s="286"/>
      <c r="FB78" s="286"/>
      <c r="FC78" s="286"/>
      <c r="FD78" s="286"/>
      <c r="FE78" s="286"/>
      <c r="FF78" s="286"/>
      <c r="FG78" s="286"/>
      <c r="FH78" s="286"/>
      <c r="FI78" s="286"/>
      <c r="FJ78" s="286"/>
      <c r="FK78" s="286"/>
      <c r="FL78" s="286"/>
      <c r="FM78" s="286"/>
      <c r="FN78" s="286"/>
      <c r="FO78" s="286"/>
      <c r="FT78" s="12"/>
      <c r="FU78" s="3"/>
      <c r="FV78" s="3"/>
      <c r="JZ78" s="8" t="s">
        <v>113</v>
      </c>
      <c r="KW78" s="16"/>
      <c r="KX78" s="3"/>
      <c r="KY78" s="3"/>
      <c r="QZ78" s="8"/>
      <c r="RA78" s="10"/>
      <c r="RB78" s="6">
        <f>RB75*MD12</f>
        <v>0.11909933342270675</v>
      </c>
      <c r="RC78" s="6"/>
      <c r="RF78" s="12"/>
      <c r="RG78" s="3"/>
      <c r="RH78" s="3"/>
    </row>
    <row r="79" spans="5:704" ht="48" customHeight="1" thickBot="1" x14ac:dyDescent="0.35">
      <c r="G79" s="3"/>
      <c r="H79" s="3"/>
      <c r="I79" s="3"/>
      <c r="J79" s="3"/>
      <c r="BG79" s="291"/>
      <c r="BH79" s="291"/>
      <c r="BI79" s="291"/>
      <c r="BJ79" s="291"/>
      <c r="BK79" s="291"/>
      <c r="BO79" s="356"/>
      <c r="BP79" s="546" t="s">
        <v>29</v>
      </c>
      <c r="BQ79" s="547"/>
      <c r="BR79" s="295"/>
      <c r="BS79" s="175"/>
      <c r="BT79" s="175"/>
      <c r="BU79" s="175"/>
      <c r="BV79" s="175"/>
      <c r="BW79" s="175"/>
      <c r="BX79" s="175"/>
      <c r="BY79" s="295"/>
      <c r="BZ79" s="173" t="s">
        <v>629</v>
      </c>
      <c r="CA79" s="359" t="s">
        <v>623</v>
      </c>
      <c r="CB79" s="381"/>
      <c r="CC79" s="508" t="s">
        <v>189</v>
      </c>
      <c r="CD79" s="510"/>
      <c r="CE79" s="363" t="s">
        <v>910</v>
      </c>
      <c r="CF79" s="364"/>
      <c r="CG79" s="365" t="s">
        <v>638</v>
      </c>
      <c r="CH79" s="366"/>
      <c r="CI79" s="366"/>
      <c r="CJ79" s="367"/>
      <c r="DA79" s="291"/>
      <c r="DB79" s="291"/>
      <c r="DC79" s="291"/>
      <c r="DD79" s="291"/>
      <c r="DE79" s="291"/>
      <c r="DF79" s="291"/>
      <c r="DG79" s="291"/>
      <c r="DH79" s="291"/>
      <c r="DI79" s="291"/>
      <c r="DJ79" s="291"/>
      <c r="DK79" s="291"/>
      <c r="DL79" s="291"/>
      <c r="DM79" s="291"/>
      <c r="DN79" s="291"/>
      <c r="DO79" s="291"/>
      <c r="DQ79" s="173" t="s">
        <v>1050</v>
      </c>
      <c r="DR79" s="297" t="s">
        <v>604</v>
      </c>
      <c r="DS79" s="298"/>
      <c r="DT79" s="315"/>
      <c r="DU79" s="175"/>
      <c r="DV79" s="175"/>
      <c r="DW79" s="175"/>
      <c r="DX79" s="175"/>
      <c r="DY79" s="175"/>
      <c r="DZ79" s="175"/>
      <c r="EA79" s="315"/>
      <c r="EB79" s="173" t="s">
        <v>629</v>
      </c>
      <c r="EC79" s="359" t="s">
        <v>623</v>
      </c>
      <c r="ED79" s="381"/>
      <c r="EE79" s="382" t="s">
        <v>189</v>
      </c>
      <c r="EF79" s="383"/>
      <c r="EG79" s="363" t="s">
        <v>910</v>
      </c>
      <c r="EH79" s="364"/>
      <c r="EI79" s="365" t="s">
        <v>638</v>
      </c>
      <c r="EJ79" s="366"/>
      <c r="EK79" s="366"/>
      <c r="EL79" s="367"/>
      <c r="EW79" s="286"/>
      <c r="EX79" s="286"/>
      <c r="EY79" s="286"/>
      <c r="EZ79" s="286"/>
      <c r="FA79" s="286"/>
      <c r="FB79" s="286"/>
      <c r="FC79" s="286"/>
      <c r="FD79" s="286"/>
      <c r="FE79" s="286"/>
      <c r="FF79" s="286"/>
      <c r="FG79" s="286"/>
      <c r="FH79" s="286"/>
      <c r="FI79" s="286"/>
      <c r="FJ79" s="286"/>
      <c r="FK79" s="286"/>
      <c r="FL79" s="286"/>
      <c r="FM79" s="286"/>
      <c r="FN79" s="286"/>
      <c r="FO79" s="286"/>
      <c r="FT79" s="12"/>
      <c r="FU79" s="3"/>
      <c r="FV79" s="3"/>
      <c r="FW79" s="173" t="s">
        <v>1050</v>
      </c>
      <c r="FX79" s="297" t="s">
        <v>604</v>
      </c>
      <c r="FY79" s="298"/>
      <c r="FZ79" s="315"/>
      <c r="GA79" s="175"/>
      <c r="GB79" s="175"/>
      <c r="GC79" s="175"/>
      <c r="GD79" s="175"/>
      <c r="GE79" s="175"/>
      <c r="GF79" s="175"/>
      <c r="GG79" s="315"/>
      <c r="GH79" s="173" t="s">
        <v>629</v>
      </c>
      <c r="GI79" s="359" t="s">
        <v>623</v>
      </c>
      <c r="GJ79" s="360"/>
      <c r="GK79" s="361" t="s">
        <v>189</v>
      </c>
      <c r="GL79" s="362"/>
      <c r="GM79" s="363" t="s">
        <v>910</v>
      </c>
      <c r="GN79" s="364"/>
      <c r="GO79" s="365" t="s">
        <v>638</v>
      </c>
      <c r="GP79" s="366"/>
      <c r="GQ79" s="366"/>
      <c r="GR79" s="367"/>
      <c r="GS79" s="365" t="s">
        <v>624</v>
      </c>
      <c r="GT79" s="366"/>
      <c r="GU79" s="366"/>
      <c r="GV79" s="366"/>
      <c r="GW79" s="366"/>
      <c r="GX79" s="366"/>
      <c r="GY79" s="367"/>
      <c r="IH79" s="356"/>
      <c r="II79" s="297" t="s">
        <v>604</v>
      </c>
      <c r="IJ79" s="298"/>
      <c r="IK79" s="321"/>
      <c r="IL79" s="175"/>
      <c r="IM79" s="175"/>
      <c r="IN79" s="175"/>
      <c r="IO79" s="175"/>
      <c r="IP79" s="175"/>
      <c r="IQ79" s="175"/>
      <c r="IR79" s="321"/>
      <c r="IS79" s="173" t="s">
        <v>629</v>
      </c>
      <c r="IT79" s="359" t="s">
        <v>623</v>
      </c>
      <c r="IU79" s="360"/>
      <c r="IV79" s="361" t="s">
        <v>189</v>
      </c>
      <c r="IW79" s="362"/>
      <c r="IX79" s="363" t="s">
        <v>910</v>
      </c>
      <c r="IY79" s="364"/>
      <c r="IZ79" s="365" t="s">
        <v>638</v>
      </c>
      <c r="JA79" s="366"/>
      <c r="JB79" s="366"/>
      <c r="JC79" s="367"/>
      <c r="JZ79" s="8"/>
      <c r="KW79" s="16"/>
      <c r="KX79" s="3"/>
      <c r="KY79" s="3"/>
      <c r="LP79" s="356"/>
      <c r="LQ79" s="297" t="s">
        <v>604</v>
      </c>
      <c r="LR79" s="298"/>
      <c r="LS79" s="321"/>
      <c r="LT79" s="175"/>
      <c r="LU79" s="175"/>
      <c r="LV79" s="175"/>
      <c r="LW79" s="175"/>
      <c r="LX79" s="175"/>
      <c r="LY79" s="175"/>
      <c r="LZ79" s="321"/>
      <c r="MA79" s="173" t="s">
        <v>629</v>
      </c>
      <c r="MB79" s="393" t="s">
        <v>623</v>
      </c>
      <c r="MC79" s="394"/>
      <c r="MD79" s="382" t="s">
        <v>189</v>
      </c>
      <c r="ME79" s="383"/>
      <c r="MF79" s="363" t="s">
        <v>910</v>
      </c>
      <c r="MG79" s="364"/>
      <c r="MH79" s="365" t="s">
        <v>638</v>
      </c>
      <c r="MI79" s="366"/>
      <c r="MJ79" s="366"/>
      <c r="MK79" s="367"/>
      <c r="QZ79" s="8"/>
      <c r="RA79" s="10"/>
      <c r="RB79" s="6">
        <v>0</v>
      </c>
      <c r="RC79" s="6"/>
      <c r="RF79" s="12"/>
      <c r="RG79" s="3"/>
      <c r="RH79" s="3"/>
      <c r="VL79" s="356"/>
      <c r="VM79" s="297" t="s">
        <v>604</v>
      </c>
      <c r="VN79" s="298"/>
      <c r="VO79" s="321"/>
      <c r="VP79" s="175"/>
      <c r="VQ79" s="175"/>
      <c r="VR79" s="175"/>
      <c r="VS79" s="175"/>
      <c r="VT79" s="175"/>
      <c r="VU79" s="175"/>
      <c r="VV79" s="321"/>
      <c r="VW79" s="173" t="s">
        <v>629</v>
      </c>
      <c r="VX79" s="359" t="s">
        <v>623</v>
      </c>
      <c r="VY79" s="381"/>
      <c r="VZ79" s="382" t="s">
        <v>189</v>
      </c>
      <c r="WA79" s="383"/>
      <c r="WB79" s="363" t="s">
        <v>910</v>
      </c>
      <c r="WC79" s="364"/>
      <c r="WD79" s="365" t="s">
        <v>638</v>
      </c>
      <c r="WE79" s="366"/>
      <c r="WF79" s="366"/>
      <c r="WG79" s="367"/>
      <c r="ZG79" s="356"/>
      <c r="ZH79" s="297" t="s">
        <v>604</v>
      </c>
      <c r="ZI79" s="298"/>
      <c r="ZJ79" s="321"/>
      <c r="ZK79" s="175"/>
      <c r="ZL79" s="175"/>
      <c r="ZM79" s="175"/>
      <c r="ZN79" s="175"/>
      <c r="ZO79" s="175"/>
      <c r="ZP79" s="175"/>
      <c r="ZQ79" s="321"/>
      <c r="ZR79" s="173" t="s">
        <v>629</v>
      </c>
      <c r="ZS79" s="359" t="s">
        <v>623</v>
      </c>
      <c r="ZT79" s="381"/>
      <c r="ZU79" s="382" t="s">
        <v>189</v>
      </c>
      <c r="ZV79" s="383"/>
      <c r="ZW79" s="363" t="s">
        <v>910</v>
      </c>
      <c r="ZX79" s="364"/>
      <c r="ZY79" s="365" t="s">
        <v>638</v>
      </c>
      <c r="ZZ79" s="366"/>
      <c r="AAA79" s="366"/>
      <c r="AAB79" s="367"/>
    </row>
    <row r="80" spans="5:704" ht="48" customHeight="1" thickBot="1" x14ac:dyDescent="0.35">
      <c r="G80" s="3"/>
      <c r="H80" s="3"/>
      <c r="I80" s="3"/>
      <c r="J80" s="3"/>
      <c r="Z80" s="356"/>
      <c r="AA80" s="572" t="s">
        <v>604</v>
      </c>
      <c r="AB80" s="572"/>
      <c r="AC80" s="276"/>
      <c r="AD80" s="175"/>
      <c r="AE80" s="175"/>
      <c r="AF80" s="175"/>
      <c r="AG80" s="175"/>
      <c r="AH80" s="175"/>
      <c r="AI80" s="175"/>
      <c r="AJ80" s="276"/>
      <c r="AK80" s="173" t="s">
        <v>629</v>
      </c>
      <c r="AL80" s="359" t="s">
        <v>623</v>
      </c>
      <c r="AM80" s="381"/>
      <c r="AN80" s="382" t="s">
        <v>189</v>
      </c>
      <c r="AO80" s="383"/>
      <c r="AP80" s="363" t="s">
        <v>910</v>
      </c>
      <c r="AQ80" s="364"/>
      <c r="AR80" s="365" t="s">
        <v>638</v>
      </c>
      <c r="AS80" s="366"/>
      <c r="AT80" s="366"/>
      <c r="AU80" s="367"/>
      <c r="AV80" s="365" t="s">
        <v>637</v>
      </c>
      <c r="AW80" s="366"/>
      <c r="AX80" s="367"/>
      <c r="BG80" s="291"/>
      <c r="BH80" s="291"/>
      <c r="BI80" s="291"/>
      <c r="BJ80" s="291"/>
      <c r="BK80" s="291"/>
      <c r="BO80" s="357"/>
      <c r="BP80" s="523" t="s">
        <v>975</v>
      </c>
      <c r="BQ80" s="515"/>
      <c r="BR80" s="515"/>
      <c r="BS80" s="515"/>
      <c r="BT80" s="515"/>
      <c r="BU80" s="515"/>
      <c r="BV80" s="515"/>
      <c r="BW80" s="515"/>
      <c r="BX80" s="515"/>
      <c r="BY80" s="515"/>
      <c r="BZ80" s="515"/>
      <c r="CA80" s="515"/>
      <c r="CB80" s="516"/>
      <c r="CC80" s="534">
        <v>0.95109999999999995</v>
      </c>
      <c r="CD80" s="535"/>
      <c r="CE80" s="536" t="s">
        <v>944</v>
      </c>
      <c r="CF80" s="537"/>
      <c r="CG80" s="386"/>
      <c r="CH80" s="476" t="s">
        <v>1002</v>
      </c>
      <c r="CI80" s="531"/>
      <c r="CJ80" s="379"/>
      <c r="DA80" s="291"/>
      <c r="DB80" s="291"/>
      <c r="DC80" s="291"/>
      <c r="DD80" s="291"/>
      <c r="DE80" s="291"/>
      <c r="DF80" s="291"/>
      <c r="DG80" s="291"/>
      <c r="DH80" s="291"/>
      <c r="DI80" s="291"/>
      <c r="DJ80" s="291"/>
      <c r="DK80" s="291"/>
      <c r="DL80" s="291"/>
      <c r="DM80" s="291"/>
      <c r="DN80" s="291"/>
      <c r="DO80" s="291"/>
      <c r="DQ80" s="356"/>
      <c r="DR80" s="384" t="s">
        <v>56</v>
      </c>
      <c r="DS80" s="384"/>
      <c r="DT80" s="384"/>
      <c r="DU80" s="384"/>
      <c r="DV80" s="384"/>
      <c r="DW80" s="384"/>
      <c r="DX80" s="384"/>
      <c r="DY80" s="384"/>
      <c r="DZ80" s="384"/>
      <c r="EA80" s="384"/>
      <c r="EB80" s="384"/>
      <c r="EC80" s="384"/>
      <c r="ED80" s="447"/>
      <c r="EE80" s="348">
        <f>EE68-EE56</f>
        <v>10.835570843536658</v>
      </c>
      <c r="EF80" s="349"/>
      <c r="EG80" s="420" t="s">
        <v>53</v>
      </c>
      <c r="EH80" s="421"/>
      <c r="EI80" s="386"/>
      <c r="EJ80" s="416" t="s">
        <v>1064</v>
      </c>
      <c r="EK80" s="417"/>
      <c r="EL80" s="379"/>
      <c r="EW80" s="286"/>
      <c r="EX80" s="286"/>
      <c r="EY80" s="286"/>
      <c r="EZ80" s="286"/>
      <c r="FA80" s="286"/>
      <c r="FB80" s="286"/>
      <c r="FC80" s="286"/>
      <c r="FD80" s="286"/>
      <c r="FE80" s="286"/>
      <c r="FF80" s="286"/>
      <c r="FG80" s="286"/>
      <c r="FH80" s="286"/>
      <c r="FI80" s="286"/>
      <c r="FJ80" s="286"/>
      <c r="FK80" s="286"/>
      <c r="FL80" s="286"/>
      <c r="FM80" s="286"/>
      <c r="FN80" s="286"/>
      <c r="FO80" s="286"/>
      <c r="FT80" s="12"/>
      <c r="FU80" s="3"/>
      <c r="FV80" s="3"/>
      <c r="FW80" s="356"/>
      <c r="FX80" s="344" t="s">
        <v>1065</v>
      </c>
      <c r="FY80" s="345"/>
      <c r="FZ80" s="345"/>
      <c r="GA80" s="345"/>
      <c r="GB80" s="345"/>
      <c r="GC80" s="345"/>
      <c r="GD80" s="345"/>
      <c r="GE80" s="345"/>
      <c r="GF80" s="345"/>
      <c r="GG80" s="345"/>
      <c r="GH80" s="345"/>
      <c r="GI80" s="345"/>
      <c r="GJ80" s="345"/>
      <c r="GK80" s="388">
        <f>(3.14*(GK28*1000-2*GK68-2*GK72)-GK24*GK76)/(3.14+GK24)</f>
        <v>7.5576844150406659</v>
      </c>
      <c r="GL80" s="371"/>
      <c r="GM80" s="406" t="s">
        <v>53</v>
      </c>
      <c r="GN80" s="408"/>
      <c r="GO80" s="373"/>
      <c r="GP80" s="416" t="s">
        <v>1064</v>
      </c>
      <c r="GQ80" s="417"/>
      <c r="GR80" s="379"/>
      <c r="GS80" s="396"/>
      <c r="GT80" s="397"/>
      <c r="GU80" s="397"/>
      <c r="GV80" s="397"/>
      <c r="GW80" s="397"/>
      <c r="GX80" s="397"/>
      <c r="GY80" s="398"/>
      <c r="IH80" s="357"/>
      <c r="II80" s="344" t="s">
        <v>132</v>
      </c>
      <c r="IJ80" s="345"/>
      <c r="IK80" s="345"/>
      <c r="IL80" s="345"/>
      <c r="IM80" s="345"/>
      <c r="IN80" s="345"/>
      <c r="IO80" s="345"/>
      <c r="IP80" s="345"/>
      <c r="IQ80" s="345"/>
      <c r="IR80" s="345"/>
      <c r="IS80" s="345"/>
      <c r="IT80" s="345"/>
      <c r="IU80" s="345"/>
      <c r="IV80" s="348">
        <v>586</v>
      </c>
      <c r="IW80" s="349"/>
      <c r="IX80" s="352"/>
      <c r="IY80" s="353"/>
      <c r="IZ80" s="373"/>
      <c r="JA80" s="375" t="s">
        <v>604</v>
      </c>
      <c r="JB80" s="376"/>
      <c r="JC80" s="379"/>
      <c r="JZ80" s="8" t="s">
        <v>114</v>
      </c>
      <c r="KW80" s="16"/>
      <c r="KX80" s="3"/>
      <c r="KY80" s="3"/>
      <c r="LP80" s="357"/>
      <c r="LQ80" s="344" t="s">
        <v>142</v>
      </c>
      <c r="LR80" s="345"/>
      <c r="LS80" s="345"/>
      <c r="LT80" s="345"/>
      <c r="LU80" s="345"/>
      <c r="LV80" s="345"/>
      <c r="LW80" s="345"/>
      <c r="LX80" s="345"/>
      <c r="LY80" s="345"/>
      <c r="LZ80" s="345"/>
      <c r="MA80" s="345"/>
      <c r="MB80" s="345"/>
      <c r="MC80" s="345"/>
      <c r="MD80" s="348">
        <v>0.33</v>
      </c>
      <c r="ME80" s="349"/>
      <c r="MF80" s="390"/>
      <c r="MG80" s="371"/>
      <c r="MH80" s="386"/>
      <c r="MI80" s="375" t="s">
        <v>604</v>
      </c>
      <c r="MJ80" s="376"/>
      <c r="MK80" s="379"/>
      <c r="QZ80" s="8"/>
      <c r="RA80" s="10"/>
      <c r="RB80" s="6">
        <f>RB75*(MD64+RB75*MD148)</f>
        <v>0.15280092654446645</v>
      </c>
      <c r="RC80" s="6"/>
      <c r="RF80" s="12"/>
      <c r="RG80" s="3"/>
      <c r="RH80" s="3"/>
      <c r="VL80" s="357"/>
      <c r="VM80" s="384"/>
      <c r="VN80" s="384"/>
      <c r="VO80" s="384"/>
      <c r="VP80" s="384"/>
      <c r="VQ80" s="384"/>
      <c r="VR80" s="384"/>
      <c r="VS80" s="384"/>
      <c r="VT80" s="384"/>
      <c r="VU80" s="384"/>
      <c r="VV80" s="384"/>
      <c r="VW80" s="384"/>
      <c r="VX80" s="384"/>
      <c r="VY80" s="384"/>
      <c r="VZ80" s="348"/>
      <c r="WA80" s="349"/>
      <c r="WB80" s="370"/>
      <c r="WC80" s="371"/>
      <c r="WD80" s="386"/>
      <c r="WE80" s="375" t="s">
        <v>604</v>
      </c>
      <c r="WF80" s="376"/>
      <c r="WG80" s="379"/>
      <c r="ZG80" s="357"/>
      <c r="ZH80" s="384"/>
      <c r="ZI80" s="384"/>
      <c r="ZJ80" s="384"/>
      <c r="ZK80" s="384"/>
      <c r="ZL80" s="384"/>
      <c r="ZM80" s="384"/>
      <c r="ZN80" s="384"/>
      <c r="ZO80" s="384"/>
      <c r="ZP80" s="384"/>
      <c r="ZQ80" s="384"/>
      <c r="ZR80" s="384"/>
      <c r="ZS80" s="384"/>
      <c r="ZT80" s="384"/>
      <c r="ZU80" s="348"/>
      <c r="ZV80" s="349"/>
      <c r="ZW80" s="370"/>
      <c r="ZX80" s="371"/>
      <c r="ZY80" s="386"/>
      <c r="ZZ80" s="375" t="s">
        <v>604</v>
      </c>
      <c r="AAA80" s="376"/>
      <c r="AAB80" s="379"/>
    </row>
    <row r="81" spans="7:704" ht="48" customHeight="1" thickBot="1" x14ac:dyDescent="0.35">
      <c r="G81" s="3"/>
      <c r="H81" s="3"/>
      <c r="I81" s="3"/>
      <c r="J81" s="3"/>
      <c r="Z81" s="357"/>
      <c r="AA81" s="523" t="s">
        <v>965</v>
      </c>
      <c r="AB81" s="515"/>
      <c r="AC81" s="515"/>
      <c r="AD81" s="515"/>
      <c r="AE81" s="515"/>
      <c r="AF81" s="515"/>
      <c r="AG81" s="515"/>
      <c r="AH81" s="515"/>
      <c r="AI81" s="515"/>
      <c r="AJ81" s="515"/>
      <c r="AK81" s="515"/>
      <c r="AL81" s="515"/>
      <c r="AM81" s="515"/>
      <c r="AN81" s="388">
        <f>AN77/AN36</f>
        <v>0.4561631391170442</v>
      </c>
      <c r="AO81" s="371"/>
      <c r="AP81" s="536" t="s">
        <v>944</v>
      </c>
      <c r="AQ81" s="537"/>
      <c r="AR81" s="386"/>
      <c r="AS81" s="627" t="s">
        <v>621</v>
      </c>
      <c r="AT81" s="628"/>
      <c r="AU81" s="379"/>
      <c r="AV81" s="156"/>
      <c r="AW81" s="152"/>
      <c r="AX81" s="153"/>
      <c r="BG81" s="291"/>
      <c r="BH81" s="291"/>
      <c r="BI81" s="291"/>
      <c r="BJ81" s="291"/>
      <c r="BK81" s="291"/>
      <c r="BO81" s="358"/>
      <c r="BP81" s="517"/>
      <c r="BQ81" s="518"/>
      <c r="BR81" s="518"/>
      <c r="BS81" s="518"/>
      <c r="BT81" s="518"/>
      <c r="BU81" s="518"/>
      <c r="BV81" s="518"/>
      <c r="BW81" s="518"/>
      <c r="BX81" s="518"/>
      <c r="BY81" s="518"/>
      <c r="BZ81" s="518"/>
      <c r="CA81" s="518"/>
      <c r="CB81" s="440"/>
      <c r="CC81" s="426"/>
      <c r="CD81" s="427"/>
      <c r="CE81" s="538"/>
      <c r="CF81" s="539"/>
      <c r="CG81" s="387"/>
      <c r="CH81" s="532"/>
      <c r="CI81" s="533"/>
      <c r="CJ81" s="380"/>
      <c r="DA81" s="291"/>
      <c r="DB81" s="291"/>
      <c r="DC81" s="291"/>
      <c r="DD81" s="291"/>
      <c r="DE81" s="291"/>
      <c r="DF81" s="291"/>
      <c r="DG81" s="291"/>
      <c r="DH81" s="291"/>
      <c r="DI81" s="291"/>
      <c r="DJ81" s="291"/>
      <c r="DK81" s="291"/>
      <c r="DL81" s="291"/>
      <c r="DM81" s="291"/>
      <c r="DN81" s="291"/>
      <c r="DO81" s="291"/>
      <c r="DQ81" s="358"/>
      <c r="DR81" s="385"/>
      <c r="DS81" s="385"/>
      <c r="DT81" s="385"/>
      <c r="DU81" s="385"/>
      <c r="DV81" s="385"/>
      <c r="DW81" s="385"/>
      <c r="DX81" s="385"/>
      <c r="DY81" s="385"/>
      <c r="DZ81" s="385"/>
      <c r="EA81" s="385"/>
      <c r="EB81" s="385"/>
      <c r="EC81" s="385"/>
      <c r="ED81" s="351"/>
      <c r="EE81" s="350"/>
      <c r="EF81" s="351"/>
      <c r="EG81" s="422"/>
      <c r="EH81" s="423"/>
      <c r="EI81" s="387"/>
      <c r="EJ81" s="418"/>
      <c r="EK81" s="419"/>
      <c r="EL81" s="380"/>
      <c r="EW81" s="286"/>
      <c r="EX81" s="286"/>
      <c r="EY81" s="286"/>
      <c r="EZ81" s="286"/>
      <c r="FA81" s="286"/>
      <c r="FB81" s="286"/>
      <c r="FC81" s="286"/>
      <c r="FD81" s="286"/>
      <c r="FE81" s="286"/>
      <c r="FF81" s="286"/>
      <c r="FG81" s="286"/>
      <c r="FH81" s="286"/>
      <c r="FI81" s="286"/>
      <c r="FJ81" s="286"/>
      <c r="FK81" s="286"/>
      <c r="FL81" s="286"/>
      <c r="FM81" s="286"/>
      <c r="FN81" s="286"/>
      <c r="FO81" s="286"/>
      <c r="FT81" s="12"/>
      <c r="FU81" s="3"/>
      <c r="FV81" s="3"/>
      <c r="FW81" s="358"/>
      <c r="FX81" s="346"/>
      <c r="FY81" s="347"/>
      <c r="FZ81" s="347"/>
      <c r="GA81" s="347"/>
      <c r="GB81" s="347"/>
      <c r="GC81" s="347"/>
      <c r="GD81" s="347"/>
      <c r="GE81" s="347"/>
      <c r="GF81" s="347"/>
      <c r="GG81" s="347"/>
      <c r="GH81" s="347"/>
      <c r="GI81" s="347"/>
      <c r="GJ81" s="347"/>
      <c r="GK81" s="389"/>
      <c r="GL81" s="372"/>
      <c r="GM81" s="409"/>
      <c r="GN81" s="411"/>
      <c r="GO81" s="374"/>
      <c r="GP81" s="418"/>
      <c r="GQ81" s="419"/>
      <c r="GR81" s="380"/>
      <c r="GS81" s="341"/>
      <c r="GT81" s="342"/>
      <c r="GU81" s="342"/>
      <c r="GV81" s="342"/>
      <c r="GW81" s="342"/>
      <c r="GX81" s="342"/>
      <c r="GY81" s="343"/>
      <c r="IH81" s="358"/>
      <c r="II81" s="346"/>
      <c r="IJ81" s="347"/>
      <c r="IK81" s="347"/>
      <c r="IL81" s="347"/>
      <c r="IM81" s="347"/>
      <c r="IN81" s="347"/>
      <c r="IO81" s="347"/>
      <c r="IP81" s="347"/>
      <c r="IQ81" s="347"/>
      <c r="IR81" s="347"/>
      <c r="IS81" s="347"/>
      <c r="IT81" s="347"/>
      <c r="IU81" s="347"/>
      <c r="IV81" s="350"/>
      <c r="IW81" s="351"/>
      <c r="IX81" s="354"/>
      <c r="IY81" s="355"/>
      <c r="IZ81" s="374"/>
      <c r="JA81" s="377"/>
      <c r="JB81" s="378"/>
      <c r="JC81" s="380"/>
      <c r="KW81" s="16"/>
      <c r="KX81" s="3"/>
      <c r="KY81" s="3"/>
      <c r="LP81" s="358"/>
      <c r="LQ81" s="346"/>
      <c r="LR81" s="347"/>
      <c r="LS81" s="347"/>
      <c r="LT81" s="347"/>
      <c r="LU81" s="347"/>
      <c r="LV81" s="347"/>
      <c r="LW81" s="347"/>
      <c r="LX81" s="347"/>
      <c r="LY81" s="347"/>
      <c r="LZ81" s="347"/>
      <c r="MA81" s="347"/>
      <c r="MB81" s="347"/>
      <c r="MC81" s="347"/>
      <c r="MD81" s="350"/>
      <c r="ME81" s="351"/>
      <c r="MF81" s="347"/>
      <c r="MG81" s="372"/>
      <c r="MH81" s="387"/>
      <c r="MI81" s="377"/>
      <c r="MJ81" s="378"/>
      <c r="MK81" s="380"/>
      <c r="QZ81" s="8" t="s">
        <v>227</v>
      </c>
      <c r="RA81" s="10" t="s">
        <v>267</v>
      </c>
      <c r="RB81" s="6"/>
      <c r="RC81" s="6"/>
      <c r="RF81" s="12"/>
      <c r="RG81" s="3"/>
      <c r="RH81" s="3"/>
      <c r="VL81" s="358"/>
      <c r="VM81" s="385"/>
      <c r="VN81" s="385"/>
      <c r="VO81" s="385"/>
      <c r="VP81" s="385"/>
      <c r="VQ81" s="385"/>
      <c r="VR81" s="385"/>
      <c r="VS81" s="385"/>
      <c r="VT81" s="385"/>
      <c r="VU81" s="385"/>
      <c r="VV81" s="385"/>
      <c r="VW81" s="385"/>
      <c r="VX81" s="385"/>
      <c r="VY81" s="385"/>
      <c r="VZ81" s="350"/>
      <c r="WA81" s="351"/>
      <c r="WB81" s="346"/>
      <c r="WC81" s="372"/>
      <c r="WD81" s="387"/>
      <c r="WE81" s="377"/>
      <c r="WF81" s="378"/>
      <c r="WG81" s="380"/>
      <c r="ZG81" s="358"/>
      <c r="ZH81" s="385"/>
      <c r="ZI81" s="385"/>
      <c r="ZJ81" s="385"/>
      <c r="ZK81" s="385"/>
      <c r="ZL81" s="385"/>
      <c r="ZM81" s="385"/>
      <c r="ZN81" s="385"/>
      <c r="ZO81" s="385"/>
      <c r="ZP81" s="385"/>
      <c r="ZQ81" s="385"/>
      <c r="ZR81" s="385"/>
      <c r="ZS81" s="385"/>
      <c r="ZT81" s="385"/>
      <c r="ZU81" s="350"/>
      <c r="ZV81" s="351"/>
      <c r="ZW81" s="346"/>
      <c r="ZX81" s="372"/>
      <c r="ZY81" s="387"/>
      <c r="ZZ81" s="377"/>
      <c r="AAA81" s="378"/>
      <c r="AAB81" s="380"/>
    </row>
    <row r="82" spans="7:704" ht="48" customHeight="1" thickBot="1" x14ac:dyDescent="0.35">
      <c r="G82" s="3"/>
      <c r="H82" s="3"/>
      <c r="I82" s="3"/>
      <c r="J82" s="3"/>
      <c r="Z82" s="358"/>
      <c r="AA82" s="517"/>
      <c r="AB82" s="518"/>
      <c r="AC82" s="518"/>
      <c r="AD82" s="518"/>
      <c r="AE82" s="518"/>
      <c r="AF82" s="518"/>
      <c r="AG82" s="518"/>
      <c r="AH82" s="518"/>
      <c r="AI82" s="518"/>
      <c r="AJ82" s="518"/>
      <c r="AK82" s="518"/>
      <c r="AL82" s="518"/>
      <c r="AM82" s="518"/>
      <c r="AN82" s="389"/>
      <c r="AO82" s="372"/>
      <c r="AP82" s="538"/>
      <c r="AQ82" s="539"/>
      <c r="AR82" s="387"/>
      <c r="AS82" s="629"/>
      <c r="AT82" s="630"/>
      <c r="AU82" s="380"/>
      <c r="AV82" s="192"/>
      <c r="AW82" s="190"/>
      <c r="AX82" s="191"/>
      <c r="BG82" s="291"/>
      <c r="BH82" s="291"/>
      <c r="BI82" s="291"/>
      <c r="BJ82" s="291"/>
      <c r="BK82" s="291"/>
      <c r="EW82" s="286"/>
      <c r="EX82" s="286"/>
      <c r="EY82" s="286"/>
      <c r="EZ82" s="286"/>
      <c r="FA82" s="286"/>
      <c r="FB82" s="286"/>
      <c r="FC82" s="286"/>
      <c r="FD82" s="286"/>
      <c r="FE82" s="286"/>
      <c r="FF82" s="286"/>
      <c r="FG82" s="286"/>
      <c r="FH82" s="286"/>
      <c r="FI82" s="286"/>
      <c r="FJ82" s="286"/>
      <c r="FK82" s="286"/>
      <c r="FL82" s="286"/>
      <c r="FM82" s="286"/>
      <c r="FN82" s="286"/>
      <c r="FO82" s="286"/>
      <c r="FT82" s="12"/>
      <c r="FU82" s="3"/>
      <c r="FV82" s="3"/>
      <c r="JZ82" s="8"/>
      <c r="KW82" s="16"/>
      <c r="KX82" s="3"/>
      <c r="KY82" s="3"/>
      <c r="QZ82" s="8" t="s">
        <v>228</v>
      </c>
      <c r="RA82" s="10" t="s">
        <v>266</v>
      </c>
      <c r="RB82" s="6"/>
      <c r="RC82" s="6"/>
      <c r="RF82" s="12"/>
      <c r="RG82" s="3"/>
      <c r="RH82" s="3"/>
    </row>
    <row r="83" spans="7:704" ht="48" customHeight="1" thickBot="1" x14ac:dyDescent="0.35">
      <c r="G83" s="3"/>
      <c r="H83" s="3"/>
      <c r="I83" s="3"/>
      <c r="J83" s="3"/>
      <c r="BG83" s="291"/>
      <c r="BH83" s="291"/>
      <c r="BI83" s="291"/>
      <c r="BJ83" s="291"/>
      <c r="BK83" s="291"/>
      <c r="BO83" s="356"/>
      <c r="BP83" s="546" t="s">
        <v>40</v>
      </c>
      <c r="BQ83" s="547"/>
      <c r="BR83" s="295"/>
      <c r="BS83" s="175"/>
      <c r="BT83" s="175"/>
      <c r="BU83" s="175"/>
      <c r="BV83" s="175"/>
      <c r="BW83" s="175"/>
      <c r="BX83" s="175"/>
      <c r="BY83" s="295"/>
      <c r="BZ83" s="173" t="s">
        <v>629</v>
      </c>
      <c r="CA83" s="359" t="s">
        <v>623</v>
      </c>
      <c r="CB83" s="381"/>
      <c r="CC83" s="382" t="s">
        <v>189</v>
      </c>
      <c r="CD83" s="383"/>
      <c r="CE83" s="363" t="s">
        <v>910</v>
      </c>
      <c r="CF83" s="364"/>
      <c r="CG83" s="365" t="s">
        <v>638</v>
      </c>
      <c r="CH83" s="366"/>
      <c r="CI83" s="366"/>
      <c r="CJ83" s="367"/>
      <c r="CK83" s="337" t="s">
        <v>624</v>
      </c>
      <c r="CL83" s="337"/>
      <c r="CM83" s="337"/>
      <c r="CN83" s="337"/>
      <c r="CO83" s="337"/>
      <c r="DQ83" s="173" t="s">
        <v>1050</v>
      </c>
      <c r="DR83" s="297" t="s">
        <v>604</v>
      </c>
      <c r="DS83" s="298"/>
      <c r="DT83" s="315"/>
      <c r="DU83" s="175"/>
      <c r="DV83" s="175"/>
      <c r="DW83" s="175"/>
      <c r="DX83" s="175"/>
      <c r="DY83" s="175"/>
      <c r="DZ83" s="175"/>
      <c r="EA83" s="315"/>
      <c r="EB83" s="173" t="s">
        <v>629</v>
      </c>
      <c r="EC83" s="359" t="s">
        <v>623</v>
      </c>
      <c r="ED83" s="381"/>
      <c r="EE83" s="382" t="s">
        <v>189</v>
      </c>
      <c r="EF83" s="383"/>
      <c r="EG83" s="363" t="s">
        <v>910</v>
      </c>
      <c r="EH83" s="364"/>
      <c r="EI83" s="365" t="s">
        <v>638</v>
      </c>
      <c r="EJ83" s="366"/>
      <c r="EK83" s="366"/>
      <c r="EL83" s="367"/>
      <c r="EW83" s="286"/>
      <c r="EX83" s="286"/>
      <c r="EY83" s="286"/>
      <c r="EZ83" s="286"/>
      <c r="FA83" s="286"/>
      <c r="FB83" s="286"/>
      <c r="FC83" s="286"/>
      <c r="FD83" s="286"/>
      <c r="FE83" s="286"/>
      <c r="FF83" s="286"/>
      <c r="FG83" s="286"/>
      <c r="FH83" s="286"/>
      <c r="FI83" s="286"/>
      <c r="FJ83" s="286"/>
      <c r="FK83" s="286"/>
      <c r="FL83" s="286"/>
      <c r="FM83" s="286"/>
      <c r="FN83" s="286"/>
      <c r="FO83" s="286"/>
      <c r="FT83" s="12"/>
      <c r="FU83" s="3"/>
      <c r="FV83" s="3"/>
      <c r="FW83" s="290"/>
      <c r="FX83" s="297" t="s">
        <v>604</v>
      </c>
      <c r="FY83" s="298"/>
      <c r="FZ83" s="315"/>
      <c r="GA83" s="175"/>
      <c r="GB83" s="175"/>
      <c r="GC83" s="175"/>
      <c r="GD83" s="175"/>
      <c r="GE83" s="175"/>
      <c r="GF83" s="175"/>
      <c r="GG83" s="315"/>
      <c r="GH83" s="173" t="s">
        <v>629</v>
      </c>
      <c r="GI83" s="359" t="s">
        <v>623</v>
      </c>
      <c r="GJ83" s="360"/>
      <c r="GK83" s="382" t="s">
        <v>189</v>
      </c>
      <c r="GL83" s="383"/>
      <c r="GM83" s="363" t="s">
        <v>910</v>
      </c>
      <c r="GN83" s="364"/>
      <c r="GO83" s="365" t="s">
        <v>638</v>
      </c>
      <c r="GP83" s="366"/>
      <c r="GQ83" s="366"/>
      <c r="GR83" s="367"/>
      <c r="IH83" s="356"/>
      <c r="II83" s="297" t="s">
        <v>604</v>
      </c>
      <c r="IJ83" s="298"/>
      <c r="IK83" s="321"/>
      <c r="IL83" s="175"/>
      <c r="IM83" s="175"/>
      <c r="IN83" s="175"/>
      <c r="IO83" s="175"/>
      <c r="IP83" s="175"/>
      <c r="IQ83" s="175"/>
      <c r="IR83" s="321"/>
      <c r="IS83" s="173" t="s">
        <v>629</v>
      </c>
      <c r="IT83" s="359" t="s">
        <v>623</v>
      </c>
      <c r="IU83" s="360"/>
      <c r="IV83" s="382" t="s">
        <v>189</v>
      </c>
      <c r="IW83" s="383"/>
      <c r="IX83" s="363" t="s">
        <v>910</v>
      </c>
      <c r="IY83" s="364"/>
      <c r="IZ83" s="365" t="s">
        <v>638</v>
      </c>
      <c r="JA83" s="366"/>
      <c r="JB83" s="366"/>
      <c r="JC83" s="367"/>
      <c r="KW83" s="16"/>
      <c r="KX83" s="3"/>
      <c r="KY83" s="3"/>
      <c r="LP83" s="356"/>
      <c r="LQ83" s="297" t="s">
        <v>604</v>
      </c>
      <c r="LR83" s="298"/>
      <c r="LS83" s="321"/>
      <c r="LT83" s="175"/>
      <c r="LU83" s="175"/>
      <c r="LV83" s="175"/>
      <c r="LW83" s="175"/>
      <c r="LX83" s="175"/>
      <c r="LY83" s="175"/>
      <c r="LZ83" s="321"/>
      <c r="MA83" s="173" t="s">
        <v>629</v>
      </c>
      <c r="MB83" s="359" t="s">
        <v>623</v>
      </c>
      <c r="MC83" s="381"/>
      <c r="MD83" s="382" t="s">
        <v>189</v>
      </c>
      <c r="ME83" s="383"/>
      <c r="MF83" s="363" t="s">
        <v>910</v>
      </c>
      <c r="MG83" s="364"/>
      <c r="MH83" s="365" t="s">
        <v>638</v>
      </c>
      <c r="MI83" s="366"/>
      <c r="MJ83" s="366"/>
      <c r="MK83" s="367"/>
      <c r="QZ83" s="8"/>
      <c r="RA83" s="10"/>
      <c r="RB83" s="6"/>
      <c r="RC83" s="6"/>
      <c r="RF83" s="12"/>
      <c r="RG83" s="3"/>
      <c r="RH83" s="3"/>
      <c r="VL83" s="356"/>
      <c r="VM83" s="297" t="s">
        <v>604</v>
      </c>
      <c r="VN83" s="298"/>
      <c r="VO83" s="321"/>
      <c r="VP83" s="175"/>
      <c r="VQ83" s="175"/>
      <c r="VR83" s="175"/>
      <c r="VS83" s="175"/>
      <c r="VT83" s="175"/>
      <c r="VU83" s="175"/>
      <c r="VV83" s="321"/>
      <c r="VW83" s="173" t="s">
        <v>629</v>
      </c>
      <c r="VX83" s="359" t="s">
        <v>623</v>
      </c>
      <c r="VY83" s="381"/>
      <c r="VZ83" s="382" t="s">
        <v>189</v>
      </c>
      <c r="WA83" s="383"/>
      <c r="WB83" s="363" t="s">
        <v>910</v>
      </c>
      <c r="WC83" s="364"/>
      <c r="WD83" s="365" t="s">
        <v>638</v>
      </c>
      <c r="WE83" s="366"/>
      <c r="WF83" s="366"/>
      <c r="WG83" s="367"/>
      <c r="ZG83" s="356"/>
      <c r="ZH83" s="297" t="s">
        <v>604</v>
      </c>
      <c r="ZI83" s="298"/>
      <c r="ZJ83" s="321"/>
      <c r="ZK83" s="175"/>
      <c r="ZL83" s="175"/>
      <c r="ZM83" s="175"/>
      <c r="ZN83" s="175"/>
      <c r="ZO83" s="175"/>
      <c r="ZP83" s="175"/>
      <c r="ZQ83" s="321"/>
      <c r="ZR83" s="173" t="s">
        <v>629</v>
      </c>
      <c r="ZS83" s="359" t="s">
        <v>623</v>
      </c>
      <c r="ZT83" s="381"/>
      <c r="ZU83" s="382" t="s">
        <v>189</v>
      </c>
      <c r="ZV83" s="383"/>
      <c r="ZW83" s="363" t="s">
        <v>910</v>
      </c>
      <c r="ZX83" s="364"/>
      <c r="ZY83" s="365" t="s">
        <v>638</v>
      </c>
      <c r="ZZ83" s="366"/>
      <c r="AAA83" s="366"/>
      <c r="AAB83" s="367"/>
    </row>
    <row r="84" spans="7:704" ht="48" customHeight="1" x14ac:dyDescent="0.3">
      <c r="BG84" s="291"/>
      <c r="BH84" s="291"/>
      <c r="BI84" s="291"/>
      <c r="BJ84" s="291"/>
      <c r="BK84" s="291"/>
      <c r="BO84" s="357"/>
      <c r="BP84" s="514" t="s">
        <v>46</v>
      </c>
      <c r="BQ84" s="515"/>
      <c r="BR84" s="515"/>
      <c r="BS84" s="515"/>
      <c r="BT84" s="515"/>
      <c r="BU84" s="515"/>
      <c r="BV84" s="515"/>
      <c r="BW84" s="515"/>
      <c r="BX84" s="515"/>
      <c r="BY84" s="515"/>
      <c r="BZ84" s="515"/>
      <c r="CA84" s="515"/>
      <c r="CB84" s="516"/>
      <c r="CC84" s="467">
        <f>(AQ52*AH6)/(4.44*CC64*CC72*AH7)</f>
        <v>1.7388578916877957E-2</v>
      </c>
      <c r="CD84" s="468"/>
      <c r="CE84" s="406" t="s">
        <v>977</v>
      </c>
      <c r="CF84" s="408"/>
      <c r="CG84" s="386"/>
      <c r="CH84" s="476" t="s">
        <v>1001</v>
      </c>
      <c r="CI84" s="531"/>
      <c r="CJ84" s="379"/>
      <c r="CK84" s="399"/>
      <c r="CL84" s="399"/>
      <c r="CM84" s="399"/>
      <c r="CN84" s="399"/>
      <c r="CO84" s="399"/>
      <c r="DQ84" s="356"/>
      <c r="DR84" s="384" t="s">
        <v>57</v>
      </c>
      <c r="DS84" s="384"/>
      <c r="DT84" s="384"/>
      <c r="DU84" s="384"/>
      <c r="DV84" s="384"/>
      <c r="DW84" s="384"/>
      <c r="DX84" s="384"/>
      <c r="DY84" s="384"/>
      <c r="DZ84" s="384"/>
      <c r="EA84" s="384"/>
      <c r="EB84" s="384"/>
      <c r="EC84" s="384"/>
      <c r="ED84" s="447"/>
      <c r="EE84" s="348">
        <f>EE72-EE56</f>
        <v>7.4085928571428559</v>
      </c>
      <c r="EF84" s="349"/>
      <c r="EG84" s="420" t="s">
        <v>53</v>
      </c>
      <c r="EH84" s="421"/>
      <c r="EI84" s="386"/>
      <c r="EJ84" s="416" t="s">
        <v>1078</v>
      </c>
      <c r="EK84" s="417"/>
      <c r="EL84" s="379"/>
      <c r="EW84" s="286"/>
      <c r="EX84" s="286"/>
      <c r="EY84" s="286"/>
      <c r="EZ84" s="286"/>
      <c r="FA84" s="286"/>
      <c r="FB84" s="286"/>
      <c r="FC84" s="286"/>
      <c r="FD84" s="286"/>
      <c r="FE84" s="286"/>
      <c r="FF84" s="286"/>
      <c r="FG84" s="286"/>
      <c r="FH84" s="286"/>
      <c r="FI84" s="286"/>
      <c r="FJ84" s="286"/>
      <c r="FK84" s="286"/>
      <c r="FL84" s="286"/>
      <c r="FM84" s="286"/>
      <c r="FN84" s="286"/>
      <c r="FO84" s="286"/>
      <c r="FT84" s="12"/>
      <c r="FU84" s="3"/>
      <c r="FV84" s="3"/>
      <c r="FW84" s="273"/>
      <c r="FX84" s="344" t="s">
        <v>1066</v>
      </c>
      <c r="FY84" s="345"/>
      <c r="FZ84" s="345"/>
      <c r="GA84" s="345"/>
      <c r="GB84" s="345"/>
      <c r="GC84" s="345"/>
      <c r="GD84" s="345"/>
      <c r="GE84" s="345"/>
      <c r="GF84" s="345"/>
      <c r="GG84" s="345"/>
      <c r="GH84" s="345"/>
      <c r="GI84" s="345"/>
      <c r="GJ84" s="345"/>
      <c r="GK84" s="424">
        <v>0.68</v>
      </c>
      <c r="GL84" s="425"/>
      <c r="GM84" s="420" t="s">
        <v>915</v>
      </c>
      <c r="GN84" s="421"/>
      <c r="GO84" s="373"/>
      <c r="GP84" s="420" t="s">
        <v>1067</v>
      </c>
      <c r="GQ84" s="421"/>
      <c r="GR84" s="379"/>
      <c r="IH84" s="357"/>
      <c r="II84" s="344" t="s">
        <v>133</v>
      </c>
      <c r="IJ84" s="345"/>
      <c r="IK84" s="345"/>
      <c r="IL84" s="345"/>
      <c r="IM84" s="345"/>
      <c r="IN84" s="345"/>
      <c r="IO84" s="345"/>
      <c r="IP84" s="345"/>
      <c r="IQ84" s="345"/>
      <c r="IR84" s="345"/>
      <c r="IS84" s="345"/>
      <c r="IT84" s="345"/>
      <c r="IU84" s="345"/>
      <c r="IV84" s="348">
        <v>277</v>
      </c>
      <c r="IW84" s="349"/>
      <c r="IX84" s="352"/>
      <c r="IY84" s="353"/>
      <c r="IZ84" s="373"/>
      <c r="JA84" s="375" t="s">
        <v>604</v>
      </c>
      <c r="JB84" s="376"/>
      <c r="JC84" s="379"/>
      <c r="JZ84" s="8"/>
      <c r="KW84" s="12"/>
      <c r="KX84" s="3"/>
      <c r="KY84" s="3"/>
      <c r="LP84" s="357"/>
      <c r="LQ84" s="344" t="s">
        <v>143</v>
      </c>
      <c r="LR84" s="345"/>
      <c r="LS84" s="345"/>
      <c r="LT84" s="345"/>
      <c r="LU84" s="345"/>
      <c r="LV84" s="345"/>
      <c r="LW84" s="345"/>
      <c r="LX84" s="345"/>
      <c r="LY84" s="345"/>
      <c r="LZ84" s="345"/>
      <c r="MA84" s="345"/>
      <c r="MB84" s="345"/>
      <c r="MC84" s="345"/>
      <c r="MD84" s="348">
        <f>0.25*(6*MD80-1)</f>
        <v>0.245</v>
      </c>
      <c r="ME84" s="349"/>
      <c r="MF84" s="390"/>
      <c r="MG84" s="371"/>
      <c r="MH84" s="386"/>
      <c r="MI84" s="375" t="s">
        <v>604</v>
      </c>
      <c r="MJ84" s="376"/>
      <c r="MK84" s="379"/>
      <c r="QZ84" s="8"/>
      <c r="RA84" s="10"/>
      <c r="RB84" s="6"/>
      <c r="RC84" s="6"/>
      <c r="RF84" s="12"/>
      <c r="RG84" s="3"/>
      <c r="RH84" s="3"/>
      <c r="VL84" s="357"/>
      <c r="VM84" s="384"/>
      <c r="VN84" s="384"/>
      <c r="VO84" s="384"/>
      <c r="VP84" s="384"/>
      <c r="VQ84" s="384"/>
      <c r="VR84" s="384"/>
      <c r="VS84" s="384"/>
      <c r="VT84" s="384"/>
      <c r="VU84" s="384"/>
      <c r="VV84" s="384"/>
      <c r="VW84" s="384"/>
      <c r="VX84" s="384"/>
      <c r="VY84" s="384"/>
      <c r="VZ84" s="348"/>
      <c r="WA84" s="349"/>
      <c r="WB84" s="370"/>
      <c r="WC84" s="371"/>
      <c r="WD84" s="386"/>
      <c r="WE84" s="375" t="s">
        <v>604</v>
      </c>
      <c r="WF84" s="376"/>
      <c r="WG84" s="379"/>
      <c r="ZG84" s="357"/>
      <c r="ZH84" s="384"/>
      <c r="ZI84" s="384"/>
      <c r="ZJ84" s="384"/>
      <c r="ZK84" s="384"/>
      <c r="ZL84" s="384"/>
      <c r="ZM84" s="384"/>
      <c r="ZN84" s="384"/>
      <c r="ZO84" s="384"/>
      <c r="ZP84" s="384"/>
      <c r="ZQ84" s="384"/>
      <c r="ZR84" s="384"/>
      <c r="ZS84" s="384"/>
      <c r="ZT84" s="384"/>
      <c r="ZU84" s="348"/>
      <c r="ZV84" s="349"/>
      <c r="ZW84" s="370"/>
      <c r="ZX84" s="371"/>
      <c r="ZY84" s="386"/>
      <c r="ZZ84" s="375" t="s">
        <v>604</v>
      </c>
      <c r="AAA84" s="376"/>
      <c r="AAB84" s="379"/>
    </row>
    <row r="85" spans="7:704" ht="48" customHeight="1" thickBot="1" x14ac:dyDescent="0.35">
      <c r="BG85" s="291"/>
      <c r="BH85" s="291"/>
      <c r="BI85" s="291"/>
      <c r="BJ85" s="291"/>
      <c r="BK85" s="291"/>
      <c r="BO85" s="358"/>
      <c r="BP85" s="517"/>
      <c r="BQ85" s="518"/>
      <c r="BR85" s="518"/>
      <c r="BS85" s="518"/>
      <c r="BT85" s="518"/>
      <c r="BU85" s="518"/>
      <c r="BV85" s="518"/>
      <c r="BW85" s="518"/>
      <c r="BX85" s="518"/>
      <c r="BY85" s="518"/>
      <c r="BZ85" s="518"/>
      <c r="CA85" s="518"/>
      <c r="CB85" s="440"/>
      <c r="CC85" s="389"/>
      <c r="CD85" s="372"/>
      <c r="CE85" s="409"/>
      <c r="CF85" s="411"/>
      <c r="CG85" s="387"/>
      <c r="CH85" s="532"/>
      <c r="CI85" s="533"/>
      <c r="CJ85" s="380"/>
      <c r="CK85" s="400"/>
      <c r="CL85" s="400"/>
      <c r="CM85" s="400"/>
      <c r="CN85" s="400"/>
      <c r="CO85" s="400"/>
      <c r="DQ85" s="358"/>
      <c r="DR85" s="385"/>
      <c r="DS85" s="385"/>
      <c r="DT85" s="385"/>
      <c r="DU85" s="385"/>
      <c r="DV85" s="385"/>
      <c r="DW85" s="385"/>
      <c r="DX85" s="385"/>
      <c r="DY85" s="385"/>
      <c r="DZ85" s="385"/>
      <c r="EA85" s="385"/>
      <c r="EB85" s="385"/>
      <c r="EC85" s="385"/>
      <c r="ED85" s="351"/>
      <c r="EE85" s="350"/>
      <c r="EF85" s="351"/>
      <c r="EG85" s="422"/>
      <c r="EH85" s="423"/>
      <c r="EI85" s="387"/>
      <c r="EJ85" s="418"/>
      <c r="EK85" s="419"/>
      <c r="EL85" s="380"/>
      <c r="EW85" s="286"/>
      <c r="EX85" s="286"/>
      <c r="EY85" s="286"/>
      <c r="EZ85" s="286"/>
      <c r="FA85" s="286"/>
      <c r="FB85" s="286"/>
      <c r="FC85" s="286"/>
      <c r="FD85" s="286"/>
      <c r="FE85" s="286"/>
      <c r="FF85" s="286"/>
      <c r="FG85" s="286"/>
      <c r="FH85" s="286"/>
      <c r="FI85" s="286"/>
      <c r="FJ85" s="286"/>
      <c r="FK85" s="286"/>
      <c r="FL85" s="286"/>
      <c r="FM85" s="286"/>
      <c r="FN85" s="286"/>
      <c r="FO85" s="286"/>
      <c r="FT85" s="12"/>
      <c r="FU85" s="3"/>
      <c r="FV85" s="3"/>
      <c r="FW85" s="274"/>
      <c r="FX85" s="346"/>
      <c r="FY85" s="347"/>
      <c r="FZ85" s="347"/>
      <c r="GA85" s="347"/>
      <c r="GB85" s="347"/>
      <c r="GC85" s="347"/>
      <c r="GD85" s="347"/>
      <c r="GE85" s="347"/>
      <c r="GF85" s="347"/>
      <c r="GG85" s="347"/>
      <c r="GH85" s="347"/>
      <c r="GI85" s="347"/>
      <c r="GJ85" s="347"/>
      <c r="GK85" s="426"/>
      <c r="GL85" s="427"/>
      <c r="GM85" s="422"/>
      <c r="GN85" s="423"/>
      <c r="GO85" s="374"/>
      <c r="GP85" s="422"/>
      <c r="GQ85" s="423"/>
      <c r="GR85" s="380"/>
      <c r="IH85" s="358"/>
      <c r="II85" s="346"/>
      <c r="IJ85" s="347"/>
      <c r="IK85" s="347"/>
      <c r="IL85" s="347"/>
      <c r="IM85" s="347"/>
      <c r="IN85" s="347"/>
      <c r="IO85" s="347"/>
      <c r="IP85" s="347"/>
      <c r="IQ85" s="347"/>
      <c r="IR85" s="347"/>
      <c r="IS85" s="347"/>
      <c r="IT85" s="347"/>
      <c r="IU85" s="347"/>
      <c r="IV85" s="350"/>
      <c r="IW85" s="351"/>
      <c r="IX85" s="354"/>
      <c r="IY85" s="355"/>
      <c r="IZ85" s="374"/>
      <c r="JA85" s="377"/>
      <c r="JB85" s="378"/>
      <c r="JC85" s="380"/>
      <c r="KW85" s="36" t="s">
        <v>201</v>
      </c>
      <c r="KX85" s="37">
        <f>CC40</f>
        <v>1.2753259523809526E-2</v>
      </c>
      <c r="KY85" s="6" t="s">
        <v>19</v>
      </c>
      <c r="LP85" s="358"/>
      <c r="LQ85" s="346"/>
      <c r="LR85" s="347"/>
      <c r="LS85" s="347"/>
      <c r="LT85" s="347"/>
      <c r="LU85" s="347"/>
      <c r="LV85" s="347"/>
      <c r="LW85" s="347"/>
      <c r="LX85" s="347"/>
      <c r="LY85" s="347"/>
      <c r="LZ85" s="347"/>
      <c r="MA85" s="347"/>
      <c r="MB85" s="347"/>
      <c r="MC85" s="347"/>
      <c r="MD85" s="350"/>
      <c r="ME85" s="351"/>
      <c r="MF85" s="347"/>
      <c r="MG85" s="372"/>
      <c r="MH85" s="387"/>
      <c r="MI85" s="377"/>
      <c r="MJ85" s="378"/>
      <c r="MK85" s="380"/>
      <c r="QZ85" s="8"/>
      <c r="RA85" s="10"/>
      <c r="RB85" s="6"/>
      <c r="RC85" s="6"/>
      <c r="RF85" s="12"/>
      <c r="RG85" s="3"/>
      <c r="RH85" s="3"/>
      <c r="VL85" s="358"/>
      <c r="VM85" s="385"/>
      <c r="VN85" s="385"/>
      <c r="VO85" s="385"/>
      <c r="VP85" s="385"/>
      <c r="VQ85" s="385"/>
      <c r="VR85" s="385"/>
      <c r="VS85" s="385"/>
      <c r="VT85" s="385"/>
      <c r="VU85" s="385"/>
      <c r="VV85" s="385"/>
      <c r="VW85" s="385"/>
      <c r="VX85" s="385"/>
      <c r="VY85" s="385"/>
      <c r="VZ85" s="350"/>
      <c r="WA85" s="351"/>
      <c r="WB85" s="346"/>
      <c r="WC85" s="372"/>
      <c r="WD85" s="387"/>
      <c r="WE85" s="377"/>
      <c r="WF85" s="378"/>
      <c r="WG85" s="380"/>
      <c r="ZG85" s="358"/>
      <c r="ZH85" s="385"/>
      <c r="ZI85" s="385"/>
      <c r="ZJ85" s="385"/>
      <c r="ZK85" s="385"/>
      <c r="ZL85" s="385"/>
      <c r="ZM85" s="385"/>
      <c r="ZN85" s="385"/>
      <c r="ZO85" s="385"/>
      <c r="ZP85" s="385"/>
      <c r="ZQ85" s="385"/>
      <c r="ZR85" s="385"/>
      <c r="ZS85" s="385"/>
      <c r="ZT85" s="385"/>
      <c r="ZU85" s="350"/>
      <c r="ZV85" s="351"/>
      <c r="ZW85" s="346"/>
      <c r="ZX85" s="372"/>
      <c r="ZY85" s="387"/>
      <c r="ZZ85" s="377"/>
      <c r="AAA85" s="378"/>
      <c r="AAB85" s="380"/>
    </row>
    <row r="86" spans="7:704" ht="48" customHeight="1" x14ac:dyDescent="0.3">
      <c r="BG86" s="291"/>
      <c r="BH86" s="291"/>
      <c r="BI86" s="291"/>
      <c r="BJ86" s="291"/>
      <c r="BK86" s="291"/>
      <c r="EW86" s="286"/>
      <c r="EX86" s="286"/>
      <c r="EY86" s="286"/>
      <c r="EZ86" s="286"/>
      <c r="FA86" s="286"/>
      <c r="FB86" s="286"/>
      <c r="FC86" s="286"/>
      <c r="FD86" s="286"/>
      <c r="FE86" s="286"/>
      <c r="FF86" s="286"/>
      <c r="FG86" s="286"/>
      <c r="FH86" s="286"/>
      <c r="FI86" s="286"/>
      <c r="FJ86" s="286"/>
      <c r="FK86" s="286"/>
      <c r="FL86" s="286"/>
      <c r="FM86" s="286"/>
      <c r="FN86" s="286"/>
      <c r="FO86" s="286"/>
      <c r="FT86" s="12"/>
      <c r="FU86" s="3"/>
      <c r="FV86" s="3"/>
      <c r="GO86" s="16"/>
      <c r="GP86" s="16"/>
      <c r="JZ86" s="8"/>
      <c r="KW86" s="36" t="s">
        <v>202</v>
      </c>
      <c r="KX86" s="37">
        <f>GK32</f>
        <v>1.3988286842105261E-2</v>
      </c>
      <c r="KY86" s="6" t="s">
        <v>19</v>
      </c>
      <c r="QZ86" s="9"/>
      <c r="RA86" s="13"/>
      <c r="RB86" s="5"/>
      <c r="RC86" s="5"/>
      <c r="RF86" s="12"/>
      <c r="RG86" s="3"/>
      <c r="RH86" s="3"/>
    </row>
    <row r="87" spans="7:704" ht="48" customHeight="1" thickBot="1" x14ac:dyDescent="0.35">
      <c r="BG87" s="291"/>
      <c r="BH87" s="291"/>
      <c r="BI87" s="291"/>
      <c r="BJ87" s="291"/>
      <c r="BK87" s="291"/>
      <c r="BO87" s="356"/>
      <c r="BP87" s="546" t="s">
        <v>39</v>
      </c>
      <c r="BQ87" s="547"/>
      <c r="BR87" s="295"/>
      <c r="BS87" s="309" t="s">
        <v>987</v>
      </c>
      <c r="BT87" s="302" t="s">
        <v>632</v>
      </c>
      <c r="BU87" s="253"/>
      <c r="BV87" s="175"/>
      <c r="BW87" s="175"/>
      <c r="BX87" s="175"/>
      <c r="BY87" s="295"/>
      <c r="BZ87" s="173" t="s">
        <v>629</v>
      </c>
      <c r="CA87" s="359" t="s">
        <v>623</v>
      </c>
      <c r="CB87" s="381"/>
      <c r="CC87" s="508" t="s">
        <v>189</v>
      </c>
      <c r="CD87" s="510"/>
      <c r="CE87" s="363" t="s">
        <v>910</v>
      </c>
      <c r="CF87" s="364"/>
      <c r="CG87" s="365" t="s">
        <v>638</v>
      </c>
      <c r="CH87" s="366"/>
      <c r="CI87" s="366"/>
      <c r="CJ87" s="367"/>
      <c r="CK87" s="365" t="s">
        <v>624</v>
      </c>
      <c r="CL87" s="366"/>
      <c r="CM87" s="367"/>
      <c r="DQ87" s="173" t="s">
        <v>1050</v>
      </c>
      <c r="DR87" s="297" t="s">
        <v>604</v>
      </c>
      <c r="DS87" s="298"/>
      <c r="DT87" s="315"/>
      <c r="DU87" s="175"/>
      <c r="DV87" s="175"/>
      <c r="DW87" s="175"/>
      <c r="DX87" s="175"/>
      <c r="DY87" s="175"/>
      <c r="DZ87" s="175"/>
      <c r="EA87" s="315"/>
      <c r="EB87" s="173" t="s">
        <v>629</v>
      </c>
      <c r="EC87" s="359" t="s">
        <v>623</v>
      </c>
      <c r="ED87" s="381"/>
      <c r="EE87" s="382" t="s">
        <v>189</v>
      </c>
      <c r="EF87" s="383"/>
      <c r="EG87" s="363" t="s">
        <v>910</v>
      </c>
      <c r="EH87" s="364"/>
      <c r="EI87" s="365" t="s">
        <v>638</v>
      </c>
      <c r="EJ87" s="366"/>
      <c r="EK87" s="366"/>
      <c r="EL87" s="367"/>
      <c r="EW87" s="286"/>
      <c r="EX87" s="286"/>
      <c r="EY87" s="286"/>
      <c r="EZ87" s="286"/>
      <c r="FA87" s="286"/>
      <c r="FB87" s="286"/>
      <c r="FC87" s="286"/>
      <c r="FD87" s="286"/>
      <c r="FE87" s="286"/>
      <c r="FF87" s="286"/>
      <c r="FG87" s="286"/>
      <c r="FH87" s="286"/>
      <c r="FI87" s="286"/>
      <c r="FJ87" s="286"/>
      <c r="FK87" s="286"/>
      <c r="FL87" s="286"/>
      <c r="FM87" s="286"/>
      <c r="FN87" s="286"/>
      <c r="FO87" s="286"/>
      <c r="FT87" s="12"/>
      <c r="FU87" s="3"/>
      <c r="FV87" s="3"/>
      <c r="FW87" s="173" t="s">
        <v>1050</v>
      </c>
      <c r="FX87" s="297" t="s">
        <v>604</v>
      </c>
      <c r="FY87" s="298"/>
      <c r="FZ87" s="315"/>
      <c r="GA87" s="175"/>
      <c r="GB87" s="175"/>
      <c r="GC87" s="175"/>
      <c r="GD87" s="175"/>
      <c r="GE87" s="175"/>
      <c r="GF87" s="175"/>
      <c r="GG87" s="315"/>
      <c r="GH87" s="173" t="s">
        <v>629</v>
      </c>
      <c r="GI87" s="359" t="s">
        <v>623</v>
      </c>
      <c r="GJ87" s="381"/>
      <c r="GK87" s="382" t="s">
        <v>189</v>
      </c>
      <c r="GL87" s="383"/>
      <c r="GM87" s="363" t="s">
        <v>910</v>
      </c>
      <c r="GN87" s="364"/>
      <c r="GO87" s="365" t="s">
        <v>638</v>
      </c>
      <c r="GP87" s="366"/>
      <c r="GQ87" s="366"/>
      <c r="GR87" s="367"/>
      <c r="IH87" s="356"/>
      <c r="II87" s="297" t="s">
        <v>604</v>
      </c>
      <c r="IJ87" s="298"/>
      <c r="IK87" s="321"/>
      <c r="IL87" s="175"/>
      <c r="IM87" s="175"/>
      <c r="IN87" s="175"/>
      <c r="IO87" s="175"/>
      <c r="IP87" s="175"/>
      <c r="IQ87" s="175"/>
      <c r="IR87" s="321"/>
      <c r="IS87" s="173" t="s">
        <v>629</v>
      </c>
      <c r="IT87" s="393" t="s">
        <v>623</v>
      </c>
      <c r="IU87" s="394"/>
      <c r="IV87" s="382" t="s">
        <v>189</v>
      </c>
      <c r="IW87" s="383"/>
      <c r="IX87" s="363" t="s">
        <v>910</v>
      </c>
      <c r="IY87" s="364"/>
      <c r="IZ87" s="365" t="s">
        <v>638</v>
      </c>
      <c r="JA87" s="366"/>
      <c r="JB87" s="366"/>
      <c r="JC87" s="367"/>
      <c r="KW87" s="36" t="s">
        <v>178</v>
      </c>
      <c r="KX87" s="37">
        <f>EE44</f>
        <v>2.9</v>
      </c>
      <c r="KY87" s="6" t="s">
        <v>53</v>
      </c>
      <c r="LP87" s="356"/>
      <c r="LQ87" s="297" t="s">
        <v>604</v>
      </c>
      <c r="LR87" s="298"/>
      <c r="LS87" s="321"/>
      <c r="LT87" s="175"/>
      <c r="LU87" s="175"/>
      <c r="LV87" s="175"/>
      <c r="LW87" s="175"/>
      <c r="LX87" s="175"/>
      <c r="LY87" s="175"/>
      <c r="LZ87" s="321"/>
      <c r="MA87" s="173" t="s">
        <v>629</v>
      </c>
      <c r="MB87" s="359" t="s">
        <v>623</v>
      </c>
      <c r="MC87" s="360"/>
      <c r="MD87" s="361" t="s">
        <v>189</v>
      </c>
      <c r="ME87" s="362"/>
      <c r="MF87" s="363" t="s">
        <v>910</v>
      </c>
      <c r="MG87" s="364"/>
      <c r="MH87" s="365" t="s">
        <v>638</v>
      </c>
      <c r="MI87" s="366"/>
      <c r="MJ87" s="366"/>
      <c r="MK87" s="367"/>
      <c r="MY87" s="7"/>
      <c r="MZ87" s="12"/>
      <c r="NA87" s="3"/>
      <c r="NB87" s="3"/>
      <c r="NE87" s="12"/>
      <c r="NF87" s="3"/>
      <c r="NG87" s="3"/>
      <c r="QZ87" s="7"/>
      <c r="RA87" s="12"/>
      <c r="RB87" s="3"/>
      <c r="RC87" s="3"/>
      <c r="RF87" s="12"/>
      <c r="RG87" s="3"/>
      <c r="RH87" s="3"/>
      <c r="VL87" s="356"/>
      <c r="VM87" s="297" t="s">
        <v>604</v>
      </c>
      <c r="VN87" s="298"/>
      <c r="VO87" s="321"/>
      <c r="VP87" s="175"/>
      <c r="VQ87" s="175"/>
      <c r="VR87" s="175"/>
      <c r="VS87" s="175"/>
      <c r="VT87" s="175"/>
      <c r="VU87" s="175"/>
      <c r="VV87" s="321"/>
      <c r="VW87" s="173" t="s">
        <v>629</v>
      </c>
      <c r="VX87" s="359" t="s">
        <v>623</v>
      </c>
      <c r="VY87" s="381"/>
      <c r="VZ87" s="382" t="s">
        <v>189</v>
      </c>
      <c r="WA87" s="383"/>
      <c r="WB87" s="363" t="s">
        <v>910</v>
      </c>
      <c r="WC87" s="364"/>
      <c r="WD87" s="365" t="s">
        <v>638</v>
      </c>
      <c r="WE87" s="366"/>
      <c r="WF87" s="366"/>
      <c r="WG87" s="367"/>
      <c r="ZG87" s="356"/>
      <c r="ZH87" s="297" t="s">
        <v>604</v>
      </c>
      <c r="ZI87" s="298"/>
      <c r="ZJ87" s="321"/>
      <c r="ZK87" s="175"/>
      <c r="ZL87" s="175"/>
      <c r="ZM87" s="175"/>
      <c r="ZN87" s="175"/>
      <c r="ZO87" s="175"/>
      <c r="ZP87" s="175"/>
      <c r="ZQ87" s="321"/>
      <c r="ZR87" s="173" t="s">
        <v>629</v>
      </c>
      <c r="ZS87" s="359" t="s">
        <v>623</v>
      </c>
      <c r="ZT87" s="381"/>
      <c r="ZU87" s="382" t="s">
        <v>189</v>
      </c>
      <c r="ZV87" s="383"/>
      <c r="ZW87" s="363" t="s">
        <v>910</v>
      </c>
      <c r="ZX87" s="364"/>
      <c r="ZY87" s="365" t="s">
        <v>638</v>
      </c>
      <c r="ZZ87" s="366"/>
      <c r="AAA87" s="366"/>
      <c r="AAB87" s="367"/>
    </row>
    <row r="88" spans="7:704" ht="48" customHeight="1" x14ac:dyDescent="0.3">
      <c r="BG88" s="291"/>
      <c r="BH88" s="291"/>
      <c r="BI88" s="291"/>
      <c r="BJ88" s="291"/>
      <c r="BK88" s="291"/>
      <c r="BO88" s="357"/>
      <c r="BP88" s="514" t="s">
        <v>45</v>
      </c>
      <c r="BQ88" s="515"/>
      <c r="BR88" s="515"/>
      <c r="BS88" s="515"/>
      <c r="BT88" s="515"/>
      <c r="BU88" s="551"/>
      <c r="BV88" s="515"/>
      <c r="BW88" s="515"/>
      <c r="BX88" s="515"/>
      <c r="BY88" s="515"/>
      <c r="BZ88" s="515"/>
      <c r="CA88" s="515"/>
      <c r="CB88" s="516"/>
      <c r="CC88" s="467">
        <f>(AN12*CC84)/(AN32*AN77)</f>
        <v>0.83437747260642015</v>
      </c>
      <c r="CD88" s="468"/>
      <c r="CE88" s="420" t="s">
        <v>21</v>
      </c>
      <c r="CF88" s="421"/>
      <c r="CG88" s="386"/>
      <c r="CH88" s="416" t="s">
        <v>970</v>
      </c>
      <c r="CI88" s="417"/>
      <c r="CJ88" s="379"/>
      <c r="CK88" s="396"/>
      <c r="CL88" s="397"/>
      <c r="CM88" s="398"/>
      <c r="DQ88" s="356"/>
      <c r="DR88" s="384" t="s">
        <v>58</v>
      </c>
      <c r="DS88" s="384"/>
      <c r="DT88" s="384"/>
      <c r="DU88" s="384"/>
      <c r="DV88" s="384"/>
      <c r="DW88" s="384"/>
      <c r="DX88" s="384"/>
      <c r="DY88" s="384"/>
      <c r="DZ88" s="384"/>
      <c r="EA88" s="384"/>
      <c r="EB88" s="384"/>
      <c r="EC88" s="384"/>
      <c r="ED88" s="447"/>
      <c r="EE88" s="348">
        <f>EE76-EE60</f>
        <v>18.991766745117161</v>
      </c>
      <c r="EF88" s="349"/>
      <c r="EG88" s="420" t="s">
        <v>53</v>
      </c>
      <c r="EH88" s="421"/>
      <c r="EI88" s="386"/>
      <c r="EJ88" s="375" t="s">
        <v>604</v>
      </c>
      <c r="EK88" s="376"/>
      <c r="EL88" s="379"/>
      <c r="EW88" s="286"/>
      <c r="EX88" s="286"/>
      <c r="EY88" s="286"/>
      <c r="EZ88" s="286"/>
      <c r="FA88" s="286"/>
      <c r="FB88" s="286"/>
      <c r="FC88" s="286"/>
      <c r="FD88" s="286"/>
      <c r="FE88" s="286"/>
      <c r="FF88" s="286"/>
      <c r="FG88" s="286"/>
      <c r="FH88" s="286"/>
      <c r="FI88" s="286"/>
      <c r="FJ88" s="286"/>
      <c r="FK88" s="286"/>
      <c r="FL88" s="286"/>
      <c r="FM88" s="286"/>
      <c r="FN88" s="286"/>
      <c r="FO88" s="286"/>
      <c r="FT88" s="12"/>
      <c r="FU88" s="3"/>
      <c r="FV88" s="3"/>
      <c r="FW88" s="356"/>
      <c r="FX88" s="344" t="s">
        <v>72</v>
      </c>
      <c r="FY88" s="345"/>
      <c r="FZ88" s="345"/>
      <c r="GA88" s="345"/>
      <c r="GB88" s="345"/>
      <c r="GC88" s="345"/>
      <c r="GD88" s="345"/>
      <c r="GE88" s="345"/>
      <c r="GF88" s="345"/>
      <c r="GG88" s="345"/>
      <c r="GH88" s="345"/>
      <c r="GI88" s="345"/>
      <c r="GJ88" s="345"/>
      <c r="GK88" s="388">
        <f>GK84*GK80</f>
        <v>5.1392254022276536</v>
      </c>
      <c r="GL88" s="371"/>
      <c r="GM88" s="406" t="s">
        <v>53</v>
      </c>
      <c r="GN88" s="408"/>
      <c r="GO88" s="386"/>
      <c r="GP88" s="375" t="s">
        <v>604</v>
      </c>
      <c r="GQ88" s="376"/>
      <c r="GR88" s="379"/>
      <c r="IH88" s="357"/>
      <c r="II88" s="344" t="s">
        <v>96</v>
      </c>
      <c r="IJ88" s="345"/>
      <c r="IK88" s="345"/>
      <c r="IL88" s="345"/>
      <c r="IM88" s="345"/>
      <c r="IN88" s="345"/>
      <c r="IO88" s="345"/>
      <c r="IP88" s="345"/>
      <c r="IQ88" s="345"/>
      <c r="IR88" s="345"/>
      <c r="IS88" s="345"/>
      <c r="IT88" s="345"/>
      <c r="IU88" s="345"/>
      <c r="IV88" s="348">
        <f>IV104/1000*IV84</f>
        <v>10.526</v>
      </c>
      <c r="IW88" s="349"/>
      <c r="IX88" s="352"/>
      <c r="IY88" s="353"/>
      <c r="IZ88" s="386"/>
      <c r="JA88" s="375" t="s">
        <v>604</v>
      </c>
      <c r="JB88" s="376"/>
      <c r="JC88" s="379"/>
      <c r="JG88" s="291"/>
      <c r="JH88" s="291"/>
      <c r="JI88" s="291"/>
      <c r="JJ88" s="291"/>
      <c r="JK88" s="291"/>
      <c r="JL88" s="291"/>
      <c r="JM88" s="291"/>
      <c r="JN88" s="291"/>
      <c r="JO88" s="291"/>
      <c r="JP88" s="291"/>
      <c r="JQ88" s="291"/>
      <c r="JR88" s="291"/>
      <c r="JS88" s="291"/>
      <c r="JT88" s="291"/>
      <c r="JU88" s="291"/>
      <c r="JV88" s="291"/>
      <c r="JW88" s="291"/>
      <c r="JX88" s="291"/>
      <c r="JY88" s="291"/>
      <c r="JZ88" s="8"/>
      <c r="KW88" s="36" t="s">
        <v>172</v>
      </c>
      <c r="KX88" s="37">
        <f>GK64</f>
        <v>1.5</v>
      </c>
      <c r="KY88" s="6" t="s">
        <v>53</v>
      </c>
      <c r="LP88" s="357"/>
      <c r="LQ88" s="344" t="s">
        <v>146</v>
      </c>
      <c r="LR88" s="345"/>
      <c r="LS88" s="345"/>
      <c r="LT88" s="345"/>
      <c r="LU88" s="345"/>
      <c r="LV88" s="345"/>
      <c r="LW88" s="345"/>
      <c r="LX88" s="345"/>
      <c r="LY88" s="345"/>
      <c r="LZ88" s="345"/>
      <c r="MA88" s="345"/>
      <c r="MB88" s="345"/>
      <c r="MC88" s="345"/>
      <c r="MD88" s="348">
        <f>0.25*(1+3*MD96)</f>
        <v>0.625</v>
      </c>
      <c r="ME88" s="349"/>
      <c r="MF88" s="390"/>
      <c r="MG88" s="371"/>
      <c r="MH88" s="373"/>
      <c r="MI88" s="375" t="s">
        <v>604</v>
      </c>
      <c r="MJ88" s="376"/>
      <c r="MK88" s="379"/>
      <c r="MY88" s="7"/>
      <c r="MZ88" s="12"/>
      <c r="NA88" s="3"/>
      <c r="NB88" s="3"/>
      <c r="NE88" s="12"/>
      <c r="NF88" s="3"/>
      <c r="NG88" s="3"/>
      <c r="VL88" s="357"/>
      <c r="VM88" s="384"/>
      <c r="VN88" s="384"/>
      <c r="VO88" s="384"/>
      <c r="VP88" s="384"/>
      <c r="VQ88" s="384"/>
      <c r="VR88" s="384"/>
      <c r="VS88" s="384"/>
      <c r="VT88" s="384"/>
      <c r="VU88" s="384"/>
      <c r="VV88" s="384"/>
      <c r="VW88" s="384"/>
      <c r="VX88" s="384"/>
      <c r="VY88" s="384"/>
      <c r="VZ88" s="348"/>
      <c r="WA88" s="349"/>
      <c r="WB88" s="370"/>
      <c r="WC88" s="371"/>
      <c r="WD88" s="386"/>
      <c r="WE88" s="375" t="s">
        <v>604</v>
      </c>
      <c r="WF88" s="376"/>
      <c r="WG88" s="379"/>
      <c r="ZG88" s="357"/>
      <c r="ZH88" s="384"/>
      <c r="ZI88" s="384"/>
      <c r="ZJ88" s="384"/>
      <c r="ZK88" s="384"/>
      <c r="ZL88" s="384"/>
      <c r="ZM88" s="384"/>
      <c r="ZN88" s="384"/>
      <c r="ZO88" s="384"/>
      <c r="ZP88" s="384"/>
      <c r="ZQ88" s="384"/>
      <c r="ZR88" s="384"/>
      <c r="ZS88" s="384"/>
      <c r="ZT88" s="384"/>
      <c r="ZU88" s="348"/>
      <c r="ZV88" s="349"/>
      <c r="ZW88" s="370"/>
      <c r="ZX88" s="371"/>
      <c r="ZY88" s="386"/>
      <c r="ZZ88" s="375" t="s">
        <v>604</v>
      </c>
      <c r="AAA88" s="376"/>
      <c r="AAB88" s="379"/>
    </row>
    <row r="89" spans="7:704" ht="48" customHeight="1" thickBot="1" x14ac:dyDescent="0.35">
      <c r="BG89" s="291"/>
      <c r="BH89" s="291"/>
      <c r="BI89" s="291"/>
      <c r="BJ89" s="291"/>
      <c r="BK89" s="291"/>
      <c r="BO89" s="358"/>
      <c r="BP89" s="517"/>
      <c r="BQ89" s="518"/>
      <c r="BR89" s="518"/>
      <c r="BS89" s="518"/>
      <c r="BT89" s="518"/>
      <c r="BU89" s="518"/>
      <c r="BV89" s="518"/>
      <c r="BW89" s="518"/>
      <c r="BX89" s="518"/>
      <c r="BY89" s="518"/>
      <c r="BZ89" s="518"/>
      <c r="CA89" s="518"/>
      <c r="CB89" s="440"/>
      <c r="CC89" s="389"/>
      <c r="CD89" s="372"/>
      <c r="CE89" s="422"/>
      <c r="CF89" s="423"/>
      <c r="CG89" s="387"/>
      <c r="CH89" s="418"/>
      <c r="CI89" s="419"/>
      <c r="CJ89" s="380"/>
      <c r="CK89" s="341"/>
      <c r="CL89" s="342"/>
      <c r="CM89" s="343"/>
      <c r="DQ89" s="358"/>
      <c r="DR89" s="385"/>
      <c r="DS89" s="385"/>
      <c r="DT89" s="385"/>
      <c r="DU89" s="385"/>
      <c r="DV89" s="385"/>
      <c r="DW89" s="385"/>
      <c r="DX89" s="385"/>
      <c r="DY89" s="385"/>
      <c r="DZ89" s="385"/>
      <c r="EA89" s="385"/>
      <c r="EB89" s="385"/>
      <c r="EC89" s="385"/>
      <c r="ED89" s="351"/>
      <c r="EE89" s="350"/>
      <c r="EF89" s="351"/>
      <c r="EG89" s="422"/>
      <c r="EH89" s="423"/>
      <c r="EI89" s="387"/>
      <c r="EJ89" s="377"/>
      <c r="EK89" s="378"/>
      <c r="EL89" s="380"/>
      <c r="EW89" s="286"/>
      <c r="EX89" s="286"/>
      <c r="EY89" s="286"/>
      <c r="EZ89" s="286"/>
      <c r="FA89" s="286"/>
      <c r="FB89" s="286"/>
      <c r="FC89" s="286"/>
      <c r="FD89" s="286"/>
      <c r="FE89" s="286"/>
      <c r="FF89" s="286"/>
      <c r="FG89" s="286"/>
      <c r="FH89" s="286"/>
      <c r="FI89" s="286"/>
      <c r="FJ89" s="286"/>
      <c r="FK89" s="286"/>
      <c r="FL89" s="286"/>
      <c r="FM89" s="286"/>
      <c r="FN89" s="286"/>
      <c r="FO89" s="286"/>
      <c r="FT89" s="12"/>
      <c r="FU89" s="3"/>
      <c r="FV89" s="3"/>
      <c r="FW89" s="358"/>
      <c r="FX89" s="346"/>
      <c r="FY89" s="347"/>
      <c r="FZ89" s="347"/>
      <c r="GA89" s="347"/>
      <c r="GB89" s="347"/>
      <c r="GC89" s="347"/>
      <c r="GD89" s="347"/>
      <c r="GE89" s="347"/>
      <c r="GF89" s="347"/>
      <c r="GG89" s="347"/>
      <c r="GH89" s="347"/>
      <c r="GI89" s="347"/>
      <c r="GJ89" s="347"/>
      <c r="GK89" s="389"/>
      <c r="GL89" s="372"/>
      <c r="GM89" s="409"/>
      <c r="GN89" s="411"/>
      <c r="GO89" s="387"/>
      <c r="GP89" s="377"/>
      <c r="GQ89" s="378"/>
      <c r="GR89" s="380"/>
      <c r="IH89" s="358"/>
      <c r="II89" s="346"/>
      <c r="IJ89" s="347"/>
      <c r="IK89" s="347"/>
      <c r="IL89" s="347"/>
      <c r="IM89" s="347"/>
      <c r="IN89" s="347"/>
      <c r="IO89" s="347"/>
      <c r="IP89" s="347"/>
      <c r="IQ89" s="347"/>
      <c r="IR89" s="347"/>
      <c r="IS89" s="347"/>
      <c r="IT89" s="347"/>
      <c r="IU89" s="347"/>
      <c r="IV89" s="350"/>
      <c r="IW89" s="351"/>
      <c r="IX89" s="354"/>
      <c r="IY89" s="355"/>
      <c r="IZ89" s="387"/>
      <c r="JA89" s="377"/>
      <c r="JB89" s="378"/>
      <c r="JC89" s="380"/>
      <c r="JG89" s="291"/>
      <c r="JH89" s="291"/>
      <c r="JI89" s="291"/>
      <c r="JJ89" s="291"/>
      <c r="JK89" s="291"/>
      <c r="JL89" s="291"/>
      <c r="JM89" s="291"/>
      <c r="JN89" s="291"/>
      <c r="JO89" s="291"/>
      <c r="JP89" s="291"/>
      <c r="JQ89" s="291"/>
      <c r="JR89" s="291"/>
      <c r="JS89" s="291"/>
      <c r="JT89" s="291"/>
      <c r="JU89" s="291"/>
      <c r="JV89" s="291"/>
      <c r="JW89" s="291"/>
      <c r="JX89" s="291"/>
      <c r="JY89" s="291"/>
      <c r="KW89" s="36" t="s">
        <v>203</v>
      </c>
      <c r="KX89" s="37">
        <f>GK12</f>
        <v>0.65</v>
      </c>
      <c r="KY89" s="35" t="s">
        <v>53</v>
      </c>
      <c r="LP89" s="358"/>
      <c r="LQ89" s="346"/>
      <c r="LR89" s="347"/>
      <c r="LS89" s="347"/>
      <c r="LT89" s="347"/>
      <c r="LU89" s="347"/>
      <c r="LV89" s="347"/>
      <c r="LW89" s="347"/>
      <c r="LX89" s="347"/>
      <c r="LY89" s="347"/>
      <c r="LZ89" s="347"/>
      <c r="MA89" s="347"/>
      <c r="MB89" s="347"/>
      <c r="MC89" s="347"/>
      <c r="MD89" s="350"/>
      <c r="ME89" s="351"/>
      <c r="MF89" s="347"/>
      <c r="MG89" s="372"/>
      <c r="MH89" s="374"/>
      <c r="MI89" s="377"/>
      <c r="MJ89" s="378"/>
      <c r="MK89" s="380"/>
      <c r="MY89" s="7"/>
      <c r="MZ89" s="12"/>
      <c r="NA89" s="3"/>
      <c r="NB89" s="3"/>
      <c r="NE89" s="12"/>
      <c r="NF89" s="3"/>
      <c r="NG89" s="3"/>
      <c r="VL89" s="358"/>
      <c r="VM89" s="385"/>
      <c r="VN89" s="385"/>
      <c r="VO89" s="385"/>
      <c r="VP89" s="385"/>
      <c r="VQ89" s="385"/>
      <c r="VR89" s="385"/>
      <c r="VS89" s="385"/>
      <c r="VT89" s="385"/>
      <c r="VU89" s="385"/>
      <c r="VV89" s="385"/>
      <c r="VW89" s="385"/>
      <c r="VX89" s="385"/>
      <c r="VY89" s="385"/>
      <c r="VZ89" s="350"/>
      <c r="WA89" s="351"/>
      <c r="WB89" s="346"/>
      <c r="WC89" s="372"/>
      <c r="WD89" s="387"/>
      <c r="WE89" s="377"/>
      <c r="WF89" s="378"/>
      <c r="WG89" s="380"/>
      <c r="ZG89" s="358"/>
      <c r="ZH89" s="385"/>
      <c r="ZI89" s="385"/>
      <c r="ZJ89" s="385"/>
      <c r="ZK89" s="385"/>
      <c r="ZL89" s="385"/>
      <c r="ZM89" s="385"/>
      <c r="ZN89" s="385"/>
      <c r="ZO89" s="385"/>
      <c r="ZP89" s="385"/>
      <c r="ZQ89" s="385"/>
      <c r="ZR89" s="385"/>
      <c r="ZS89" s="385"/>
      <c r="ZT89" s="385"/>
      <c r="ZU89" s="350"/>
      <c r="ZV89" s="351"/>
      <c r="ZW89" s="346"/>
      <c r="ZX89" s="372"/>
      <c r="ZY89" s="387"/>
      <c r="ZZ89" s="377"/>
      <c r="AAA89" s="378"/>
      <c r="AAB89" s="380"/>
    </row>
    <row r="90" spans="7:704" ht="48" customHeight="1" x14ac:dyDescent="0.3">
      <c r="BG90" s="291"/>
      <c r="BH90" s="291"/>
      <c r="BI90" s="291"/>
      <c r="BJ90" s="291"/>
      <c r="BK90" s="291"/>
      <c r="CR90" s="512">
        <v>1.26</v>
      </c>
      <c r="CS90" s="512"/>
      <c r="CT90" s="512"/>
      <c r="CU90" s="308" t="s">
        <v>53</v>
      </c>
      <c r="EW90" s="286"/>
      <c r="EX90" s="286"/>
      <c r="EY90" s="286"/>
      <c r="EZ90" s="286"/>
      <c r="FA90" s="286"/>
      <c r="FB90" s="286"/>
      <c r="FC90" s="286"/>
      <c r="FD90" s="286"/>
      <c r="FE90" s="286"/>
      <c r="FF90" s="286"/>
      <c r="FG90" s="286"/>
      <c r="FH90" s="286"/>
      <c r="FI90" s="286"/>
      <c r="FJ90" s="286"/>
      <c r="FK90" s="286"/>
      <c r="FL90" s="286"/>
      <c r="FM90" s="286"/>
      <c r="FN90" s="286"/>
      <c r="FO90" s="286"/>
      <c r="JG90" s="291"/>
      <c r="JH90" s="291"/>
      <c r="JI90" s="291"/>
      <c r="JJ90" s="291"/>
      <c r="JK90" s="291"/>
      <c r="JL90" s="291"/>
      <c r="JM90" s="291"/>
      <c r="JN90" s="291"/>
      <c r="JO90" s="291"/>
      <c r="JP90" s="291"/>
      <c r="JQ90" s="291"/>
      <c r="JR90" s="291"/>
      <c r="JS90" s="291"/>
      <c r="JT90" s="291"/>
      <c r="JU90" s="291"/>
      <c r="JV90" s="291"/>
      <c r="JW90" s="291"/>
      <c r="JX90" s="291"/>
      <c r="JY90" s="291"/>
      <c r="JZ90" s="8" t="s">
        <v>115</v>
      </c>
      <c r="KW90" s="17" t="s">
        <v>204</v>
      </c>
      <c r="KX90" s="6">
        <f>KX87/KX89</f>
        <v>4.4615384615384617</v>
      </c>
      <c r="KY90" s="6"/>
      <c r="MY90" s="7"/>
      <c r="MZ90" s="12"/>
      <c r="NA90" s="3"/>
      <c r="NB90" s="3"/>
      <c r="NE90" s="12"/>
      <c r="NF90" s="3"/>
      <c r="NG90" s="3"/>
    </row>
    <row r="91" spans="7:704" ht="48" customHeight="1" thickBot="1" x14ac:dyDescent="0.35">
      <c r="BG91" s="291"/>
      <c r="BH91" s="291"/>
      <c r="BI91" s="291"/>
      <c r="BJ91" s="291"/>
      <c r="BK91" s="291"/>
      <c r="BO91" s="356"/>
      <c r="BP91" s="546" t="s">
        <v>41</v>
      </c>
      <c r="BQ91" s="547"/>
      <c r="BR91" s="295"/>
      <c r="BS91" s="175"/>
      <c r="BT91" s="175"/>
      <c r="BU91" s="175"/>
      <c r="BV91" s="175"/>
      <c r="BW91" s="175"/>
      <c r="BX91" s="175"/>
      <c r="BY91" s="295"/>
      <c r="BZ91" s="173" t="s">
        <v>629</v>
      </c>
      <c r="CA91" s="359" t="s">
        <v>623</v>
      </c>
      <c r="CB91" s="381"/>
      <c r="CC91" s="508" t="s">
        <v>189</v>
      </c>
      <c r="CD91" s="509"/>
      <c r="CE91" s="510"/>
      <c r="CF91" s="363" t="s">
        <v>910</v>
      </c>
      <c r="CG91" s="364"/>
      <c r="CH91" s="365" t="s">
        <v>638</v>
      </c>
      <c r="CI91" s="366"/>
      <c r="CJ91" s="366"/>
      <c r="CK91" s="367"/>
      <c r="CL91" s="337" t="s">
        <v>624</v>
      </c>
      <c r="CM91" s="337"/>
      <c r="CN91" s="337"/>
      <c r="CO91" s="337"/>
      <c r="CR91" s="513">
        <v>1.18</v>
      </c>
      <c r="CS91" s="513"/>
      <c r="CT91" s="513"/>
      <c r="CU91" s="308" t="s">
        <v>53</v>
      </c>
      <c r="DQ91" s="356"/>
      <c r="DR91" s="297" t="s">
        <v>604</v>
      </c>
      <c r="DS91" s="298"/>
      <c r="DT91" s="315"/>
      <c r="DU91" s="175"/>
      <c r="DV91" s="175"/>
      <c r="DW91" s="175"/>
      <c r="DX91" s="175"/>
      <c r="DY91" s="175"/>
      <c r="DZ91" s="175"/>
      <c r="EA91" s="315"/>
      <c r="EB91" s="173" t="s">
        <v>629</v>
      </c>
      <c r="EC91" s="359" t="s">
        <v>623</v>
      </c>
      <c r="ED91" s="381"/>
      <c r="EE91" s="382" t="s">
        <v>189</v>
      </c>
      <c r="EF91" s="383"/>
      <c r="EG91" s="363" t="s">
        <v>910</v>
      </c>
      <c r="EH91" s="364"/>
      <c r="EI91" s="365" t="s">
        <v>638</v>
      </c>
      <c r="EJ91" s="366"/>
      <c r="EK91" s="366"/>
      <c r="EL91" s="367"/>
      <c r="EW91" s="286"/>
      <c r="EX91" s="286"/>
      <c r="EY91" s="286"/>
      <c r="EZ91" s="286"/>
      <c r="FA91" s="286"/>
      <c r="FB91" s="286"/>
      <c r="FC91" s="286"/>
      <c r="FD91" s="286"/>
      <c r="FE91" s="286"/>
      <c r="FF91" s="286"/>
      <c r="FG91" s="286"/>
      <c r="FH91" s="286"/>
      <c r="FI91" s="286"/>
      <c r="FJ91" s="286"/>
      <c r="FK91" s="286"/>
      <c r="FL91" s="286"/>
      <c r="FM91" s="286"/>
      <c r="FN91" s="286"/>
      <c r="FO91" s="286"/>
      <c r="FT91" s="12"/>
      <c r="FU91" s="3"/>
      <c r="FV91" s="5"/>
      <c r="FW91" s="173" t="s">
        <v>1050</v>
      </c>
      <c r="FX91" s="297" t="s">
        <v>604</v>
      </c>
      <c r="FY91" s="298"/>
      <c r="FZ91" s="315"/>
      <c r="GA91" s="175"/>
      <c r="GB91" s="175"/>
      <c r="GC91" s="175"/>
      <c r="GD91" s="175"/>
      <c r="GE91" s="175"/>
      <c r="GF91" s="175"/>
      <c r="GG91" s="315"/>
      <c r="GH91" s="173" t="s">
        <v>629</v>
      </c>
      <c r="GI91" s="359" t="s">
        <v>623</v>
      </c>
      <c r="GJ91" s="381"/>
      <c r="GK91" s="382" t="s">
        <v>189</v>
      </c>
      <c r="GL91" s="383"/>
      <c r="GM91" s="363" t="s">
        <v>910</v>
      </c>
      <c r="GN91" s="364"/>
      <c r="GO91" s="365" t="s">
        <v>638</v>
      </c>
      <c r="GP91" s="366"/>
      <c r="GQ91" s="366"/>
      <c r="GR91" s="367"/>
      <c r="IH91" s="356"/>
      <c r="II91" s="297" t="s">
        <v>604</v>
      </c>
      <c r="IJ91" s="298"/>
      <c r="IK91" s="321"/>
      <c r="IL91" s="175"/>
      <c r="IM91" s="175"/>
      <c r="IN91" s="175"/>
      <c r="IO91" s="175"/>
      <c r="IP91" s="175"/>
      <c r="IQ91" s="175"/>
      <c r="IR91" s="321"/>
      <c r="IS91" s="173" t="s">
        <v>629</v>
      </c>
      <c r="IT91" s="393" t="s">
        <v>623</v>
      </c>
      <c r="IU91" s="394"/>
      <c r="IV91" s="382" t="s">
        <v>189</v>
      </c>
      <c r="IW91" s="383"/>
      <c r="IX91" s="363" t="s">
        <v>910</v>
      </c>
      <c r="IY91" s="364"/>
      <c r="IZ91" s="365" t="s">
        <v>638</v>
      </c>
      <c r="JA91" s="366"/>
      <c r="JB91" s="366"/>
      <c r="JC91" s="367"/>
      <c r="JG91" s="291"/>
      <c r="JH91" s="291"/>
      <c r="JI91" s="291"/>
      <c r="JJ91" s="291"/>
      <c r="JK91" s="291"/>
      <c r="JL91" s="291"/>
      <c r="JM91" s="291"/>
      <c r="JN91" s="291"/>
      <c r="JO91" s="291"/>
      <c r="JP91" s="291"/>
      <c r="JQ91" s="291"/>
      <c r="JR91" s="291"/>
      <c r="JS91" s="291"/>
      <c r="JT91" s="291"/>
      <c r="JU91" s="291"/>
      <c r="JV91" s="291"/>
      <c r="JW91" s="291"/>
      <c r="JX91" s="291"/>
      <c r="JY91" s="291"/>
      <c r="KW91" s="17" t="s">
        <v>166</v>
      </c>
      <c r="KX91" s="6">
        <f>KX87/(KX85*1000)</f>
        <v>0.22739284765481982</v>
      </c>
      <c r="KY91" s="6"/>
      <c r="LP91" s="356"/>
      <c r="LQ91" s="297" t="s">
        <v>604</v>
      </c>
      <c r="LR91" s="298"/>
      <c r="LS91" s="321"/>
      <c r="LT91" s="175"/>
      <c r="LU91" s="175"/>
      <c r="LV91" s="175"/>
      <c r="LW91" s="175"/>
      <c r="LX91" s="175"/>
      <c r="LY91" s="175"/>
      <c r="LZ91" s="321"/>
      <c r="MA91" s="173" t="s">
        <v>629</v>
      </c>
      <c r="MB91" s="359" t="s">
        <v>623</v>
      </c>
      <c r="MC91" s="360"/>
      <c r="MD91" s="361" t="s">
        <v>189</v>
      </c>
      <c r="ME91" s="362"/>
      <c r="MF91" s="363" t="s">
        <v>910</v>
      </c>
      <c r="MG91" s="364"/>
      <c r="MH91" s="365" t="s">
        <v>638</v>
      </c>
      <c r="MI91" s="366"/>
      <c r="MJ91" s="366"/>
      <c r="MK91" s="367"/>
      <c r="MY91" s="8" t="s">
        <v>209</v>
      </c>
      <c r="MZ91" s="10" t="s">
        <v>218</v>
      </c>
      <c r="NA91" s="6"/>
      <c r="NB91" s="6"/>
      <c r="NE91" s="12"/>
      <c r="NF91" s="3"/>
      <c r="NG91" s="3"/>
      <c r="VL91" s="356"/>
      <c r="VM91" s="297" t="s">
        <v>604</v>
      </c>
      <c r="VN91" s="298"/>
      <c r="VO91" s="321"/>
      <c r="VP91" s="175"/>
      <c r="VQ91" s="175"/>
      <c r="VR91" s="175"/>
      <c r="VS91" s="175"/>
      <c r="VT91" s="175"/>
      <c r="VU91" s="175"/>
      <c r="VV91" s="321"/>
      <c r="VW91" s="173" t="s">
        <v>629</v>
      </c>
      <c r="VX91" s="359" t="s">
        <v>623</v>
      </c>
      <c r="VY91" s="381"/>
      <c r="VZ91" s="382" t="s">
        <v>189</v>
      </c>
      <c r="WA91" s="383"/>
      <c r="WB91" s="363" t="s">
        <v>910</v>
      </c>
      <c r="WC91" s="364"/>
      <c r="WD91" s="365" t="s">
        <v>638</v>
      </c>
      <c r="WE91" s="366"/>
      <c r="WF91" s="366"/>
      <c r="WG91" s="367"/>
      <c r="ZG91" s="356"/>
      <c r="ZH91" s="297" t="s">
        <v>604</v>
      </c>
      <c r="ZI91" s="298"/>
      <c r="ZJ91" s="321"/>
      <c r="ZK91" s="175"/>
      <c r="ZL91" s="175"/>
      <c r="ZM91" s="175"/>
      <c r="ZN91" s="175"/>
      <c r="ZO91" s="175"/>
      <c r="ZP91" s="175"/>
      <c r="ZQ91" s="321"/>
      <c r="ZR91" s="173" t="s">
        <v>629</v>
      </c>
      <c r="ZS91" s="359" t="s">
        <v>623</v>
      </c>
      <c r="ZT91" s="381"/>
      <c r="ZU91" s="382" t="s">
        <v>189</v>
      </c>
      <c r="ZV91" s="383"/>
      <c r="ZW91" s="363" t="s">
        <v>910</v>
      </c>
      <c r="ZX91" s="364"/>
      <c r="ZY91" s="365" t="s">
        <v>638</v>
      </c>
      <c r="ZZ91" s="366"/>
      <c r="AAA91" s="366"/>
      <c r="AAB91" s="367"/>
    </row>
    <row r="92" spans="7:704" ht="48" customHeight="1" x14ac:dyDescent="0.3">
      <c r="BG92" s="291"/>
      <c r="BH92" s="291"/>
      <c r="BI92" s="291"/>
      <c r="BJ92" s="291"/>
      <c r="BK92" s="291"/>
      <c r="BO92" s="357"/>
      <c r="BP92" s="514" t="s">
        <v>47</v>
      </c>
      <c r="BQ92" s="515"/>
      <c r="BR92" s="515"/>
      <c r="BS92" s="515"/>
      <c r="BT92" s="515"/>
      <c r="BU92" s="515"/>
      <c r="BV92" s="515"/>
      <c r="BW92" s="515"/>
      <c r="BX92" s="515"/>
      <c r="BY92" s="515"/>
      <c r="BZ92" s="515"/>
      <c r="CA92" s="515"/>
      <c r="CB92" s="516"/>
      <c r="CC92" s="540">
        <f>CF96/CC68</f>
        <v>4083184.7790104393</v>
      </c>
      <c r="CD92" s="541"/>
      <c r="CE92" s="542"/>
      <c r="CF92" s="420" t="s">
        <v>982</v>
      </c>
      <c r="CG92" s="421"/>
      <c r="CH92" s="386"/>
      <c r="CI92" s="375" t="s">
        <v>604</v>
      </c>
      <c r="CJ92" s="376"/>
      <c r="CK92" s="379"/>
      <c r="CL92" s="399"/>
      <c r="CM92" s="399"/>
      <c r="CN92" s="399"/>
      <c r="CO92" s="399"/>
      <c r="DQ92" s="357"/>
      <c r="DR92" s="384" t="s">
        <v>61</v>
      </c>
      <c r="DS92" s="384"/>
      <c r="DT92" s="384"/>
      <c r="DU92" s="384"/>
      <c r="DV92" s="384"/>
      <c r="DW92" s="384"/>
      <c r="DX92" s="384"/>
      <c r="DY92" s="384"/>
      <c r="DZ92" s="384"/>
      <c r="EA92" s="384"/>
      <c r="EB92" s="384"/>
      <c r="EC92" s="384"/>
      <c r="ED92" s="447"/>
      <c r="EE92" s="348">
        <f>((EE68+EE72)/2)*EE76</f>
        <v>178.90722045061079</v>
      </c>
      <c r="EF92" s="349"/>
      <c r="EG92" s="412" t="s">
        <v>988</v>
      </c>
      <c r="EH92" s="413"/>
      <c r="EI92" s="386"/>
      <c r="EJ92" s="375" t="s">
        <v>604</v>
      </c>
      <c r="EK92" s="376"/>
      <c r="EL92" s="379"/>
      <c r="EW92" s="286"/>
      <c r="EX92" s="286"/>
      <c r="EY92" s="286"/>
      <c r="EZ92" s="286"/>
      <c r="FA92" s="286"/>
      <c r="FB92" s="286"/>
      <c r="FC92" s="286"/>
      <c r="FD92" s="286"/>
      <c r="FE92" s="286"/>
      <c r="FF92" s="286"/>
      <c r="FG92" s="286"/>
      <c r="FH92" s="286"/>
      <c r="FI92" s="286"/>
      <c r="FJ92" s="286"/>
      <c r="FK92" s="286"/>
      <c r="FL92" s="286"/>
      <c r="FM92" s="286"/>
      <c r="FN92" s="286"/>
      <c r="FO92" s="286"/>
      <c r="FT92" s="12"/>
      <c r="FU92" s="3"/>
      <c r="FV92" s="3"/>
      <c r="FW92" s="356"/>
      <c r="FX92" s="344" t="s">
        <v>81</v>
      </c>
      <c r="FY92" s="345"/>
      <c r="FZ92" s="345"/>
      <c r="GA92" s="345"/>
      <c r="GB92" s="345"/>
      <c r="GC92" s="345"/>
      <c r="GD92" s="345"/>
      <c r="GE92" s="345"/>
      <c r="GF92" s="345"/>
      <c r="GG92" s="345"/>
      <c r="GH92" s="345"/>
      <c r="GI92" s="345"/>
      <c r="GJ92" s="345"/>
      <c r="GK92" s="388">
        <f>(GK80-GK88)*(GK24/(2*3.14))</f>
        <v>14.633987657148801</v>
      </c>
      <c r="GL92" s="371"/>
      <c r="GM92" s="406" t="s">
        <v>53</v>
      </c>
      <c r="GN92" s="408"/>
      <c r="GO92" s="386"/>
      <c r="GP92" s="375" t="s">
        <v>604</v>
      </c>
      <c r="GQ92" s="376"/>
      <c r="GR92" s="379"/>
      <c r="IH92" s="357"/>
      <c r="II92" s="344" t="s">
        <v>97</v>
      </c>
      <c r="IJ92" s="345"/>
      <c r="IK92" s="345"/>
      <c r="IL92" s="345"/>
      <c r="IM92" s="345"/>
      <c r="IN92" s="345"/>
      <c r="IO92" s="345"/>
      <c r="IP92" s="345"/>
      <c r="IQ92" s="345"/>
      <c r="IR92" s="345"/>
      <c r="IS92" s="345"/>
      <c r="IT92" s="345"/>
      <c r="IU92" s="345"/>
      <c r="IV92" s="348">
        <f>(3.14*(GK36*1000-IV100))/AN16</f>
        <v>70.689159828279259</v>
      </c>
      <c r="IW92" s="349"/>
      <c r="IX92" s="352"/>
      <c r="IY92" s="353"/>
      <c r="IZ92" s="386"/>
      <c r="JA92" s="375" t="s">
        <v>604</v>
      </c>
      <c r="JB92" s="376"/>
      <c r="JC92" s="379"/>
      <c r="JG92" s="291"/>
      <c r="JH92" s="291"/>
      <c r="JI92" s="291"/>
      <c r="JJ92" s="291"/>
      <c r="JK92" s="291"/>
      <c r="JL92" s="291"/>
      <c r="JM92" s="291"/>
      <c r="JN92" s="291"/>
      <c r="JO92" s="291"/>
      <c r="JP92" s="291"/>
      <c r="JQ92" s="291"/>
      <c r="JR92" s="291"/>
      <c r="JS92" s="291"/>
      <c r="JT92" s="291"/>
      <c r="JU92" s="291"/>
      <c r="JV92" s="291"/>
      <c r="JW92" s="291"/>
      <c r="JX92" s="291"/>
      <c r="JY92" s="291"/>
      <c r="JZ92" s="8" t="s">
        <v>116</v>
      </c>
      <c r="KW92" s="17" t="s">
        <v>165</v>
      </c>
      <c r="KX92" s="6">
        <f>KX86/KX85</f>
        <v>1.0968401306340561</v>
      </c>
      <c r="KY92" s="6"/>
      <c r="LP92" s="357"/>
      <c r="LQ92" s="344" t="s">
        <v>193</v>
      </c>
      <c r="LR92" s="345"/>
      <c r="LS92" s="345"/>
      <c r="LT92" s="345"/>
      <c r="LU92" s="345"/>
      <c r="LV92" s="345"/>
      <c r="LW92" s="345"/>
      <c r="LX92" s="345"/>
      <c r="LY92" s="345"/>
      <c r="LZ92" s="345"/>
      <c r="MA92" s="345"/>
      <c r="MB92" s="345"/>
      <c r="MC92" s="345"/>
      <c r="MD92" s="348">
        <f>MD80</f>
        <v>0.33</v>
      </c>
      <c r="ME92" s="349"/>
      <c r="MF92" s="390"/>
      <c r="MG92" s="371"/>
      <c r="MH92" s="373"/>
      <c r="MI92" s="375" t="s">
        <v>604</v>
      </c>
      <c r="MJ92" s="376"/>
      <c r="MK92" s="379"/>
      <c r="MY92" s="8"/>
      <c r="MZ92" s="10" t="s">
        <v>218</v>
      </c>
      <c r="NA92" s="6">
        <f>(NF94*(AH7/50)^1.5)*(NF96*(IV20^2)*NA98+NF97*IV12*NA99)</f>
        <v>1449.0365455314368</v>
      </c>
      <c r="NB92" s="6"/>
      <c r="NE92" s="12"/>
      <c r="NF92" s="3"/>
      <c r="NG92" s="3"/>
      <c r="VL92" s="357"/>
      <c r="VM92" s="384"/>
      <c r="VN92" s="384"/>
      <c r="VO92" s="384"/>
      <c r="VP92" s="384"/>
      <c r="VQ92" s="384"/>
      <c r="VR92" s="384"/>
      <c r="VS92" s="384"/>
      <c r="VT92" s="384"/>
      <c r="VU92" s="384"/>
      <c r="VV92" s="384"/>
      <c r="VW92" s="384"/>
      <c r="VX92" s="384"/>
      <c r="VY92" s="384"/>
      <c r="VZ92" s="348"/>
      <c r="WA92" s="349"/>
      <c r="WB92" s="370"/>
      <c r="WC92" s="371"/>
      <c r="WD92" s="386"/>
      <c r="WE92" s="375" t="s">
        <v>604</v>
      </c>
      <c r="WF92" s="376"/>
      <c r="WG92" s="379"/>
      <c r="ZG92" s="357"/>
      <c r="ZH92" s="384"/>
      <c r="ZI92" s="384"/>
      <c r="ZJ92" s="384"/>
      <c r="ZK92" s="384"/>
      <c r="ZL92" s="384"/>
      <c r="ZM92" s="384"/>
      <c r="ZN92" s="384"/>
      <c r="ZO92" s="384"/>
      <c r="ZP92" s="384"/>
      <c r="ZQ92" s="384"/>
      <c r="ZR92" s="384"/>
      <c r="ZS92" s="384"/>
      <c r="ZT92" s="384"/>
      <c r="ZU92" s="348"/>
      <c r="ZV92" s="349"/>
      <c r="ZW92" s="370"/>
      <c r="ZX92" s="371"/>
      <c r="ZY92" s="386"/>
      <c r="ZZ92" s="375" t="s">
        <v>604</v>
      </c>
      <c r="AAA92" s="376"/>
      <c r="AAB92" s="379"/>
    </row>
    <row r="93" spans="7:704" ht="48" customHeight="1" thickBot="1" x14ac:dyDescent="0.35">
      <c r="BO93" s="358"/>
      <c r="BP93" s="517"/>
      <c r="BQ93" s="518"/>
      <c r="BR93" s="518"/>
      <c r="BS93" s="518"/>
      <c r="BT93" s="518"/>
      <c r="BU93" s="518"/>
      <c r="BV93" s="518"/>
      <c r="BW93" s="518"/>
      <c r="BX93" s="518"/>
      <c r="BY93" s="518"/>
      <c r="BZ93" s="518"/>
      <c r="CA93" s="518"/>
      <c r="CB93" s="440"/>
      <c r="CC93" s="543"/>
      <c r="CD93" s="544"/>
      <c r="CE93" s="545"/>
      <c r="CF93" s="422"/>
      <c r="CG93" s="423"/>
      <c r="CH93" s="387"/>
      <c r="CI93" s="377"/>
      <c r="CJ93" s="378"/>
      <c r="CK93" s="380"/>
      <c r="CL93" s="400"/>
      <c r="CM93" s="400"/>
      <c r="CN93" s="400"/>
      <c r="CO93" s="400"/>
      <c r="DQ93" s="358"/>
      <c r="DR93" s="385"/>
      <c r="DS93" s="385"/>
      <c r="DT93" s="385"/>
      <c r="DU93" s="385"/>
      <c r="DV93" s="385"/>
      <c r="DW93" s="385"/>
      <c r="DX93" s="385"/>
      <c r="DY93" s="385"/>
      <c r="DZ93" s="385"/>
      <c r="EA93" s="385"/>
      <c r="EB93" s="385"/>
      <c r="EC93" s="385"/>
      <c r="ED93" s="351"/>
      <c r="EE93" s="350"/>
      <c r="EF93" s="351"/>
      <c r="EG93" s="414"/>
      <c r="EH93" s="415"/>
      <c r="EI93" s="387"/>
      <c r="EJ93" s="377"/>
      <c r="EK93" s="378"/>
      <c r="EL93" s="380"/>
      <c r="EW93" s="286"/>
      <c r="EX93" s="286"/>
      <c r="EY93" s="286"/>
      <c r="EZ93" s="286"/>
      <c r="FA93" s="286"/>
      <c r="FB93" s="286"/>
      <c r="FC93" s="286"/>
      <c r="FD93" s="286"/>
      <c r="FE93" s="286"/>
      <c r="FF93" s="286"/>
      <c r="FG93" s="286"/>
      <c r="FH93" s="286"/>
      <c r="FI93" s="286"/>
      <c r="FJ93" s="286"/>
      <c r="FK93" s="286"/>
      <c r="FL93" s="286"/>
      <c r="FM93" s="286"/>
      <c r="FN93" s="286"/>
      <c r="FO93" s="286"/>
      <c r="FW93" s="358"/>
      <c r="FX93" s="346"/>
      <c r="FY93" s="347"/>
      <c r="FZ93" s="347"/>
      <c r="GA93" s="347"/>
      <c r="GB93" s="347"/>
      <c r="GC93" s="347"/>
      <c r="GD93" s="347"/>
      <c r="GE93" s="347"/>
      <c r="GF93" s="347"/>
      <c r="GG93" s="347"/>
      <c r="GH93" s="347"/>
      <c r="GI93" s="347"/>
      <c r="GJ93" s="347"/>
      <c r="GK93" s="389"/>
      <c r="GL93" s="372"/>
      <c r="GM93" s="409"/>
      <c r="GN93" s="411"/>
      <c r="GO93" s="387"/>
      <c r="GP93" s="377"/>
      <c r="GQ93" s="378"/>
      <c r="GR93" s="380"/>
      <c r="IH93" s="358"/>
      <c r="II93" s="346"/>
      <c r="IJ93" s="347"/>
      <c r="IK93" s="347"/>
      <c r="IL93" s="347"/>
      <c r="IM93" s="347"/>
      <c r="IN93" s="347"/>
      <c r="IO93" s="347"/>
      <c r="IP93" s="347"/>
      <c r="IQ93" s="347"/>
      <c r="IR93" s="347"/>
      <c r="IS93" s="347"/>
      <c r="IT93" s="347"/>
      <c r="IU93" s="347"/>
      <c r="IV93" s="350"/>
      <c r="IW93" s="351"/>
      <c r="IX93" s="354"/>
      <c r="IY93" s="355"/>
      <c r="IZ93" s="387"/>
      <c r="JA93" s="377"/>
      <c r="JB93" s="378"/>
      <c r="JC93" s="380"/>
      <c r="JG93" s="291"/>
      <c r="JH93" s="291"/>
      <c r="JI93" s="291"/>
      <c r="JJ93" s="291"/>
      <c r="JK93" s="291"/>
      <c r="JL93" s="291"/>
      <c r="JM93" s="291"/>
      <c r="JN93" s="291"/>
      <c r="JO93" s="291"/>
      <c r="JP93" s="291"/>
      <c r="JQ93" s="291"/>
      <c r="JR93" s="291"/>
      <c r="JS93" s="291"/>
      <c r="JT93" s="291"/>
      <c r="JU93" s="291"/>
      <c r="JV93" s="291"/>
      <c r="JW93" s="291"/>
      <c r="JX93" s="291"/>
      <c r="JY93" s="291"/>
      <c r="KW93" s="16"/>
      <c r="KX93" s="3"/>
      <c r="KY93" s="34"/>
      <c r="LP93" s="358"/>
      <c r="LQ93" s="346"/>
      <c r="LR93" s="347"/>
      <c r="LS93" s="347"/>
      <c r="LT93" s="347"/>
      <c r="LU93" s="347"/>
      <c r="LV93" s="347"/>
      <c r="LW93" s="347"/>
      <c r="LX93" s="347"/>
      <c r="LY93" s="347"/>
      <c r="LZ93" s="347"/>
      <c r="MA93" s="347"/>
      <c r="MB93" s="347"/>
      <c r="MC93" s="347"/>
      <c r="MD93" s="350"/>
      <c r="ME93" s="351"/>
      <c r="MF93" s="347"/>
      <c r="MG93" s="372"/>
      <c r="MH93" s="374"/>
      <c r="MI93" s="377"/>
      <c r="MJ93" s="378"/>
      <c r="MK93" s="380"/>
      <c r="MY93" s="8"/>
      <c r="MZ93" s="10"/>
      <c r="NA93" s="6"/>
      <c r="NB93" s="6"/>
      <c r="NE93" s="12"/>
      <c r="NF93" s="3"/>
      <c r="NG93" s="3"/>
      <c r="VL93" s="358"/>
      <c r="VM93" s="385"/>
      <c r="VN93" s="385"/>
      <c r="VO93" s="385"/>
      <c r="VP93" s="385"/>
      <c r="VQ93" s="385"/>
      <c r="VR93" s="385"/>
      <c r="VS93" s="385"/>
      <c r="VT93" s="385"/>
      <c r="VU93" s="385"/>
      <c r="VV93" s="385"/>
      <c r="VW93" s="385"/>
      <c r="VX93" s="385"/>
      <c r="VY93" s="385"/>
      <c r="VZ93" s="350"/>
      <c r="WA93" s="351"/>
      <c r="WB93" s="346"/>
      <c r="WC93" s="372"/>
      <c r="WD93" s="387"/>
      <c r="WE93" s="377"/>
      <c r="WF93" s="378"/>
      <c r="WG93" s="380"/>
      <c r="ZG93" s="358"/>
      <c r="ZH93" s="385"/>
      <c r="ZI93" s="385"/>
      <c r="ZJ93" s="385"/>
      <c r="ZK93" s="385"/>
      <c r="ZL93" s="385"/>
      <c r="ZM93" s="385"/>
      <c r="ZN93" s="385"/>
      <c r="ZO93" s="385"/>
      <c r="ZP93" s="385"/>
      <c r="ZQ93" s="385"/>
      <c r="ZR93" s="385"/>
      <c r="ZS93" s="385"/>
      <c r="ZT93" s="385"/>
      <c r="ZU93" s="350"/>
      <c r="ZV93" s="351"/>
      <c r="ZW93" s="346"/>
      <c r="ZX93" s="372"/>
      <c r="ZY93" s="387"/>
      <c r="ZZ93" s="377"/>
      <c r="AAA93" s="378"/>
      <c r="AAB93" s="380"/>
    </row>
    <row r="94" spans="7:704" ht="48" customHeight="1" x14ac:dyDescent="0.3">
      <c r="EW94" s="286"/>
      <c r="EX94" s="286"/>
      <c r="EY94" s="286"/>
      <c r="EZ94" s="286"/>
      <c r="FA94" s="286"/>
      <c r="FB94" s="286"/>
      <c r="FC94" s="286"/>
      <c r="FD94" s="286"/>
      <c r="FE94" s="286"/>
      <c r="FF94" s="286"/>
      <c r="FG94" s="286"/>
      <c r="FH94" s="286"/>
      <c r="FI94" s="286"/>
      <c r="FJ94" s="286"/>
      <c r="FK94" s="286"/>
      <c r="FL94" s="286"/>
      <c r="FM94" s="286"/>
      <c r="FN94" s="286"/>
      <c r="FO94" s="286"/>
      <c r="FT94" s="12"/>
      <c r="FU94" s="3"/>
      <c r="FV94" s="3"/>
      <c r="JG94" s="291"/>
      <c r="JH94" s="291"/>
      <c r="JI94" s="291"/>
      <c r="JJ94" s="291"/>
      <c r="JK94" s="291"/>
      <c r="JL94" s="291"/>
      <c r="JM94" s="291"/>
      <c r="JN94" s="291"/>
      <c r="JO94" s="291"/>
      <c r="JP94" s="291"/>
      <c r="JQ94" s="291"/>
      <c r="JR94" s="291"/>
      <c r="JS94" s="291"/>
      <c r="JT94" s="291"/>
      <c r="JU94" s="291"/>
      <c r="JV94" s="291"/>
      <c r="JW94" s="291"/>
      <c r="JX94" s="291"/>
      <c r="JY94" s="291"/>
      <c r="JZ94" s="291"/>
      <c r="KA94" s="291"/>
      <c r="KB94" s="291"/>
      <c r="KC94" s="291"/>
      <c r="MY94" s="8"/>
      <c r="MZ94" s="10"/>
      <c r="NA94" s="6"/>
      <c r="NB94" s="6"/>
      <c r="NE94" s="11" t="s">
        <v>312</v>
      </c>
      <c r="NF94" s="4">
        <v>2.5</v>
      </c>
      <c r="NG94" s="6"/>
    </row>
    <row r="95" spans="7:704" ht="48" customHeight="1" thickBot="1" x14ac:dyDescent="0.35">
      <c r="BO95" s="448" t="s">
        <v>958</v>
      </c>
      <c r="BP95" s="449"/>
      <c r="BQ95" s="450"/>
      <c r="BR95" s="356"/>
      <c r="BS95" s="297" t="s">
        <v>42</v>
      </c>
      <c r="BT95" s="298"/>
      <c r="BU95" s="295"/>
      <c r="BV95" s="175"/>
      <c r="BW95" s="175"/>
      <c r="BX95" s="175"/>
      <c r="BY95" s="175"/>
      <c r="BZ95" s="299"/>
      <c r="CA95" s="172" t="s">
        <v>908</v>
      </c>
      <c r="CB95" s="295"/>
      <c r="CC95" s="173" t="s">
        <v>629</v>
      </c>
      <c r="CD95" s="359" t="s">
        <v>623</v>
      </c>
      <c r="CE95" s="381"/>
      <c r="CF95" s="508" t="s">
        <v>189</v>
      </c>
      <c r="CG95" s="509"/>
      <c r="CH95" s="510"/>
      <c r="CI95" s="363" t="s">
        <v>910</v>
      </c>
      <c r="CJ95" s="364"/>
      <c r="CK95" s="365" t="s">
        <v>638</v>
      </c>
      <c r="CL95" s="366"/>
      <c r="CM95" s="366"/>
      <c r="CN95" s="367"/>
      <c r="DQ95" s="356"/>
      <c r="DR95" s="297" t="s">
        <v>604</v>
      </c>
      <c r="DS95" s="298"/>
      <c r="DT95" s="315"/>
      <c r="DU95" s="175"/>
      <c r="DV95" s="175"/>
      <c r="DW95" s="175"/>
      <c r="DX95" s="175"/>
      <c r="DY95" s="175"/>
      <c r="DZ95" s="175"/>
      <c r="EA95" s="315"/>
      <c r="EB95" s="173" t="s">
        <v>629</v>
      </c>
      <c r="EC95" s="359" t="s">
        <v>623</v>
      </c>
      <c r="ED95" s="381"/>
      <c r="EE95" s="382" t="s">
        <v>189</v>
      </c>
      <c r="EF95" s="383"/>
      <c r="EG95" s="363" t="s">
        <v>910</v>
      </c>
      <c r="EH95" s="364"/>
      <c r="EI95" s="365" t="s">
        <v>638</v>
      </c>
      <c r="EJ95" s="366"/>
      <c r="EK95" s="366"/>
      <c r="EL95" s="367"/>
      <c r="EW95" s="286"/>
      <c r="EX95" s="286"/>
      <c r="EY95" s="286"/>
      <c r="EZ95" s="286"/>
      <c r="FA95" s="286"/>
      <c r="FB95" s="286"/>
      <c r="FC95" s="286"/>
      <c r="FD95" s="286"/>
      <c r="FE95" s="286"/>
      <c r="FF95" s="286"/>
      <c r="FG95" s="286"/>
      <c r="FH95" s="286"/>
      <c r="FI95" s="286"/>
      <c r="FJ95" s="286"/>
      <c r="FK95" s="286"/>
      <c r="FL95" s="286"/>
      <c r="FM95" s="286"/>
      <c r="FN95" s="286"/>
      <c r="FO95" s="286"/>
      <c r="FW95" s="173" t="s">
        <v>1050</v>
      </c>
      <c r="FX95" s="297" t="s">
        <v>604</v>
      </c>
      <c r="FY95" s="298"/>
      <c r="FZ95" s="315"/>
      <c r="GA95" s="175"/>
      <c r="GB95" s="175"/>
      <c r="GC95" s="175"/>
      <c r="GD95" s="175"/>
      <c r="GE95" s="175"/>
      <c r="GF95" s="175"/>
      <c r="GG95" s="315"/>
      <c r="GH95" s="173" t="s">
        <v>629</v>
      </c>
      <c r="GI95" s="359" t="s">
        <v>623</v>
      </c>
      <c r="GJ95" s="360"/>
      <c r="GK95" s="361" t="s">
        <v>189</v>
      </c>
      <c r="GL95" s="362"/>
      <c r="GM95" s="363" t="s">
        <v>910</v>
      </c>
      <c r="GN95" s="364"/>
      <c r="GO95" s="365" t="s">
        <v>638</v>
      </c>
      <c r="GP95" s="366"/>
      <c r="GQ95" s="366"/>
      <c r="GR95" s="367"/>
      <c r="GS95" s="365" t="s">
        <v>624</v>
      </c>
      <c r="GT95" s="366"/>
      <c r="GU95" s="366"/>
      <c r="GV95" s="366"/>
      <c r="GW95" s="366"/>
      <c r="GX95" s="366"/>
      <c r="GY95" s="367"/>
      <c r="IH95" s="356"/>
      <c r="II95" s="297" t="s">
        <v>604</v>
      </c>
      <c r="IJ95" s="298"/>
      <c r="IK95" s="321"/>
      <c r="IL95" s="175"/>
      <c r="IM95" s="175"/>
      <c r="IN95" s="175"/>
      <c r="IO95" s="175"/>
      <c r="IP95" s="175"/>
      <c r="IQ95" s="175"/>
      <c r="IR95" s="321"/>
      <c r="IS95" s="173" t="s">
        <v>629</v>
      </c>
      <c r="IT95" s="359" t="s">
        <v>623</v>
      </c>
      <c r="IU95" s="381"/>
      <c r="IV95" s="382" t="s">
        <v>189</v>
      </c>
      <c r="IW95" s="383"/>
      <c r="IX95" s="363" t="s">
        <v>910</v>
      </c>
      <c r="IY95" s="364"/>
      <c r="IZ95" s="365" t="s">
        <v>638</v>
      </c>
      <c r="JA95" s="366"/>
      <c r="JB95" s="366"/>
      <c r="JC95" s="367"/>
      <c r="JG95" s="291"/>
      <c r="JH95" s="291"/>
      <c r="JI95" s="291"/>
      <c r="JJ95" s="291"/>
      <c r="JK95" s="291"/>
      <c r="JL95" s="291"/>
      <c r="JM95" s="291"/>
      <c r="JN95" s="291"/>
      <c r="JO95" s="291"/>
      <c r="JP95" s="291"/>
      <c r="JQ95" s="291"/>
      <c r="JR95" s="291"/>
      <c r="JS95" s="291"/>
      <c r="JT95" s="291"/>
      <c r="JU95" s="291"/>
      <c r="JV95" s="291"/>
      <c r="JW95" s="291"/>
      <c r="JX95" s="291"/>
      <c r="JY95" s="291"/>
      <c r="JZ95" s="291"/>
      <c r="KA95" s="291"/>
      <c r="KB95" s="291"/>
      <c r="KC95" s="291"/>
      <c r="LP95" s="356"/>
      <c r="LQ95" s="297" t="s">
        <v>604</v>
      </c>
      <c r="LR95" s="298"/>
      <c r="LS95" s="321"/>
      <c r="LT95" s="175"/>
      <c r="LU95" s="175"/>
      <c r="LV95" s="175"/>
      <c r="LW95" s="175"/>
      <c r="LX95" s="175"/>
      <c r="LY95" s="175"/>
      <c r="LZ95" s="321"/>
      <c r="MA95" s="173" t="s">
        <v>629</v>
      </c>
      <c r="MB95" s="359" t="s">
        <v>623</v>
      </c>
      <c r="MC95" s="360"/>
      <c r="MD95" s="361" t="s">
        <v>189</v>
      </c>
      <c r="ME95" s="362"/>
      <c r="MF95" s="363" t="s">
        <v>910</v>
      </c>
      <c r="MG95" s="364"/>
      <c r="MH95" s="365" t="s">
        <v>638</v>
      </c>
      <c r="MI95" s="366"/>
      <c r="MJ95" s="366"/>
      <c r="MK95" s="367"/>
      <c r="MY95" s="8"/>
      <c r="MZ95" s="10"/>
      <c r="NA95" s="6"/>
      <c r="NB95" s="6"/>
      <c r="NE95" s="11" t="s">
        <v>311</v>
      </c>
      <c r="NF95" s="4">
        <v>1.3</v>
      </c>
      <c r="NG95" s="6"/>
      <c r="VL95" s="356"/>
      <c r="VM95" s="297" t="s">
        <v>604</v>
      </c>
      <c r="VN95" s="298"/>
      <c r="VO95" s="321"/>
      <c r="VP95" s="175"/>
      <c r="VQ95" s="175"/>
      <c r="VR95" s="175"/>
      <c r="VS95" s="175"/>
      <c r="VT95" s="175"/>
      <c r="VU95" s="175"/>
      <c r="VV95" s="321"/>
      <c r="VW95" s="173" t="s">
        <v>629</v>
      </c>
      <c r="VX95" s="359" t="s">
        <v>623</v>
      </c>
      <c r="VY95" s="381"/>
      <c r="VZ95" s="382" t="s">
        <v>189</v>
      </c>
      <c r="WA95" s="383"/>
      <c r="WB95" s="363" t="s">
        <v>910</v>
      </c>
      <c r="WC95" s="364"/>
      <c r="WD95" s="365" t="s">
        <v>638</v>
      </c>
      <c r="WE95" s="366"/>
      <c r="WF95" s="366"/>
      <c r="WG95" s="367"/>
      <c r="ZG95" s="356"/>
      <c r="ZH95" s="297" t="s">
        <v>604</v>
      </c>
      <c r="ZI95" s="298"/>
      <c r="ZJ95" s="321"/>
      <c r="ZK95" s="175"/>
      <c r="ZL95" s="175"/>
      <c r="ZM95" s="175"/>
      <c r="ZN95" s="175"/>
      <c r="ZO95" s="175"/>
      <c r="ZP95" s="175"/>
      <c r="ZQ95" s="321"/>
      <c r="ZR95" s="173" t="s">
        <v>629</v>
      </c>
      <c r="ZS95" s="359" t="s">
        <v>623</v>
      </c>
      <c r="ZT95" s="381"/>
      <c r="ZU95" s="382" t="s">
        <v>189</v>
      </c>
      <c r="ZV95" s="383"/>
      <c r="ZW95" s="363" t="s">
        <v>910</v>
      </c>
      <c r="ZX95" s="364"/>
      <c r="ZY95" s="365" t="s">
        <v>638</v>
      </c>
      <c r="ZZ95" s="366"/>
      <c r="AAA95" s="366"/>
      <c r="AAB95" s="367"/>
    </row>
    <row r="96" spans="7:704" ht="48" customHeight="1" x14ac:dyDescent="0.3">
      <c r="BG96" s="291"/>
      <c r="BH96" s="291"/>
      <c r="BI96" s="291"/>
      <c r="BJ96" s="291"/>
      <c r="BK96" s="291"/>
      <c r="BO96" s="451"/>
      <c r="BP96" s="452"/>
      <c r="BQ96" s="453"/>
      <c r="BR96" s="357"/>
      <c r="BS96" s="514" t="s">
        <v>48</v>
      </c>
      <c r="BT96" s="515"/>
      <c r="BU96" s="515"/>
      <c r="BV96" s="515"/>
      <c r="BW96" s="515"/>
      <c r="BX96" s="515"/>
      <c r="BY96" s="515"/>
      <c r="BZ96" s="515"/>
      <c r="CA96" s="515"/>
      <c r="CB96" s="515"/>
      <c r="CC96" s="515"/>
      <c r="CD96" s="515"/>
      <c r="CE96" s="516"/>
      <c r="CF96" s="502">
        <f>136*10^9</f>
        <v>136000000000</v>
      </c>
      <c r="CG96" s="503"/>
      <c r="CH96" s="504"/>
      <c r="CI96" s="420" t="s">
        <v>989</v>
      </c>
      <c r="CJ96" s="421"/>
      <c r="CK96" s="386"/>
      <c r="CL96" s="530" t="s">
        <v>979</v>
      </c>
      <c r="CM96" s="531"/>
      <c r="CN96" s="379"/>
      <c r="DQ96" s="357"/>
      <c r="DR96" s="384" t="s">
        <v>60</v>
      </c>
      <c r="DS96" s="384"/>
      <c r="DT96" s="384"/>
      <c r="DU96" s="384"/>
      <c r="DV96" s="384"/>
      <c r="DW96" s="384"/>
      <c r="DX96" s="384"/>
      <c r="DY96" s="384"/>
      <c r="DZ96" s="384"/>
      <c r="EA96" s="384"/>
      <c r="EB96" s="384"/>
      <c r="EC96" s="384"/>
      <c r="ED96" s="447"/>
      <c r="EE96" s="348">
        <f>EE64*(2*EE52+EE68+EE72)</f>
        <v>15.809072512014172</v>
      </c>
      <c r="EF96" s="349"/>
      <c r="EG96" s="412" t="s">
        <v>988</v>
      </c>
      <c r="EH96" s="413"/>
      <c r="EI96" s="386"/>
      <c r="EJ96" s="375" t="s">
        <v>604</v>
      </c>
      <c r="EK96" s="376"/>
      <c r="EL96" s="379"/>
      <c r="EV96" s="12"/>
      <c r="EW96" s="286"/>
      <c r="EX96" s="286"/>
      <c r="EY96" s="286"/>
      <c r="EZ96" s="286"/>
      <c r="FA96" s="286"/>
      <c r="FB96" s="286"/>
      <c r="FC96" s="286"/>
      <c r="FD96" s="286"/>
      <c r="FE96" s="286"/>
      <c r="FF96" s="286"/>
      <c r="FG96" s="286"/>
      <c r="FH96" s="286"/>
      <c r="FI96" s="286"/>
      <c r="FJ96" s="286"/>
      <c r="FK96" s="286"/>
      <c r="FL96" s="286"/>
      <c r="FM96" s="286"/>
      <c r="FN96" s="286"/>
      <c r="FO96" s="286"/>
      <c r="FT96" s="12"/>
      <c r="FU96" s="3"/>
      <c r="FV96" s="3"/>
      <c r="FW96" s="356"/>
      <c r="FX96" s="344" t="s">
        <v>77</v>
      </c>
      <c r="FY96" s="345"/>
      <c r="FZ96" s="345"/>
      <c r="GA96" s="345"/>
      <c r="GB96" s="345"/>
      <c r="GC96" s="345"/>
      <c r="GD96" s="345"/>
      <c r="GE96" s="345"/>
      <c r="GF96" s="345"/>
      <c r="GG96" s="345"/>
      <c r="GH96" s="345"/>
      <c r="GI96" s="345"/>
      <c r="GJ96" s="345"/>
      <c r="GK96" s="388">
        <f>GK72+GK68+GK80/2+GK92+GK88/2</f>
        <v>21.68244256578296</v>
      </c>
      <c r="GL96" s="371"/>
      <c r="GM96" s="406" t="s">
        <v>53</v>
      </c>
      <c r="GN96" s="408"/>
      <c r="GO96" s="373"/>
      <c r="GP96" s="375" t="s">
        <v>604</v>
      </c>
      <c r="GQ96" s="376"/>
      <c r="GR96" s="379"/>
      <c r="GS96" s="396"/>
      <c r="GT96" s="397"/>
      <c r="GU96" s="397"/>
      <c r="GV96" s="397"/>
      <c r="GW96" s="397"/>
      <c r="GX96" s="397"/>
      <c r="GY96" s="398"/>
      <c r="IH96" s="357"/>
      <c r="II96" s="344" t="s">
        <v>102</v>
      </c>
      <c r="IJ96" s="345"/>
      <c r="IK96" s="345"/>
      <c r="IL96" s="345"/>
      <c r="IM96" s="345"/>
      <c r="IN96" s="345"/>
      <c r="IO96" s="345"/>
      <c r="IP96" s="345"/>
      <c r="IQ96" s="345"/>
      <c r="IR96" s="345"/>
      <c r="IS96" s="345"/>
      <c r="IT96" s="345"/>
      <c r="IU96" s="345"/>
      <c r="IV96" s="348">
        <f>2*IV100</f>
        <v>53.930114868434067</v>
      </c>
      <c r="IW96" s="349"/>
      <c r="IX96" s="352"/>
      <c r="IY96" s="353"/>
      <c r="IZ96" s="386"/>
      <c r="JA96" s="375" t="s">
        <v>604</v>
      </c>
      <c r="JB96" s="376"/>
      <c r="JC96" s="379"/>
      <c r="LP96" s="357"/>
      <c r="LQ96" s="344" t="s">
        <v>144</v>
      </c>
      <c r="LR96" s="345"/>
      <c r="LS96" s="345"/>
      <c r="LT96" s="345"/>
      <c r="LU96" s="345"/>
      <c r="LV96" s="345"/>
      <c r="LW96" s="345"/>
      <c r="LX96" s="345"/>
      <c r="LY96" s="345"/>
      <c r="LZ96" s="345"/>
      <c r="MA96" s="345"/>
      <c r="MB96" s="345"/>
      <c r="MC96" s="345"/>
      <c r="MD96" s="348">
        <v>0.5</v>
      </c>
      <c r="ME96" s="349"/>
      <c r="MF96" s="390"/>
      <c r="MG96" s="371"/>
      <c r="MH96" s="373"/>
      <c r="MI96" s="375" t="s">
        <v>604</v>
      </c>
      <c r="MJ96" s="376"/>
      <c r="MK96" s="379"/>
      <c r="MY96" s="8"/>
      <c r="MZ96" s="10"/>
      <c r="NA96" s="6"/>
      <c r="NB96" s="6"/>
      <c r="NE96" s="10" t="s">
        <v>307</v>
      </c>
      <c r="NF96" s="6">
        <v>1.6</v>
      </c>
      <c r="NG96" s="6"/>
      <c r="TT96" s="7"/>
      <c r="TU96" s="12"/>
      <c r="TV96" s="3"/>
      <c r="TW96" s="3"/>
      <c r="TZ96" s="12"/>
      <c r="UA96" s="3"/>
      <c r="UB96" s="3"/>
      <c r="VL96" s="357"/>
      <c r="VM96" s="384"/>
      <c r="VN96" s="384"/>
      <c r="VO96" s="384"/>
      <c r="VP96" s="384"/>
      <c r="VQ96" s="384"/>
      <c r="VR96" s="384"/>
      <c r="VS96" s="384"/>
      <c r="VT96" s="384"/>
      <c r="VU96" s="384"/>
      <c r="VV96" s="384"/>
      <c r="VW96" s="384"/>
      <c r="VX96" s="384"/>
      <c r="VY96" s="384"/>
      <c r="VZ96" s="348"/>
      <c r="WA96" s="349"/>
      <c r="WB96" s="370"/>
      <c r="WC96" s="371"/>
      <c r="WD96" s="386"/>
      <c r="WE96" s="375" t="s">
        <v>604</v>
      </c>
      <c r="WF96" s="376"/>
      <c r="WG96" s="379"/>
      <c r="ZG96" s="357"/>
      <c r="ZH96" s="384"/>
      <c r="ZI96" s="384"/>
      <c r="ZJ96" s="384"/>
      <c r="ZK96" s="384"/>
      <c r="ZL96" s="384"/>
      <c r="ZM96" s="384"/>
      <c r="ZN96" s="384"/>
      <c r="ZO96" s="384"/>
      <c r="ZP96" s="384"/>
      <c r="ZQ96" s="384"/>
      <c r="ZR96" s="384"/>
      <c r="ZS96" s="384"/>
      <c r="ZT96" s="384"/>
      <c r="ZU96" s="348"/>
      <c r="ZV96" s="349"/>
      <c r="ZW96" s="370"/>
      <c r="ZX96" s="371"/>
      <c r="ZY96" s="386"/>
      <c r="ZZ96" s="375" t="s">
        <v>604</v>
      </c>
      <c r="AAA96" s="376"/>
      <c r="AAB96" s="379"/>
    </row>
    <row r="97" spans="59:704" ht="48" customHeight="1" thickBot="1" x14ac:dyDescent="0.35">
      <c r="BG97" s="291"/>
      <c r="BH97" s="291"/>
      <c r="BI97" s="291"/>
      <c r="BJ97" s="291"/>
      <c r="BK97" s="291"/>
      <c r="BO97" s="454"/>
      <c r="BP97" s="455"/>
      <c r="BQ97" s="456"/>
      <c r="BR97" s="358"/>
      <c r="BS97" s="517"/>
      <c r="BT97" s="518"/>
      <c r="BU97" s="518"/>
      <c r="BV97" s="518"/>
      <c r="BW97" s="518"/>
      <c r="BX97" s="518"/>
      <c r="BY97" s="518"/>
      <c r="BZ97" s="518"/>
      <c r="CA97" s="518"/>
      <c r="CB97" s="518"/>
      <c r="CC97" s="518"/>
      <c r="CD97" s="518"/>
      <c r="CE97" s="440"/>
      <c r="CF97" s="505"/>
      <c r="CG97" s="506"/>
      <c r="CH97" s="507"/>
      <c r="CI97" s="422"/>
      <c r="CJ97" s="423"/>
      <c r="CK97" s="387"/>
      <c r="CL97" s="532"/>
      <c r="CM97" s="533"/>
      <c r="CN97" s="380"/>
      <c r="DQ97" s="358"/>
      <c r="DR97" s="385"/>
      <c r="DS97" s="385"/>
      <c r="DT97" s="385"/>
      <c r="DU97" s="385"/>
      <c r="DV97" s="385"/>
      <c r="DW97" s="385"/>
      <c r="DX97" s="385"/>
      <c r="DY97" s="385"/>
      <c r="DZ97" s="385"/>
      <c r="EA97" s="385"/>
      <c r="EB97" s="385"/>
      <c r="EC97" s="385"/>
      <c r="ED97" s="351"/>
      <c r="EE97" s="350"/>
      <c r="EF97" s="351"/>
      <c r="EG97" s="414"/>
      <c r="EH97" s="415"/>
      <c r="EI97" s="387"/>
      <c r="EJ97" s="377"/>
      <c r="EK97" s="378"/>
      <c r="EL97" s="380"/>
      <c r="EW97" s="286"/>
      <c r="EX97" s="286"/>
      <c r="EY97" s="286"/>
      <c r="EZ97" s="286"/>
      <c r="FA97" s="286"/>
      <c r="FB97" s="286"/>
      <c r="FC97" s="286"/>
      <c r="FD97" s="286"/>
      <c r="FE97" s="286"/>
      <c r="FF97" s="286"/>
      <c r="FG97" s="286"/>
      <c r="FH97" s="286"/>
      <c r="FI97" s="286"/>
      <c r="FJ97" s="286"/>
      <c r="FK97" s="286"/>
      <c r="FL97" s="286"/>
      <c r="FM97" s="286"/>
      <c r="FN97" s="286"/>
      <c r="FO97" s="286"/>
      <c r="FW97" s="358"/>
      <c r="FX97" s="346"/>
      <c r="FY97" s="347"/>
      <c r="FZ97" s="347"/>
      <c r="GA97" s="347"/>
      <c r="GB97" s="347"/>
      <c r="GC97" s="347"/>
      <c r="GD97" s="347"/>
      <c r="GE97" s="347"/>
      <c r="GF97" s="347"/>
      <c r="GG97" s="347"/>
      <c r="GH97" s="347"/>
      <c r="GI97" s="347"/>
      <c r="GJ97" s="347"/>
      <c r="GK97" s="389"/>
      <c r="GL97" s="372"/>
      <c r="GM97" s="409"/>
      <c r="GN97" s="411"/>
      <c r="GO97" s="374"/>
      <c r="GP97" s="377"/>
      <c r="GQ97" s="378"/>
      <c r="GR97" s="380"/>
      <c r="GS97" s="341"/>
      <c r="GT97" s="342"/>
      <c r="GU97" s="342"/>
      <c r="GV97" s="342"/>
      <c r="GW97" s="342"/>
      <c r="GX97" s="342"/>
      <c r="GY97" s="343"/>
      <c r="IH97" s="358"/>
      <c r="II97" s="346"/>
      <c r="IJ97" s="347"/>
      <c r="IK97" s="347"/>
      <c r="IL97" s="347"/>
      <c r="IM97" s="347"/>
      <c r="IN97" s="347"/>
      <c r="IO97" s="347"/>
      <c r="IP97" s="347"/>
      <c r="IQ97" s="347"/>
      <c r="IR97" s="347"/>
      <c r="IS97" s="347"/>
      <c r="IT97" s="347"/>
      <c r="IU97" s="347"/>
      <c r="IV97" s="350"/>
      <c r="IW97" s="351"/>
      <c r="IX97" s="354"/>
      <c r="IY97" s="355"/>
      <c r="IZ97" s="387"/>
      <c r="JA97" s="377"/>
      <c r="JB97" s="378"/>
      <c r="JC97" s="380"/>
      <c r="LP97" s="358"/>
      <c r="LQ97" s="346"/>
      <c r="LR97" s="347"/>
      <c r="LS97" s="347"/>
      <c r="LT97" s="347"/>
      <c r="LU97" s="347"/>
      <c r="LV97" s="347"/>
      <c r="LW97" s="347"/>
      <c r="LX97" s="347"/>
      <c r="LY97" s="347"/>
      <c r="LZ97" s="347"/>
      <c r="MA97" s="347"/>
      <c r="MB97" s="347"/>
      <c r="MC97" s="347"/>
      <c r="MD97" s="350"/>
      <c r="ME97" s="351"/>
      <c r="MF97" s="347"/>
      <c r="MG97" s="372"/>
      <c r="MH97" s="374"/>
      <c r="MI97" s="377"/>
      <c r="MJ97" s="378"/>
      <c r="MK97" s="380"/>
      <c r="MY97" s="8"/>
      <c r="MZ97" s="10"/>
      <c r="NA97" s="6"/>
      <c r="NB97" s="6"/>
      <c r="NE97" s="10" t="s">
        <v>308</v>
      </c>
      <c r="NF97" s="6">
        <v>1.8</v>
      </c>
      <c r="NG97" s="6"/>
      <c r="TT97" s="7"/>
      <c r="TU97" s="12"/>
      <c r="TV97" s="3"/>
      <c r="TW97" s="3"/>
      <c r="TZ97" s="12"/>
      <c r="UA97" s="3"/>
      <c r="UB97" s="3"/>
      <c r="VL97" s="358"/>
      <c r="VM97" s="385"/>
      <c r="VN97" s="385"/>
      <c r="VO97" s="385"/>
      <c r="VP97" s="385"/>
      <c r="VQ97" s="385"/>
      <c r="VR97" s="385"/>
      <c r="VS97" s="385"/>
      <c r="VT97" s="385"/>
      <c r="VU97" s="385"/>
      <c r="VV97" s="385"/>
      <c r="VW97" s="385"/>
      <c r="VX97" s="385"/>
      <c r="VY97" s="385"/>
      <c r="VZ97" s="350"/>
      <c r="WA97" s="351"/>
      <c r="WB97" s="346"/>
      <c r="WC97" s="372"/>
      <c r="WD97" s="387"/>
      <c r="WE97" s="377"/>
      <c r="WF97" s="378"/>
      <c r="WG97" s="380"/>
      <c r="ZG97" s="358"/>
      <c r="ZH97" s="385"/>
      <c r="ZI97" s="385"/>
      <c r="ZJ97" s="385"/>
      <c r="ZK97" s="385"/>
      <c r="ZL97" s="385"/>
      <c r="ZM97" s="385"/>
      <c r="ZN97" s="385"/>
      <c r="ZO97" s="385"/>
      <c r="ZP97" s="385"/>
      <c r="ZQ97" s="385"/>
      <c r="ZR97" s="385"/>
      <c r="ZS97" s="385"/>
      <c r="ZT97" s="385"/>
      <c r="ZU97" s="350"/>
      <c r="ZV97" s="351"/>
      <c r="ZW97" s="346"/>
      <c r="ZX97" s="372"/>
      <c r="ZY97" s="387"/>
      <c r="ZZ97" s="377"/>
      <c r="AAA97" s="378"/>
      <c r="AAB97" s="380"/>
    </row>
    <row r="98" spans="59:704" ht="48" customHeight="1" x14ac:dyDescent="0.3">
      <c r="BG98" s="291"/>
      <c r="BH98" s="291"/>
      <c r="BI98" s="291"/>
      <c r="BJ98" s="291"/>
      <c r="BK98" s="291"/>
      <c r="EW98" s="286"/>
      <c r="EX98" s="286"/>
      <c r="EY98" s="286"/>
      <c r="EZ98" s="286"/>
      <c r="FA98" s="286"/>
      <c r="FB98" s="286"/>
      <c r="FC98" s="286"/>
      <c r="FD98" s="286"/>
      <c r="FE98" s="286"/>
      <c r="FF98" s="286"/>
      <c r="FG98" s="286"/>
      <c r="FH98" s="286"/>
      <c r="FI98" s="286"/>
      <c r="FJ98" s="286"/>
      <c r="FK98" s="286"/>
      <c r="FL98" s="286"/>
      <c r="FM98" s="286"/>
      <c r="FN98" s="286"/>
      <c r="FO98" s="286"/>
      <c r="JX98" s="291"/>
      <c r="JY98" s="291"/>
      <c r="JZ98" s="291"/>
      <c r="KR98" s="291"/>
      <c r="KS98" s="291"/>
      <c r="KT98" s="291"/>
      <c r="KU98" s="291"/>
      <c r="MY98" s="8"/>
      <c r="MZ98" s="10" t="s">
        <v>313</v>
      </c>
      <c r="NA98" s="6">
        <f>3.14*((AN20*1000-IV24)/1000)*(IV24/1000)*AN77*NF99*NF98</f>
        <v>37.490107045098412</v>
      </c>
      <c r="NB98" s="6"/>
      <c r="NE98" s="10" t="s">
        <v>309</v>
      </c>
      <c r="NF98" s="6">
        <f>7.8*10^3</f>
        <v>7800</v>
      </c>
      <c r="NG98" s="6"/>
      <c r="TT98" s="8" t="s">
        <v>229</v>
      </c>
      <c r="TU98" s="10" t="s">
        <v>269</v>
      </c>
      <c r="TV98" s="6"/>
      <c r="TW98" s="6"/>
      <c r="TZ98" s="12"/>
      <c r="UA98" s="3"/>
      <c r="UB98" s="3"/>
    </row>
    <row r="99" spans="59:704" ht="48" customHeight="1" thickBot="1" x14ac:dyDescent="0.95">
      <c r="BG99" s="291"/>
      <c r="BH99" s="291"/>
      <c r="BI99" s="291"/>
      <c r="BJ99" s="291"/>
      <c r="BK99" s="291"/>
      <c r="BO99" s="356"/>
      <c r="BP99" s="546" t="s">
        <v>43</v>
      </c>
      <c r="BQ99" s="547"/>
      <c r="BR99" s="295"/>
      <c r="BS99" s="310" t="s">
        <v>987</v>
      </c>
      <c r="BT99" s="299"/>
      <c r="BU99" s="175"/>
      <c r="BV99" s="175"/>
      <c r="BW99" s="175"/>
      <c r="BX99" s="175"/>
      <c r="BY99" s="295"/>
      <c r="BZ99" s="173" t="s">
        <v>629</v>
      </c>
      <c r="CA99" s="359" t="s">
        <v>623</v>
      </c>
      <c r="CB99" s="381"/>
      <c r="CC99" s="382" t="s">
        <v>189</v>
      </c>
      <c r="CD99" s="383"/>
      <c r="CE99" s="363" t="s">
        <v>910</v>
      </c>
      <c r="CF99" s="364"/>
      <c r="CG99" s="365" t="s">
        <v>1007</v>
      </c>
      <c r="CH99" s="366"/>
      <c r="CI99" s="366"/>
      <c r="CJ99" s="366"/>
      <c r="CK99" s="366"/>
      <c r="CL99" s="366"/>
      <c r="CM99" s="367"/>
      <c r="CN99" s="337" t="s">
        <v>1008</v>
      </c>
      <c r="CO99" s="337"/>
      <c r="CP99" s="337"/>
      <c r="CQ99" s="337"/>
      <c r="CR99" s="337"/>
      <c r="CS99" s="365" t="s">
        <v>624</v>
      </c>
      <c r="CT99" s="366"/>
      <c r="CU99" s="366"/>
      <c r="CV99" s="367"/>
      <c r="DQ99" s="356"/>
      <c r="DR99" s="297" t="s">
        <v>604</v>
      </c>
      <c r="DS99" s="298"/>
      <c r="DT99" s="315"/>
      <c r="DU99" s="175"/>
      <c r="DV99" s="175"/>
      <c r="DW99" s="175"/>
      <c r="DX99" s="175"/>
      <c r="DY99" s="175"/>
      <c r="DZ99" s="175"/>
      <c r="EA99" s="315"/>
      <c r="EB99" s="173" t="s">
        <v>629</v>
      </c>
      <c r="EC99" s="359" t="s">
        <v>623</v>
      </c>
      <c r="ED99" s="381"/>
      <c r="EE99" s="382" t="s">
        <v>189</v>
      </c>
      <c r="EF99" s="383"/>
      <c r="EG99" s="363" t="s">
        <v>910</v>
      </c>
      <c r="EH99" s="364"/>
      <c r="EI99" s="365" t="s">
        <v>638</v>
      </c>
      <c r="EJ99" s="366"/>
      <c r="EK99" s="366"/>
      <c r="EL99" s="367"/>
      <c r="EW99" s="286"/>
      <c r="EX99" s="286"/>
      <c r="EY99" s="286"/>
      <c r="EZ99" s="286"/>
      <c r="FA99" s="286"/>
      <c r="FB99" s="286"/>
      <c r="FC99" s="286"/>
      <c r="FD99" s="286"/>
      <c r="FE99" s="286"/>
      <c r="FF99" s="286"/>
      <c r="FG99" s="286"/>
      <c r="FH99" s="286"/>
      <c r="FI99" s="286"/>
      <c r="FJ99" s="286"/>
      <c r="FK99" s="286"/>
      <c r="FL99" s="286"/>
      <c r="FM99" s="286"/>
      <c r="FN99" s="286"/>
      <c r="FO99" s="286"/>
      <c r="FW99" s="356"/>
      <c r="FX99" s="297" t="s">
        <v>604</v>
      </c>
      <c r="FY99" s="298"/>
      <c r="FZ99" s="315"/>
      <c r="GA99" s="175"/>
      <c r="GB99" s="175"/>
      <c r="GC99" s="175"/>
      <c r="GD99" s="175"/>
      <c r="GE99" s="175"/>
      <c r="GF99" s="175"/>
      <c r="GG99" s="315"/>
      <c r="GH99" s="173" t="s">
        <v>629</v>
      </c>
      <c r="GI99" s="359" t="s">
        <v>623</v>
      </c>
      <c r="GJ99" s="360"/>
      <c r="GK99" s="361" t="s">
        <v>189</v>
      </c>
      <c r="GL99" s="362"/>
      <c r="GM99" s="363" t="s">
        <v>910</v>
      </c>
      <c r="GN99" s="364"/>
      <c r="GO99" s="365" t="s">
        <v>638</v>
      </c>
      <c r="GP99" s="366"/>
      <c r="GQ99" s="366"/>
      <c r="GR99" s="367"/>
      <c r="GS99" s="365" t="s">
        <v>624</v>
      </c>
      <c r="GT99" s="366"/>
      <c r="GU99" s="366"/>
      <c r="GV99" s="366"/>
      <c r="GW99" s="366"/>
      <c r="GX99" s="366"/>
      <c r="GY99" s="367"/>
      <c r="IH99" s="356"/>
      <c r="II99" s="297" t="s">
        <v>604</v>
      </c>
      <c r="IJ99" s="298"/>
      <c r="IK99" s="321"/>
      <c r="IL99" s="175"/>
      <c r="IM99" s="175"/>
      <c r="IN99" s="175"/>
      <c r="IO99" s="175"/>
      <c r="IP99" s="175"/>
      <c r="IQ99" s="175"/>
      <c r="IR99" s="321"/>
      <c r="IS99" s="173" t="s">
        <v>629</v>
      </c>
      <c r="IT99" s="359" t="s">
        <v>623</v>
      </c>
      <c r="IU99" s="360"/>
      <c r="IV99" s="361" t="s">
        <v>189</v>
      </c>
      <c r="IW99" s="362"/>
      <c r="IX99" s="363" t="s">
        <v>910</v>
      </c>
      <c r="IY99" s="364"/>
      <c r="IZ99" s="365" t="s">
        <v>638</v>
      </c>
      <c r="JA99" s="366"/>
      <c r="JB99" s="366"/>
      <c r="JC99" s="367"/>
      <c r="JX99" s="291"/>
      <c r="JY99" s="291"/>
      <c r="JZ99" s="291"/>
      <c r="KR99" s="291"/>
      <c r="KS99" s="291"/>
      <c r="KT99" s="291"/>
      <c r="KU99" s="291"/>
      <c r="LP99" s="356"/>
      <c r="LQ99" s="297" t="s">
        <v>604</v>
      </c>
      <c r="LR99" s="298"/>
      <c r="LS99" s="321"/>
      <c r="LT99" s="175"/>
      <c r="LU99" s="175"/>
      <c r="LV99" s="175"/>
      <c r="LW99" s="175"/>
      <c r="LX99" s="175"/>
      <c r="LY99" s="175"/>
      <c r="LZ99" s="321"/>
      <c r="MA99" s="173" t="s">
        <v>629</v>
      </c>
      <c r="MB99" s="359" t="s">
        <v>623</v>
      </c>
      <c r="MC99" s="360"/>
      <c r="MD99" s="361" t="s">
        <v>189</v>
      </c>
      <c r="ME99" s="362"/>
      <c r="MF99" s="363" t="s">
        <v>910</v>
      </c>
      <c r="MG99" s="364"/>
      <c r="MH99" s="365" t="s">
        <v>638</v>
      </c>
      <c r="MI99" s="366"/>
      <c r="MJ99" s="366"/>
      <c r="MK99" s="367"/>
      <c r="MY99" s="8"/>
      <c r="MZ99" s="10" t="s">
        <v>314</v>
      </c>
      <c r="NA99" s="6">
        <f>(EE52/1000)*(NA100/1000)*CC28*AN77*NF99*NF98</f>
        <v>4.3724335380184938</v>
      </c>
      <c r="NB99" s="6"/>
      <c r="NE99" s="10" t="s">
        <v>310</v>
      </c>
      <c r="NF99" s="6">
        <v>0.97</v>
      </c>
      <c r="NG99" s="6"/>
      <c r="TT99" s="8"/>
      <c r="TU99" s="10" t="s">
        <v>270</v>
      </c>
      <c r="TV99" s="6" t="e">
        <f>MD56/((MD64/RB75)+MD168)</f>
        <v>#REF!</v>
      </c>
      <c r="TW99" s="6"/>
      <c r="TZ99" s="12"/>
      <c r="UA99" s="3"/>
      <c r="UB99" s="3"/>
      <c r="VL99" s="356"/>
      <c r="VM99" s="297" t="s">
        <v>604</v>
      </c>
      <c r="VN99" s="298"/>
      <c r="VO99" s="321"/>
      <c r="VP99" s="175"/>
      <c r="VQ99" s="175"/>
      <c r="VR99" s="175"/>
      <c r="VS99" s="175"/>
      <c r="VT99" s="175"/>
      <c r="VU99" s="175"/>
      <c r="VV99" s="321"/>
      <c r="VW99" s="173" t="s">
        <v>629</v>
      </c>
      <c r="VX99" s="359" t="s">
        <v>623</v>
      </c>
      <c r="VY99" s="360"/>
      <c r="VZ99" s="361" t="s">
        <v>189</v>
      </c>
      <c r="WA99" s="362"/>
      <c r="WB99" s="363" t="s">
        <v>910</v>
      </c>
      <c r="WC99" s="364"/>
      <c r="WD99" s="365" t="s">
        <v>638</v>
      </c>
      <c r="WE99" s="366"/>
      <c r="WF99" s="366"/>
      <c r="WG99" s="367"/>
      <c r="ZG99" s="356"/>
      <c r="ZH99" s="297" t="s">
        <v>604</v>
      </c>
      <c r="ZI99" s="298"/>
      <c r="ZJ99" s="321"/>
      <c r="ZK99" s="175"/>
      <c r="ZL99" s="175"/>
      <c r="ZM99" s="175"/>
      <c r="ZN99" s="175"/>
      <c r="ZO99" s="175"/>
      <c r="ZP99" s="175"/>
      <c r="ZQ99" s="321"/>
      <c r="ZR99" s="173" t="s">
        <v>629</v>
      </c>
      <c r="ZS99" s="359" t="s">
        <v>623</v>
      </c>
      <c r="ZT99" s="360"/>
      <c r="ZU99" s="361" t="s">
        <v>189</v>
      </c>
      <c r="ZV99" s="362"/>
      <c r="ZW99" s="363" t="s">
        <v>910</v>
      </c>
      <c r="ZX99" s="364"/>
      <c r="ZY99" s="365" t="s">
        <v>638</v>
      </c>
      <c r="ZZ99" s="366"/>
      <c r="AAA99" s="366"/>
      <c r="AAB99" s="367"/>
    </row>
    <row r="100" spans="59:704" ht="48" customHeight="1" x14ac:dyDescent="0.3">
      <c r="BG100" s="291"/>
      <c r="BH100" s="291"/>
      <c r="BI100" s="291"/>
      <c r="BJ100" s="291"/>
      <c r="BK100" s="291"/>
      <c r="BO100" s="357"/>
      <c r="BP100" s="514" t="s">
        <v>984</v>
      </c>
      <c r="BQ100" s="515"/>
      <c r="BR100" s="515"/>
      <c r="BS100" s="515"/>
      <c r="BT100" s="515"/>
      <c r="BU100" s="515"/>
      <c r="BV100" s="515"/>
      <c r="BW100" s="515"/>
      <c r="BX100" s="515"/>
      <c r="BY100" s="515"/>
      <c r="BZ100" s="515"/>
      <c r="CA100" s="515"/>
      <c r="CB100" s="516"/>
      <c r="CC100" s="388">
        <f>(CC48/(CF52*CC92))*10^6</f>
        <v>6.9353882647936471</v>
      </c>
      <c r="CD100" s="371"/>
      <c r="CE100" s="412" t="s">
        <v>990</v>
      </c>
      <c r="CF100" s="413"/>
      <c r="CG100" s="469"/>
      <c r="CH100" s="473" t="s">
        <v>1000</v>
      </c>
      <c r="CI100" s="474"/>
      <c r="CJ100" s="474"/>
      <c r="CK100" s="474"/>
      <c r="CL100" s="511"/>
      <c r="CM100" s="470"/>
      <c r="CN100" s="470"/>
      <c r="CO100" s="496" t="s">
        <v>985</v>
      </c>
      <c r="CP100" s="497"/>
      <c r="CQ100" s="498"/>
      <c r="CR100" s="470"/>
      <c r="CS100" s="396"/>
      <c r="CT100" s="397"/>
      <c r="CU100" s="397"/>
      <c r="CV100" s="398"/>
      <c r="DQ100" s="357"/>
      <c r="DR100" s="384" t="s">
        <v>59</v>
      </c>
      <c r="DS100" s="384"/>
      <c r="DT100" s="384"/>
      <c r="DU100" s="384"/>
      <c r="DV100" s="384"/>
      <c r="DW100" s="384"/>
      <c r="DX100" s="384"/>
      <c r="DY100" s="384"/>
      <c r="DZ100" s="384"/>
      <c r="EA100" s="384"/>
      <c r="EB100" s="384"/>
      <c r="EC100" s="384"/>
      <c r="ED100" s="447"/>
      <c r="EE100" s="348">
        <f>0.4*EE68+0.9*EE84</f>
        <v>11.081961908843233</v>
      </c>
      <c r="EF100" s="349"/>
      <c r="EG100" s="412" t="s">
        <v>990</v>
      </c>
      <c r="EH100" s="413"/>
      <c r="EI100" s="386"/>
      <c r="EJ100" s="375" t="s">
        <v>604</v>
      </c>
      <c r="EK100" s="376"/>
      <c r="EL100" s="379"/>
      <c r="EW100" s="286"/>
      <c r="EX100" s="286"/>
      <c r="EY100" s="286"/>
      <c r="EZ100" s="286"/>
      <c r="FA100" s="286"/>
      <c r="FB100" s="286"/>
      <c r="FC100" s="286"/>
      <c r="FD100" s="286"/>
      <c r="FE100" s="286"/>
      <c r="FF100" s="286"/>
      <c r="FG100" s="286"/>
      <c r="FH100" s="286"/>
      <c r="FI100" s="286"/>
      <c r="FJ100" s="286"/>
      <c r="FK100" s="286"/>
      <c r="FL100" s="286"/>
      <c r="FM100" s="286"/>
      <c r="FN100" s="286"/>
      <c r="FO100" s="286"/>
      <c r="FT100" s="13"/>
      <c r="FU100" s="5"/>
      <c r="FV100" s="5"/>
      <c r="FW100" s="357"/>
      <c r="FX100" s="344" t="s">
        <v>78</v>
      </c>
      <c r="FY100" s="345"/>
      <c r="FZ100" s="345"/>
      <c r="GA100" s="345"/>
      <c r="GB100" s="345"/>
      <c r="GC100" s="345"/>
      <c r="GD100" s="345"/>
      <c r="GE100" s="345"/>
      <c r="GF100" s="345"/>
      <c r="GG100" s="345"/>
      <c r="GH100" s="345"/>
      <c r="GI100" s="345"/>
      <c r="GJ100" s="345"/>
      <c r="GK100" s="388">
        <f>(3.14/8)*(GK80^2+GK88^2)+0.5*(GK80+GK88)*GK92</f>
        <v>125.68882661992637</v>
      </c>
      <c r="GL100" s="371"/>
      <c r="GM100" s="406"/>
      <c r="GN100" s="408"/>
      <c r="GO100" s="373"/>
      <c r="GP100" s="416" t="s">
        <v>1060</v>
      </c>
      <c r="GQ100" s="417"/>
      <c r="GR100" s="379"/>
      <c r="GS100" s="396"/>
      <c r="GT100" s="397"/>
      <c r="GU100" s="397"/>
      <c r="GV100" s="397"/>
      <c r="GW100" s="397"/>
      <c r="GX100" s="397"/>
      <c r="GY100" s="398"/>
      <c r="IH100" s="357"/>
      <c r="II100" s="344" t="s">
        <v>107</v>
      </c>
      <c r="IJ100" s="345"/>
      <c r="IK100" s="345"/>
      <c r="IL100" s="345"/>
      <c r="IM100" s="345"/>
      <c r="IN100" s="345"/>
      <c r="IO100" s="345"/>
      <c r="IP100" s="345"/>
      <c r="IQ100" s="345"/>
      <c r="IR100" s="345"/>
      <c r="IS100" s="345"/>
      <c r="IT100" s="345"/>
      <c r="IU100" s="345"/>
      <c r="IV100" s="348">
        <f>(((GK28-GK36)/2)*1000)-GK96</f>
        <v>26.965057434217034</v>
      </c>
      <c r="IW100" s="349"/>
      <c r="IX100" s="352"/>
      <c r="IY100" s="353"/>
      <c r="IZ100" s="373"/>
      <c r="JA100" s="375" t="s">
        <v>604</v>
      </c>
      <c r="JB100" s="376"/>
      <c r="JC100" s="379"/>
      <c r="JX100" s="291"/>
      <c r="JY100" s="291"/>
      <c r="JZ100" s="291"/>
      <c r="KR100" s="291"/>
      <c r="KS100" s="291"/>
      <c r="KT100" s="291"/>
      <c r="KU100" s="291"/>
      <c r="LP100" s="357"/>
      <c r="LQ100" s="344" t="s">
        <v>163</v>
      </c>
      <c r="LR100" s="345"/>
      <c r="LS100" s="345"/>
      <c r="LT100" s="345"/>
      <c r="LU100" s="345"/>
      <c r="LV100" s="345"/>
      <c r="LW100" s="345"/>
      <c r="LX100" s="345"/>
      <c r="LY100" s="345"/>
      <c r="LZ100" s="345"/>
      <c r="MA100" s="345"/>
      <c r="MB100" s="345"/>
      <c r="MC100" s="345"/>
      <c r="MD100" s="348">
        <f>MD88</f>
        <v>0.625</v>
      </c>
      <c r="ME100" s="349"/>
      <c r="MF100" s="390"/>
      <c r="MG100" s="371"/>
      <c r="MH100" s="373"/>
      <c r="MI100" s="375" t="s">
        <v>604</v>
      </c>
      <c r="MJ100" s="376"/>
      <c r="MK100" s="379"/>
      <c r="MY100" s="8"/>
      <c r="MZ100" s="10" t="s">
        <v>315</v>
      </c>
      <c r="NA100" s="6">
        <f>EE28</f>
        <v>5.0514809833863019</v>
      </c>
      <c r="NB100" s="6"/>
      <c r="NE100" s="12"/>
      <c r="NF100" s="3"/>
      <c r="NG100" s="3"/>
      <c r="TT100" s="8"/>
      <c r="TU100" s="11" t="s">
        <v>582</v>
      </c>
      <c r="TV100" s="4">
        <v>1</v>
      </c>
      <c r="TW100" s="6"/>
      <c r="TZ100" s="12"/>
      <c r="UA100" s="3"/>
      <c r="UB100" s="3"/>
      <c r="VL100" s="357"/>
      <c r="VM100" s="344"/>
      <c r="VN100" s="345"/>
      <c r="VO100" s="345"/>
      <c r="VP100" s="345"/>
      <c r="VQ100" s="345"/>
      <c r="VR100" s="345"/>
      <c r="VS100" s="345"/>
      <c r="VT100" s="345"/>
      <c r="VU100" s="345"/>
      <c r="VV100" s="345"/>
      <c r="VW100" s="345"/>
      <c r="VX100" s="345"/>
      <c r="VY100" s="368"/>
      <c r="VZ100" s="348"/>
      <c r="WA100" s="349"/>
      <c r="WB100" s="370"/>
      <c r="WC100" s="371"/>
      <c r="WD100" s="373"/>
      <c r="WE100" s="375" t="s">
        <v>604</v>
      </c>
      <c r="WF100" s="376"/>
      <c r="WG100" s="379"/>
      <c r="ZG100" s="357"/>
      <c r="ZH100" s="344"/>
      <c r="ZI100" s="345"/>
      <c r="ZJ100" s="345"/>
      <c r="ZK100" s="345"/>
      <c r="ZL100" s="345"/>
      <c r="ZM100" s="345"/>
      <c r="ZN100" s="345"/>
      <c r="ZO100" s="345"/>
      <c r="ZP100" s="345"/>
      <c r="ZQ100" s="345"/>
      <c r="ZR100" s="345"/>
      <c r="ZS100" s="345"/>
      <c r="ZT100" s="368"/>
      <c r="ZU100" s="348"/>
      <c r="ZV100" s="349"/>
      <c r="ZW100" s="370"/>
      <c r="ZX100" s="371"/>
      <c r="ZY100" s="373"/>
      <c r="ZZ100" s="375" t="s">
        <v>604</v>
      </c>
      <c r="AAA100" s="376"/>
      <c r="AAB100" s="379"/>
    </row>
    <row r="101" spans="59:704" ht="48" customHeight="1" thickBot="1" x14ac:dyDescent="0.35">
      <c r="BG101" s="291"/>
      <c r="BH101" s="291"/>
      <c r="BI101" s="291"/>
      <c r="BJ101" s="291"/>
      <c r="BK101" s="291"/>
      <c r="BO101" s="358"/>
      <c r="BP101" s="517"/>
      <c r="BQ101" s="518"/>
      <c r="BR101" s="518"/>
      <c r="BS101" s="518"/>
      <c r="BT101" s="518"/>
      <c r="BU101" s="518"/>
      <c r="BV101" s="518"/>
      <c r="BW101" s="518"/>
      <c r="BX101" s="518"/>
      <c r="BY101" s="518"/>
      <c r="BZ101" s="518"/>
      <c r="CA101" s="518"/>
      <c r="CB101" s="440"/>
      <c r="CC101" s="389"/>
      <c r="CD101" s="372"/>
      <c r="CE101" s="414"/>
      <c r="CF101" s="415"/>
      <c r="CG101" s="387"/>
      <c r="CH101" s="418"/>
      <c r="CI101" s="475"/>
      <c r="CJ101" s="475"/>
      <c r="CK101" s="475"/>
      <c r="CL101" s="419"/>
      <c r="CM101" s="380"/>
      <c r="CN101" s="380"/>
      <c r="CO101" s="499"/>
      <c r="CP101" s="500"/>
      <c r="CQ101" s="501"/>
      <c r="CR101" s="380"/>
      <c r="CS101" s="341"/>
      <c r="CT101" s="342"/>
      <c r="CU101" s="342"/>
      <c r="CV101" s="343"/>
      <c r="DQ101" s="358"/>
      <c r="DR101" s="385"/>
      <c r="DS101" s="385"/>
      <c r="DT101" s="385"/>
      <c r="DU101" s="385"/>
      <c r="DV101" s="385"/>
      <c r="DW101" s="385"/>
      <c r="DX101" s="385"/>
      <c r="DY101" s="385"/>
      <c r="DZ101" s="385"/>
      <c r="EA101" s="385"/>
      <c r="EB101" s="385"/>
      <c r="EC101" s="385"/>
      <c r="ED101" s="351"/>
      <c r="EE101" s="350"/>
      <c r="EF101" s="351"/>
      <c r="EG101" s="414"/>
      <c r="EH101" s="415"/>
      <c r="EI101" s="387"/>
      <c r="EJ101" s="377"/>
      <c r="EK101" s="378"/>
      <c r="EL101" s="380"/>
      <c r="EW101" s="286"/>
      <c r="EX101" s="286"/>
      <c r="EY101" s="286"/>
      <c r="EZ101" s="286"/>
      <c r="FA101" s="286"/>
      <c r="FB101" s="286"/>
      <c r="FC101" s="286"/>
      <c r="FD101" s="286"/>
      <c r="FE101" s="286"/>
      <c r="FF101" s="286"/>
      <c r="FG101" s="286"/>
      <c r="FH101" s="286"/>
      <c r="FI101" s="286"/>
      <c r="FJ101" s="286"/>
      <c r="FK101" s="286"/>
      <c r="FL101" s="286"/>
      <c r="FM101" s="286"/>
      <c r="FN101" s="286"/>
      <c r="FO101" s="286"/>
      <c r="FW101" s="358"/>
      <c r="FX101" s="346"/>
      <c r="FY101" s="347"/>
      <c r="FZ101" s="347"/>
      <c r="GA101" s="347"/>
      <c r="GB101" s="347"/>
      <c r="GC101" s="347"/>
      <c r="GD101" s="347"/>
      <c r="GE101" s="347"/>
      <c r="GF101" s="347"/>
      <c r="GG101" s="347"/>
      <c r="GH101" s="347"/>
      <c r="GI101" s="347"/>
      <c r="GJ101" s="347"/>
      <c r="GK101" s="389"/>
      <c r="GL101" s="372"/>
      <c r="GM101" s="409"/>
      <c r="GN101" s="411"/>
      <c r="GO101" s="374"/>
      <c r="GP101" s="418"/>
      <c r="GQ101" s="419"/>
      <c r="GR101" s="380"/>
      <c r="GS101" s="341"/>
      <c r="GT101" s="342"/>
      <c r="GU101" s="342"/>
      <c r="GV101" s="342"/>
      <c r="GW101" s="342"/>
      <c r="GX101" s="342"/>
      <c r="GY101" s="343"/>
      <c r="IH101" s="358"/>
      <c r="II101" s="346"/>
      <c r="IJ101" s="347"/>
      <c r="IK101" s="347"/>
      <c r="IL101" s="347"/>
      <c r="IM101" s="347"/>
      <c r="IN101" s="347"/>
      <c r="IO101" s="347"/>
      <c r="IP101" s="347"/>
      <c r="IQ101" s="347"/>
      <c r="IR101" s="347"/>
      <c r="IS101" s="347"/>
      <c r="IT101" s="347"/>
      <c r="IU101" s="347"/>
      <c r="IV101" s="350"/>
      <c r="IW101" s="351"/>
      <c r="IX101" s="354"/>
      <c r="IY101" s="355"/>
      <c r="IZ101" s="374"/>
      <c r="JA101" s="377"/>
      <c r="JB101" s="378"/>
      <c r="JC101" s="380"/>
      <c r="JX101" s="291"/>
      <c r="JY101" s="291"/>
      <c r="JZ101" s="291"/>
      <c r="KR101" s="291"/>
      <c r="KS101" s="291"/>
      <c r="KT101" s="291"/>
      <c r="KU101" s="291"/>
      <c r="LP101" s="358"/>
      <c r="LQ101" s="346"/>
      <c r="LR101" s="347"/>
      <c r="LS101" s="347"/>
      <c r="LT101" s="347"/>
      <c r="LU101" s="347"/>
      <c r="LV101" s="347"/>
      <c r="LW101" s="347"/>
      <c r="LX101" s="347"/>
      <c r="LY101" s="347"/>
      <c r="LZ101" s="347"/>
      <c r="MA101" s="347"/>
      <c r="MB101" s="347"/>
      <c r="MC101" s="347"/>
      <c r="MD101" s="350"/>
      <c r="ME101" s="351"/>
      <c r="MF101" s="347"/>
      <c r="MG101" s="372"/>
      <c r="MH101" s="374"/>
      <c r="MI101" s="377"/>
      <c r="MJ101" s="378"/>
      <c r="MK101" s="380"/>
      <c r="MY101" s="8"/>
      <c r="MZ101" s="10"/>
      <c r="NA101" s="6"/>
      <c r="NB101" s="6"/>
      <c r="NE101" s="12"/>
      <c r="NF101" s="3"/>
      <c r="NG101" s="3"/>
      <c r="TT101" s="8" t="s">
        <v>230</v>
      </c>
      <c r="TU101" s="10" t="s">
        <v>271</v>
      </c>
      <c r="TV101" s="6"/>
      <c r="TW101" s="6"/>
      <c r="TZ101" s="12"/>
      <c r="UA101" s="3"/>
      <c r="UB101" s="3"/>
      <c r="VL101" s="358"/>
      <c r="VM101" s="346"/>
      <c r="VN101" s="347"/>
      <c r="VO101" s="347"/>
      <c r="VP101" s="347"/>
      <c r="VQ101" s="347"/>
      <c r="VR101" s="347"/>
      <c r="VS101" s="347"/>
      <c r="VT101" s="347"/>
      <c r="VU101" s="347"/>
      <c r="VV101" s="347"/>
      <c r="VW101" s="347"/>
      <c r="VX101" s="347"/>
      <c r="VY101" s="369"/>
      <c r="VZ101" s="350"/>
      <c r="WA101" s="351"/>
      <c r="WB101" s="346"/>
      <c r="WC101" s="372"/>
      <c r="WD101" s="374"/>
      <c r="WE101" s="377"/>
      <c r="WF101" s="378"/>
      <c r="WG101" s="380"/>
      <c r="ZG101" s="358"/>
      <c r="ZH101" s="346"/>
      <c r="ZI101" s="347"/>
      <c r="ZJ101" s="347"/>
      <c r="ZK101" s="347"/>
      <c r="ZL101" s="347"/>
      <c r="ZM101" s="347"/>
      <c r="ZN101" s="347"/>
      <c r="ZO101" s="347"/>
      <c r="ZP101" s="347"/>
      <c r="ZQ101" s="347"/>
      <c r="ZR101" s="347"/>
      <c r="ZS101" s="347"/>
      <c r="ZT101" s="369"/>
      <c r="ZU101" s="350"/>
      <c r="ZV101" s="351"/>
      <c r="ZW101" s="346"/>
      <c r="ZX101" s="372"/>
      <c r="ZY101" s="374"/>
      <c r="ZZ101" s="377"/>
      <c r="AAA101" s="378"/>
      <c r="AAB101" s="380"/>
    </row>
    <row r="102" spans="59:704" ht="48" customHeight="1" x14ac:dyDescent="0.3">
      <c r="BG102" s="291"/>
      <c r="BH102" s="291"/>
      <c r="BI102" s="291"/>
      <c r="BJ102" s="291"/>
      <c r="BK102" s="291"/>
      <c r="EW102" s="286"/>
      <c r="EX102" s="286"/>
      <c r="EY102" s="286"/>
      <c r="EZ102" s="286"/>
      <c r="FA102" s="286"/>
      <c r="FB102" s="286"/>
      <c r="FC102" s="286"/>
      <c r="FD102" s="286"/>
      <c r="FE102" s="286"/>
      <c r="FF102" s="286"/>
      <c r="FG102" s="286"/>
      <c r="FH102" s="286"/>
      <c r="FI102" s="286"/>
      <c r="FJ102" s="286"/>
      <c r="FK102" s="286"/>
      <c r="FL102" s="286"/>
      <c r="FM102" s="286"/>
      <c r="FN102" s="286"/>
      <c r="FO102" s="286"/>
      <c r="FT102" s="12"/>
      <c r="FU102" s="3"/>
      <c r="FV102" s="3"/>
      <c r="JX102" s="291"/>
      <c r="JY102" s="291"/>
      <c r="JZ102" s="291"/>
      <c r="KR102" s="291"/>
      <c r="KS102" s="291"/>
      <c r="KT102" s="291"/>
      <c r="KU102" s="291"/>
      <c r="MY102" s="8"/>
      <c r="MZ102" s="10"/>
      <c r="NA102" s="6"/>
      <c r="NB102" s="6"/>
      <c r="NE102" s="12"/>
      <c r="NF102" s="3"/>
      <c r="NG102" s="3"/>
      <c r="TT102" s="8"/>
      <c r="TU102" s="10" t="s">
        <v>321</v>
      </c>
      <c r="TV102" s="6">
        <f>(GK96-GK72-GK68)/1000</f>
        <v>2.0982442565782959E-2</v>
      </c>
      <c r="TW102" s="6"/>
      <c r="TZ102" s="12"/>
      <c r="UA102" s="3"/>
      <c r="UB102" s="3"/>
    </row>
    <row r="103" spans="59:704" ht="48" customHeight="1" thickBot="1" x14ac:dyDescent="0.35">
      <c r="BG103" s="291"/>
      <c r="BH103" s="291"/>
      <c r="BI103" s="291"/>
      <c r="BJ103" s="291"/>
      <c r="BK103" s="291"/>
      <c r="BO103" s="448" t="s">
        <v>957</v>
      </c>
      <c r="BP103" s="449"/>
      <c r="BQ103" s="450"/>
      <c r="BR103" s="356"/>
      <c r="BS103" s="546" t="s">
        <v>604</v>
      </c>
      <c r="BT103" s="547"/>
      <c r="BU103" s="295"/>
      <c r="BV103" s="175"/>
      <c r="BW103" s="175"/>
      <c r="BX103" s="175"/>
      <c r="BY103" s="175"/>
      <c r="BZ103" s="299"/>
      <c r="CA103" s="172" t="s">
        <v>643</v>
      </c>
      <c r="CB103" s="295"/>
      <c r="CC103" s="173" t="s">
        <v>629</v>
      </c>
      <c r="CD103" s="359" t="s">
        <v>623</v>
      </c>
      <c r="CE103" s="381"/>
      <c r="CF103" s="382" t="s">
        <v>189</v>
      </c>
      <c r="CG103" s="383"/>
      <c r="CH103" s="363" t="s">
        <v>910</v>
      </c>
      <c r="CI103" s="364"/>
      <c r="CJ103" s="365" t="s">
        <v>638</v>
      </c>
      <c r="CK103" s="366"/>
      <c r="CL103" s="366"/>
      <c r="CM103" s="367"/>
      <c r="DQ103" s="356"/>
      <c r="DR103" s="318" t="s">
        <v>604</v>
      </c>
      <c r="DS103" s="298"/>
      <c r="DT103" s="315"/>
      <c r="DU103" s="175"/>
      <c r="DV103" s="175"/>
      <c r="DW103" s="175"/>
      <c r="DX103" s="175"/>
      <c r="DY103" s="175"/>
      <c r="DZ103" s="175"/>
      <c r="EA103" s="315"/>
      <c r="EB103" s="173" t="s">
        <v>629</v>
      </c>
      <c r="EC103" s="359" t="s">
        <v>623</v>
      </c>
      <c r="ED103" s="381"/>
      <c r="EE103" s="382" t="s">
        <v>189</v>
      </c>
      <c r="EF103" s="383"/>
      <c r="EG103" s="363" t="s">
        <v>910</v>
      </c>
      <c r="EH103" s="364"/>
      <c r="EI103" s="365" t="s">
        <v>638</v>
      </c>
      <c r="EJ103" s="366"/>
      <c r="EK103" s="366"/>
      <c r="EL103" s="367"/>
      <c r="EW103" s="286"/>
      <c r="EX103" s="286"/>
      <c r="EY103" s="286"/>
      <c r="EZ103" s="286"/>
      <c r="FA103" s="286"/>
      <c r="FB103" s="286"/>
      <c r="FC103" s="286"/>
      <c r="FD103" s="286"/>
      <c r="FE103" s="286"/>
      <c r="FF103" s="286"/>
      <c r="FG103" s="286"/>
      <c r="FH103" s="286"/>
      <c r="FI103" s="286"/>
      <c r="FJ103" s="286"/>
      <c r="FK103" s="286"/>
      <c r="FL103" s="286"/>
      <c r="FM103" s="286"/>
      <c r="FN103" s="286"/>
      <c r="FO103" s="286"/>
      <c r="FW103" s="356"/>
      <c r="FX103" s="297" t="s">
        <v>604</v>
      </c>
      <c r="FY103" s="298"/>
      <c r="FZ103" s="315"/>
      <c r="GA103" s="175"/>
      <c r="GB103" s="175"/>
      <c r="GC103" s="175"/>
      <c r="GD103" s="175"/>
      <c r="GE103" s="175"/>
      <c r="GF103" s="175"/>
      <c r="GG103" s="315"/>
      <c r="GH103" s="173" t="s">
        <v>629</v>
      </c>
      <c r="GI103" s="359" t="s">
        <v>623</v>
      </c>
      <c r="GJ103" s="360"/>
      <c r="GK103" s="382" t="s">
        <v>189</v>
      </c>
      <c r="GL103" s="383"/>
      <c r="GM103" s="363" t="s">
        <v>910</v>
      </c>
      <c r="GN103" s="405"/>
      <c r="GO103" s="364"/>
      <c r="GP103" s="365" t="s">
        <v>638</v>
      </c>
      <c r="GQ103" s="366"/>
      <c r="GR103" s="366"/>
      <c r="GS103" s="367"/>
      <c r="GT103" s="365" t="s">
        <v>624</v>
      </c>
      <c r="GU103" s="366"/>
      <c r="GV103" s="367"/>
      <c r="IH103" s="356"/>
      <c r="II103" s="297" t="s">
        <v>604</v>
      </c>
      <c r="IJ103" s="298"/>
      <c r="IK103" s="321"/>
      <c r="IL103" s="175"/>
      <c r="IM103" s="175"/>
      <c r="IN103" s="175"/>
      <c r="IO103" s="175"/>
      <c r="IP103" s="175"/>
      <c r="IQ103" s="175"/>
      <c r="IR103" s="321"/>
      <c r="IS103" s="173" t="s">
        <v>629</v>
      </c>
      <c r="IT103" s="359" t="s">
        <v>623</v>
      </c>
      <c r="IU103" s="360"/>
      <c r="IV103" s="361" t="s">
        <v>189</v>
      </c>
      <c r="IW103" s="362"/>
      <c r="IX103" s="363" t="s">
        <v>910</v>
      </c>
      <c r="IY103" s="364"/>
      <c r="IZ103" s="365" t="s">
        <v>638</v>
      </c>
      <c r="JA103" s="366"/>
      <c r="JB103" s="366"/>
      <c r="JC103" s="367"/>
      <c r="JX103" s="291"/>
      <c r="JY103" s="291"/>
      <c r="JZ103" s="291"/>
      <c r="KR103" s="291"/>
      <c r="KS103" s="291"/>
      <c r="KT103" s="291"/>
      <c r="KU103" s="291"/>
      <c r="LP103" s="356"/>
      <c r="LQ103" s="297" t="s">
        <v>604</v>
      </c>
      <c r="LR103" s="298"/>
      <c r="LS103" s="321"/>
      <c r="LT103" s="175"/>
      <c r="LU103" s="175"/>
      <c r="LV103" s="175"/>
      <c r="LW103" s="175"/>
      <c r="LX103" s="175"/>
      <c r="LY103" s="175"/>
      <c r="LZ103" s="321"/>
      <c r="MA103" s="173" t="s">
        <v>629</v>
      </c>
      <c r="MB103" s="359" t="s">
        <v>623</v>
      </c>
      <c r="MC103" s="360"/>
      <c r="MD103" s="382" t="s">
        <v>189</v>
      </c>
      <c r="ME103" s="383"/>
      <c r="MF103" s="363" t="s">
        <v>910</v>
      </c>
      <c r="MG103" s="364"/>
      <c r="MH103" s="365" t="s">
        <v>638</v>
      </c>
      <c r="MI103" s="366"/>
      <c r="MJ103" s="366"/>
      <c r="MK103" s="367"/>
      <c r="MY103" s="8"/>
      <c r="MZ103" s="10"/>
      <c r="NA103" s="6"/>
      <c r="NB103" s="6"/>
      <c r="NE103" s="13"/>
      <c r="NF103" s="5"/>
      <c r="NG103" s="5"/>
      <c r="TT103" s="8" t="s">
        <v>231</v>
      </c>
      <c r="TU103" s="11" t="s">
        <v>272</v>
      </c>
      <c r="TV103" s="4">
        <v>0.12</v>
      </c>
      <c r="TW103" s="6"/>
      <c r="TZ103" s="12"/>
      <c r="UA103" s="3"/>
      <c r="UB103" s="3"/>
      <c r="VL103" s="356"/>
      <c r="VM103" s="297" t="s">
        <v>604</v>
      </c>
      <c r="VN103" s="298"/>
      <c r="VO103" s="321"/>
      <c r="VP103" s="175"/>
      <c r="VQ103" s="175"/>
      <c r="VR103" s="175"/>
      <c r="VS103" s="175"/>
      <c r="VT103" s="175"/>
      <c r="VU103" s="175"/>
      <c r="VV103" s="321"/>
      <c r="VW103" s="173" t="s">
        <v>629</v>
      </c>
      <c r="VX103" s="359" t="s">
        <v>623</v>
      </c>
      <c r="VY103" s="360"/>
      <c r="VZ103" s="361" t="s">
        <v>189</v>
      </c>
      <c r="WA103" s="362"/>
      <c r="WB103" s="363" t="s">
        <v>910</v>
      </c>
      <c r="WC103" s="364"/>
      <c r="WD103" s="365" t="s">
        <v>638</v>
      </c>
      <c r="WE103" s="366"/>
      <c r="WF103" s="366"/>
      <c r="WG103" s="367"/>
      <c r="ZG103" s="356"/>
      <c r="ZH103" s="297" t="s">
        <v>604</v>
      </c>
      <c r="ZI103" s="298"/>
      <c r="ZJ103" s="321"/>
      <c r="ZK103" s="175"/>
      <c r="ZL103" s="175"/>
      <c r="ZM103" s="175"/>
      <c r="ZN103" s="175"/>
      <c r="ZO103" s="175"/>
      <c r="ZP103" s="175"/>
      <c r="ZQ103" s="321"/>
      <c r="ZR103" s="173" t="s">
        <v>629</v>
      </c>
      <c r="ZS103" s="359" t="s">
        <v>623</v>
      </c>
      <c r="ZT103" s="360"/>
      <c r="ZU103" s="361" t="s">
        <v>189</v>
      </c>
      <c r="ZV103" s="362"/>
      <c r="ZW103" s="363" t="s">
        <v>910</v>
      </c>
      <c r="ZX103" s="364"/>
      <c r="ZY103" s="365" t="s">
        <v>638</v>
      </c>
      <c r="ZZ103" s="366"/>
      <c r="AAA103" s="366"/>
      <c r="AAB103" s="367"/>
    </row>
    <row r="104" spans="59:704" ht="48" customHeight="1" x14ac:dyDescent="0.3">
      <c r="BG104" s="291"/>
      <c r="BH104" s="291"/>
      <c r="BI104" s="291"/>
      <c r="BJ104" s="291"/>
      <c r="BK104" s="291"/>
      <c r="BO104" s="451"/>
      <c r="BP104" s="452"/>
      <c r="BQ104" s="453"/>
      <c r="BR104" s="357"/>
      <c r="BS104" s="514" t="s">
        <v>991</v>
      </c>
      <c r="BT104" s="515"/>
      <c r="BU104" s="515"/>
      <c r="BV104" s="515"/>
      <c r="BW104" s="515"/>
      <c r="BX104" s="515"/>
      <c r="BY104" s="515"/>
      <c r="BZ104" s="515"/>
      <c r="CA104" s="515"/>
      <c r="CB104" s="515"/>
      <c r="CC104" s="515"/>
      <c r="CD104" s="515"/>
      <c r="CE104" s="516"/>
      <c r="CF104" s="424">
        <v>1.0940000000000001</v>
      </c>
      <c r="CG104" s="425"/>
      <c r="CH104" s="412" t="s">
        <v>990</v>
      </c>
      <c r="CI104" s="413"/>
      <c r="CJ104" s="386"/>
      <c r="CK104" s="519" t="s">
        <v>997</v>
      </c>
      <c r="CL104" s="520"/>
      <c r="CM104" s="379"/>
      <c r="DQ104" s="357"/>
      <c r="DR104" s="461" t="s">
        <v>1036</v>
      </c>
      <c r="DS104" s="462"/>
      <c r="DT104" s="462"/>
      <c r="DU104" s="462"/>
      <c r="DV104" s="462"/>
      <c r="DW104" s="462"/>
      <c r="DX104" s="462"/>
      <c r="DY104" s="462"/>
      <c r="DZ104" s="462"/>
      <c r="EA104" s="462"/>
      <c r="EB104" s="462"/>
      <c r="EC104" s="462"/>
      <c r="ED104" s="462"/>
      <c r="EE104" s="388">
        <f>((CR90^2)*CC60*CF108)/EE92</f>
        <v>0.79864859361248997</v>
      </c>
      <c r="EF104" s="371"/>
      <c r="EG104" s="388"/>
      <c r="EH104" s="371"/>
      <c r="EI104" s="386"/>
      <c r="EJ104" s="416" t="s">
        <v>1044</v>
      </c>
      <c r="EK104" s="472"/>
      <c r="EL104" s="379"/>
      <c r="EW104" s="286"/>
      <c r="EX104" s="286"/>
      <c r="EY104" s="286"/>
      <c r="EZ104" s="286"/>
      <c r="FA104" s="286"/>
      <c r="FB104" s="286"/>
      <c r="FC104" s="286"/>
      <c r="FD104" s="286"/>
      <c r="FE104" s="286"/>
      <c r="FF104" s="286"/>
      <c r="FG104" s="286"/>
      <c r="FH104" s="286"/>
      <c r="FI104" s="286"/>
      <c r="FJ104" s="286"/>
      <c r="FK104" s="286"/>
      <c r="FL104" s="286"/>
      <c r="FM104" s="286"/>
      <c r="FN104" s="286"/>
      <c r="FO104" s="286"/>
      <c r="FT104" s="12"/>
      <c r="FU104" s="3"/>
      <c r="FV104" s="3"/>
      <c r="FW104" s="357"/>
      <c r="FX104" s="344" t="s">
        <v>79</v>
      </c>
      <c r="FY104" s="345"/>
      <c r="FZ104" s="345"/>
      <c r="GA104" s="345"/>
      <c r="GB104" s="345"/>
      <c r="GC104" s="345"/>
      <c r="GD104" s="345"/>
      <c r="GE104" s="345"/>
      <c r="GF104" s="345"/>
      <c r="GG104" s="345"/>
      <c r="GH104" s="345"/>
      <c r="GI104" s="345"/>
      <c r="GJ104" s="345"/>
      <c r="GK104" s="388">
        <f>(GK44/((GK100*10^(-6)))/10^6)</f>
        <v>3.0424341182253767</v>
      </c>
      <c r="GL104" s="371"/>
      <c r="GM104" s="406" t="s">
        <v>1038</v>
      </c>
      <c r="GN104" s="407"/>
      <c r="GO104" s="408"/>
      <c r="GP104" s="373"/>
      <c r="GQ104" s="375" t="s">
        <v>604</v>
      </c>
      <c r="GR104" s="376"/>
      <c r="GS104" s="379"/>
      <c r="GT104" s="396"/>
      <c r="GU104" s="397"/>
      <c r="GV104" s="398"/>
      <c r="IH104" s="357"/>
      <c r="II104" s="344" t="s">
        <v>103</v>
      </c>
      <c r="IJ104" s="345"/>
      <c r="IK104" s="345"/>
      <c r="IL104" s="345"/>
      <c r="IM104" s="345"/>
      <c r="IN104" s="345"/>
      <c r="IO104" s="345"/>
      <c r="IP104" s="345"/>
      <c r="IQ104" s="345"/>
      <c r="IR104" s="345"/>
      <c r="IS104" s="345"/>
      <c r="IT104" s="345"/>
      <c r="IU104" s="345"/>
      <c r="IV104" s="348">
        <v>38</v>
      </c>
      <c r="IW104" s="349"/>
      <c r="IX104" s="352"/>
      <c r="IY104" s="353"/>
      <c r="IZ104" s="373"/>
      <c r="JA104" s="375" t="s">
        <v>604</v>
      </c>
      <c r="JB104" s="376"/>
      <c r="JC104" s="379"/>
      <c r="JX104" s="291"/>
      <c r="JY104" s="291"/>
      <c r="JZ104" s="291"/>
      <c r="KR104" s="291"/>
      <c r="KS104" s="291"/>
      <c r="KT104" s="291"/>
      <c r="KU104" s="291"/>
      <c r="LP104" s="357"/>
      <c r="LQ104" s="344" t="s">
        <v>147</v>
      </c>
      <c r="LR104" s="345"/>
      <c r="LS104" s="345"/>
      <c r="LT104" s="345"/>
      <c r="LU104" s="345"/>
      <c r="LV104" s="345"/>
      <c r="LW104" s="345"/>
      <c r="LX104" s="345"/>
      <c r="LY104" s="345"/>
      <c r="LZ104" s="345"/>
      <c r="MA104" s="345"/>
      <c r="MB104" s="345"/>
      <c r="MC104" s="345"/>
      <c r="MD104" s="348">
        <f>0.34*(1/(AN77*1000)*(MD24-0.64*MD92*AN36*1000))</f>
        <v>1.604114319184665E-2</v>
      </c>
      <c r="ME104" s="349"/>
      <c r="MF104" s="390"/>
      <c r="MG104" s="371"/>
      <c r="MH104" s="373"/>
      <c r="MI104" s="375" t="s">
        <v>604</v>
      </c>
      <c r="MJ104" s="376"/>
      <c r="MK104" s="379"/>
      <c r="MY104" s="8"/>
      <c r="MZ104" s="10"/>
      <c r="NA104" s="6"/>
      <c r="NB104" s="6"/>
      <c r="NE104" s="13"/>
      <c r="NF104" s="5"/>
      <c r="NG104" s="5"/>
      <c r="TT104" s="8"/>
      <c r="TU104" s="11" t="s">
        <v>272</v>
      </c>
      <c r="TV104" s="4">
        <f>0.1</f>
        <v>0.1</v>
      </c>
      <c r="TW104" s="6"/>
      <c r="TZ104" s="12"/>
      <c r="UA104" s="3"/>
      <c r="UB104" s="3"/>
      <c r="VL104" s="357"/>
      <c r="VM104" s="344"/>
      <c r="VN104" s="345"/>
      <c r="VO104" s="345"/>
      <c r="VP104" s="345"/>
      <c r="VQ104" s="345"/>
      <c r="VR104" s="345"/>
      <c r="VS104" s="345"/>
      <c r="VT104" s="345"/>
      <c r="VU104" s="345"/>
      <c r="VV104" s="345"/>
      <c r="VW104" s="345"/>
      <c r="VX104" s="345"/>
      <c r="VY104" s="368"/>
      <c r="VZ104" s="348"/>
      <c r="WA104" s="349"/>
      <c r="WB104" s="370"/>
      <c r="WC104" s="371"/>
      <c r="WD104" s="373"/>
      <c r="WE104" s="375" t="s">
        <v>604</v>
      </c>
      <c r="WF104" s="376"/>
      <c r="WG104" s="379"/>
      <c r="ZG104" s="357"/>
      <c r="ZH104" s="344"/>
      <c r="ZI104" s="345"/>
      <c r="ZJ104" s="345"/>
      <c r="ZK104" s="345"/>
      <c r="ZL104" s="345"/>
      <c r="ZM104" s="345"/>
      <c r="ZN104" s="345"/>
      <c r="ZO104" s="345"/>
      <c r="ZP104" s="345"/>
      <c r="ZQ104" s="345"/>
      <c r="ZR104" s="345"/>
      <c r="ZS104" s="345"/>
      <c r="ZT104" s="368"/>
      <c r="ZU104" s="348"/>
      <c r="ZV104" s="349"/>
      <c r="ZW104" s="370"/>
      <c r="ZX104" s="371"/>
      <c r="ZY104" s="373"/>
      <c r="ZZ104" s="375" t="s">
        <v>604</v>
      </c>
      <c r="AAA104" s="376"/>
      <c r="AAB104" s="379"/>
    </row>
    <row r="105" spans="59:704" ht="48" customHeight="1" thickBot="1" x14ac:dyDescent="0.35">
      <c r="BG105" s="291"/>
      <c r="BH105" s="291"/>
      <c r="BI105" s="291"/>
      <c r="BJ105" s="291"/>
      <c r="BK105" s="291"/>
      <c r="BO105" s="454"/>
      <c r="BP105" s="455"/>
      <c r="BQ105" s="456"/>
      <c r="BR105" s="358"/>
      <c r="BS105" s="517"/>
      <c r="BT105" s="518"/>
      <c r="BU105" s="518"/>
      <c r="BV105" s="518"/>
      <c r="BW105" s="518"/>
      <c r="BX105" s="518"/>
      <c r="BY105" s="518"/>
      <c r="BZ105" s="518"/>
      <c r="CA105" s="518"/>
      <c r="CB105" s="518"/>
      <c r="CC105" s="518"/>
      <c r="CD105" s="518"/>
      <c r="CE105" s="440"/>
      <c r="CF105" s="426"/>
      <c r="CG105" s="427"/>
      <c r="CH105" s="414"/>
      <c r="CI105" s="415"/>
      <c r="CJ105" s="387"/>
      <c r="CK105" s="521"/>
      <c r="CL105" s="522"/>
      <c r="CM105" s="380"/>
      <c r="DQ105" s="357"/>
      <c r="DR105" s="463"/>
      <c r="DS105" s="464"/>
      <c r="DT105" s="464"/>
      <c r="DU105" s="464"/>
      <c r="DV105" s="464"/>
      <c r="DW105" s="464"/>
      <c r="DX105" s="464"/>
      <c r="DY105" s="464"/>
      <c r="DZ105" s="464"/>
      <c r="EA105" s="464"/>
      <c r="EB105" s="464"/>
      <c r="EC105" s="464"/>
      <c r="ED105" s="464"/>
      <c r="EE105" s="467"/>
      <c r="EF105" s="468"/>
      <c r="EG105" s="467"/>
      <c r="EH105" s="468"/>
      <c r="EI105" s="469"/>
      <c r="EJ105" s="473"/>
      <c r="EK105" s="474"/>
      <c r="EL105" s="470"/>
      <c r="EW105" s="286"/>
      <c r="EX105" s="286"/>
      <c r="EY105" s="286"/>
      <c r="EZ105" s="286"/>
      <c r="FA105" s="286"/>
      <c r="FB105" s="286"/>
      <c r="FC105" s="286"/>
      <c r="FD105" s="286"/>
      <c r="FE105" s="286"/>
      <c r="FF105" s="286"/>
      <c r="FG105" s="286"/>
      <c r="FH105" s="286"/>
      <c r="FI105" s="286"/>
      <c r="FJ105" s="286"/>
      <c r="FK105" s="286"/>
      <c r="FL105" s="286"/>
      <c r="FM105" s="286"/>
      <c r="FN105" s="286"/>
      <c r="FO105" s="286"/>
      <c r="FW105" s="358"/>
      <c r="FX105" s="346"/>
      <c r="FY105" s="347"/>
      <c r="FZ105" s="347"/>
      <c r="GA105" s="347"/>
      <c r="GB105" s="347"/>
      <c r="GC105" s="347"/>
      <c r="GD105" s="347"/>
      <c r="GE105" s="347"/>
      <c r="GF105" s="347"/>
      <c r="GG105" s="347"/>
      <c r="GH105" s="347"/>
      <c r="GI105" s="347"/>
      <c r="GJ105" s="347"/>
      <c r="GK105" s="389"/>
      <c r="GL105" s="372"/>
      <c r="GM105" s="409"/>
      <c r="GN105" s="410"/>
      <c r="GO105" s="411"/>
      <c r="GP105" s="374"/>
      <c r="GQ105" s="377"/>
      <c r="GR105" s="378"/>
      <c r="GS105" s="380"/>
      <c r="GT105" s="341"/>
      <c r="GU105" s="342"/>
      <c r="GV105" s="343"/>
      <c r="HA105" s="291"/>
      <c r="HB105" s="291"/>
      <c r="HC105" s="291"/>
      <c r="HD105" s="291"/>
      <c r="HE105" s="291"/>
      <c r="HF105" s="291"/>
      <c r="HG105" s="291"/>
      <c r="HH105" s="291"/>
      <c r="HI105" s="291"/>
      <c r="HJ105" s="291"/>
      <c r="HK105" s="291"/>
      <c r="HL105" s="291"/>
      <c r="HM105" s="291"/>
      <c r="HN105" s="291"/>
      <c r="HO105" s="291"/>
      <c r="HP105" s="291"/>
      <c r="HQ105" s="291"/>
      <c r="HR105" s="291"/>
      <c r="HS105" s="291"/>
      <c r="HT105" s="291"/>
      <c r="HU105" s="291"/>
      <c r="IH105" s="358"/>
      <c r="II105" s="346"/>
      <c r="IJ105" s="347"/>
      <c r="IK105" s="347"/>
      <c r="IL105" s="347"/>
      <c r="IM105" s="347"/>
      <c r="IN105" s="347"/>
      <c r="IO105" s="347"/>
      <c r="IP105" s="347"/>
      <c r="IQ105" s="347"/>
      <c r="IR105" s="347"/>
      <c r="IS105" s="347"/>
      <c r="IT105" s="347"/>
      <c r="IU105" s="347"/>
      <c r="IV105" s="350"/>
      <c r="IW105" s="351"/>
      <c r="IX105" s="354"/>
      <c r="IY105" s="355"/>
      <c r="IZ105" s="374"/>
      <c r="JA105" s="377"/>
      <c r="JB105" s="378"/>
      <c r="JC105" s="380"/>
      <c r="JX105" s="291"/>
      <c r="JY105" s="291"/>
      <c r="JZ105" s="291"/>
      <c r="KR105" s="291"/>
      <c r="KS105" s="291"/>
      <c r="KT105" s="291"/>
      <c r="KU105" s="291"/>
      <c r="LP105" s="358"/>
      <c r="LQ105" s="346"/>
      <c r="LR105" s="347"/>
      <c r="LS105" s="347"/>
      <c r="LT105" s="347"/>
      <c r="LU105" s="347"/>
      <c r="LV105" s="347"/>
      <c r="LW105" s="347"/>
      <c r="LX105" s="347"/>
      <c r="LY105" s="347"/>
      <c r="LZ105" s="347"/>
      <c r="MA105" s="347"/>
      <c r="MB105" s="347"/>
      <c r="MC105" s="347"/>
      <c r="MD105" s="350"/>
      <c r="ME105" s="351"/>
      <c r="MF105" s="347"/>
      <c r="MG105" s="372"/>
      <c r="MH105" s="374"/>
      <c r="MI105" s="377"/>
      <c r="MJ105" s="378"/>
      <c r="MK105" s="380"/>
      <c r="MY105" s="8"/>
      <c r="MZ105" s="10"/>
      <c r="NA105" s="6"/>
      <c r="NB105" s="6"/>
      <c r="NE105" s="13"/>
      <c r="NF105" s="5"/>
      <c r="NG105" s="5"/>
      <c r="TT105" s="8"/>
      <c r="TU105" s="99" t="s">
        <v>579</v>
      </c>
      <c r="TV105" s="100">
        <f>65.15*TV102*TV100</f>
        <v>1.3670061331607599</v>
      </c>
      <c r="TW105" s="6"/>
      <c r="TZ105" s="12"/>
      <c r="UA105" s="3"/>
      <c r="UB105" s="3"/>
      <c r="VL105" s="358"/>
      <c r="VM105" s="346"/>
      <c r="VN105" s="347"/>
      <c r="VO105" s="347"/>
      <c r="VP105" s="347"/>
      <c r="VQ105" s="347"/>
      <c r="VR105" s="347"/>
      <c r="VS105" s="347"/>
      <c r="VT105" s="347"/>
      <c r="VU105" s="347"/>
      <c r="VV105" s="347"/>
      <c r="VW105" s="347"/>
      <c r="VX105" s="347"/>
      <c r="VY105" s="369"/>
      <c r="VZ105" s="350"/>
      <c r="WA105" s="351"/>
      <c r="WB105" s="346"/>
      <c r="WC105" s="372"/>
      <c r="WD105" s="374"/>
      <c r="WE105" s="377"/>
      <c r="WF105" s="378"/>
      <c r="WG105" s="380"/>
      <c r="ZG105" s="358"/>
      <c r="ZH105" s="346"/>
      <c r="ZI105" s="347"/>
      <c r="ZJ105" s="347"/>
      <c r="ZK105" s="347"/>
      <c r="ZL105" s="347"/>
      <c r="ZM105" s="347"/>
      <c r="ZN105" s="347"/>
      <c r="ZO105" s="347"/>
      <c r="ZP105" s="347"/>
      <c r="ZQ105" s="347"/>
      <c r="ZR105" s="347"/>
      <c r="ZS105" s="347"/>
      <c r="ZT105" s="369"/>
      <c r="ZU105" s="350"/>
      <c r="ZV105" s="351"/>
      <c r="ZW105" s="346"/>
      <c r="ZX105" s="372"/>
      <c r="ZY105" s="374"/>
      <c r="ZZ105" s="377"/>
      <c r="AAA105" s="378"/>
      <c r="AAB105" s="380"/>
    </row>
    <row r="106" spans="59:704" ht="48" customHeight="1" thickBot="1" x14ac:dyDescent="0.35">
      <c r="BG106" s="291"/>
      <c r="BH106" s="291"/>
      <c r="BI106" s="291"/>
      <c r="BJ106" s="291"/>
      <c r="BK106" s="291"/>
      <c r="DQ106" s="358"/>
      <c r="DR106" s="465"/>
      <c r="DS106" s="466"/>
      <c r="DT106" s="466"/>
      <c r="DU106" s="466"/>
      <c r="DV106" s="466"/>
      <c r="DW106" s="466"/>
      <c r="DX106" s="466"/>
      <c r="DY106" s="466"/>
      <c r="DZ106" s="466"/>
      <c r="EA106" s="466"/>
      <c r="EB106" s="466"/>
      <c r="EC106" s="466"/>
      <c r="ED106" s="466"/>
      <c r="EE106" s="389"/>
      <c r="EF106" s="372"/>
      <c r="EG106" s="389"/>
      <c r="EH106" s="372"/>
      <c r="EI106" s="387"/>
      <c r="EJ106" s="418"/>
      <c r="EK106" s="475"/>
      <c r="EL106" s="471"/>
      <c r="EV106" s="13"/>
      <c r="EW106" s="286"/>
      <c r="EX106" s="286"/>
      <c r="EY106" s="286"/>
      <c r="EZ106" s="286"/>
      <c r="FA106" s="286"/>
      <c r="FB106" s="286"/>
      <c r="FC106" s="286"/>
      <c r="FD106" s="286"/>
      <c r="FE106" s="286"/>
      <c r="FF106" s="286"/>
      <c r="FG106" s="286"/>
      <c r="FH106" s="286"/>
      <c r="FI106" s="286"/>
      <c r="FJ106" s="286"/>
      <c r="FK106" s="286"/>
      <c r="FL106" s="286"/>
      <c r="FM106" s="286"/>
      <c r="FN106" s="286"/>
      <c r="FO106" s="286"/>
      <c r="FT106" s="12"/>
      <c r="FU106" s="3"/>
      <c r="FV106" s="3"/>
      <c r="HA106" s="291"/>
      <c r="HB106" s="291"/>
      <c r="HC106" s="291"/>
      <c r="HD106" s="291"/>
      <c r="HE106" s="291"/>
      <c r="HF106" s="291"/>
      <c r="HG106" s="291"/>
      <c r="HH106" s="291"/>
      <c r="HI106" s="291"/>
      <c r="HJ106" s="291"/>
      <c r="HK106" s="291"/>
      <c r="HL106" s="291"/>
      <c r="HM106" s="291"/>
      <c r="HN106" s="291"/>
      <c r="HO106" s="291"/>
      <c r="HP106" s="291"/>
      <c r="HQ106" s="291"/>
      <c r="HR106" s="291"/>
      <c r="HS106" s="291"/>
      <c r="HT106" s="291"/>
      <c r="HU106" s="291"/>
      <c r="JX106" s="291"/>
      <c r="JY106" s="291"/>
      <c r="JZ106" s="291"/>
      <c r="KR106" s="291"/>
      <c r="KS106" s="291"/>
      <c r="KT106" s="291"/>
      <c r="KU106" s="291"/>
      <c r="MY106" s="8"/>
      <c r="MZ106" s="10"/>
      <c r="NA106" s="6"/>
      <c r="NB106" s="6"/>
      <c r="NE106" s="13"/>
      <c r="NF106" s="5"/>
      <c r="NG106" s="5"/>
      <c r="TT106" s="8"/>
      <c r="TU106" s="99" t="s">
        <v>580</v>
      </c>
      <c r="TV106" s="100">
        <f>65.61*TV102*TV100</f>
        <v>1.37665805674102</v>
      </c>
      <c r="TW106" s="6"/>
      <c r="TZ106" s="12"/>
      <c r="UA106" s="3"/>
      <c r="UB106" s="3"/>
    </row>
    <row r="107" spans="59:704" ht="48" customHeight="1" thickBot="1" x14ac:dyDescent="0.35">
      <c r="BG107" s="291"/>
      <c r="BH107" s="291"/>
      <c r="BI107" s="291"/>
      <c r="BJ107" s="291"/>
      <c r="BK107" s="291"/>
      <c r="BO107" s="448" t="s">
        <v>999</v>
      </c>
      <c r="BP107" s="449"/>
      <c r="BQ107" s="450"/>
      <c r="BR107" s="356"/>
      <c r="BS107" s="297" t="s">
        <v>604</v>
      </c>
      <c r="BT107" s="298"/>
      <c r="BU107" s="295"/>
      <c r="BV107" s="175"/>
      <c r="BW107" s="175"/>
      <c r="BX107" s="175"/>
      <c r="BY107" s="175"/>
      <c r="BZ107" s="175"/>
      <c r="CA107" s="175"/>
      <c r="CB107" s="295"/>
      <c r="CC107" s="173" t="s">
        <v>629</v>
      </c>
      <c r="CD107" s="359" t="s">
        <v>623</v>
      </c>
      <c r="CE107" s="381"/>
      <c r="CF107" s="382" t="s">
        <v>189</v>
      </c>
      <c r="CG107" s="383"/>
      <c r="CH107" s="363" t="s">
        <v>910</v>
      </c>
      <c r="CI107" s="364"/>
      <c r="CJ107" s="365" t="s">
        <v>638</v>
      </c>
      <c r="CK107" s="366"/>
      <c r="CL107" s="366"/>
      <c r="CM107" s="367"/>
      <c r="EV107" s="13"/>
      <c r="EW107" s="286"/>
      <c r="EX107" s="286"/>
      <c r="EY107" s="286"/>
      <c r="EZ107" s="286"/>
      <c r="FA107" s="286"/>
      <c r="FB107" s="286"/>
      <c r="FC107" s="286"/>
      <c r="FD107" s="286"/>
      <c r="FE107" s="286"/>
      <c r="FF107" s="286"/>
      <c r="FG107" s="286"/>
      <c r="FH107" s="286"/>
      <c r="FI107" s="286"/>
      <c r="FJ107" s="286"/>
      <c r="FK107" s="286"/>
      <c r="FL107" s="286"/>
      <c r="FM107" s="286"/>
      <c r="FN107" s="286"/>
      <c r="FO107" s="286"/>
      <c r="FW107" s="356"/>
      <c r="FX107" s="297" t="s">
        <v>604</v>
      </c>
      <c r="FY107" s="298"/>
      <c r="FZ107" s="315"/>
      <c r="GA107" s="175"/>
      <c r="GB107" s="175"/>
      <c r="GC107" s="175"/>
      <c r="GD107" s="175"/>
      <c r="GE107" s="175"/>
      <c r="GF107" s="175"/>
      <c r="GG107" s="315"/>
      <c r="GH107" s="173" t="s">
        <v>629</v>
      </c>
      <c r="GI107" s="359" t="s">
        <v>623</v>
      </c>
      <c r="GJ107" s="381"/>
      <c r="GK107" s="382" t="s">
        <v>189</v>
      </c>
      <c r="GL107" s="383"/>
      <c r="GM107" s="363" t="s">
        <v>910</v>
      </c>
      <c r="GN107" s="364"/>
      <c r="GO107" s="365" t="s">
        <v>638</v>
      </c>
      <c r="GP107" s="366"/>
      <c r="GQ107" s="366"/>
      <c r="GR107" s="367"/>
      <c r="GS107" s="365" t="s">
        <v>624</v>
      </c>
      <c r="GT107" s="366"/>
      <c r="GU107" s="367"/>
      <c r="HA107" s="291"/>
      <c r="HB107" s="291"/>
      <c r="HC107" s="291"/>
      <c r="HD107" s="291"/>
      <c r="HE107" s="291"/>
      <c r="HF107" s="291"/>
      <c r="HG107" s="291"/>
      <c r="HH107" s="291"/>
      <c r="HI107" s="291"/>
      <c r="HJ107" s="291"/>
      <c r="HK107" s="291"/>
      <c r="HL107" s="291"/>
      <c r="HM107" s="291"/>
      <c r="HN107" s="291"/>
      <c r="HO107" s="291"/>
      <c r="HP107" s="291"/>
      <c r="HQ107" s="291"/>
      <c r="HR107" s="291"/>
      <c r="HS107" s="291"/>
      <c r="HT107" s="291"/>
      <c r="HU107" s="291"/>
      <c r="IH107" s="356"/>
      <c r="II107" s="297" t="s">
        <v>604</v>
      </c>
      <c r="IJ107" s="298"/>
      <c r="IK107" s="321"/>
      <c r="IL107" s="175"/>
      <c r="IM107" s="175"/>
      <c r="IN107" s="175"/>
      <c r="IO107" s="175"/>
      <c r="IP107" s="175"/>
      <c r="IQ107" s="175"/>
      <c r="IR107" s="321"/>
      <c r="IS107" s="173" t="s">
        <v>629</v>
      </c>
      <c r="IT107" s="359" t="s">
        <v>623</v>
      </c>
      <c r="IU107" s="360"/>
      <c r="IV107" s="361" t="s">
        <v>189</v>
      </c>
      <c r="IW107" s="362"/>
      <c r="IX107" s="363" t="s">
        <v>910</v>
      </c>
      <c r="IY107" s="364"/>
      <c r="IZ107" s="365" t="s">
        <v>638</v>
      </c>
      <c r="JA107" s="366"/>
      <c r="JB107" s="366"/>
      <c r="JC107" s="367"/>
      <c r="JX107" s="291"/>
      <c r="JY107" s="291"/>
      <c r="JZ107" s="291"/>
      <c r="KR107" s="291"/>
      <c r="KS107" s="291"/>
      <c r="KT107" s="291"/>
      <c r="KU107" s="291"/>
      <c r="LP107" s="356"/>
      <c r="LQ107" s="297" t="s">
        <v>604</v>
      </c>
      <c r="LR107" s="298"/>
      <c r="LS107" s="331"/>
      <c r="LT107" s="175"/>
      <c r="LU107" s="175"/>
      <c r="LV107" s="175"/>
      <c r="LW107" s="175"/>
      <c r="LX107" s="175"/>
      <c r="LY107" s="175"/>
      <c r="LZ107" s="331"/>
      <c r="MA107" s="173" t="s">
        <v>629</v>
      </c>
      <c r="MB107" s="359" t="s">
        <v>623</v>
      </c>
      <c r="MC107" s="360"/>
      <c r="MD107" s="361" t="s">
        <v>189</v>
      </c>
      <c r="ME107" s="362"/>
      <c r="MF107" s="363" t="s">
        <v>910</v>
      </c>
      <c r="MG107" s="364"/>
      <c r="MH107" s="365" t="s">
        <v>638</v>
      </c>
      <c r="MI107" s="366"/>
      <c r="MJ107" s="366"/>
      <c r="MK107" s="367"/>
      <c r="MY107" s="8"/>
      <c r="MZ107" s="10"/>
      <c r="NA107" s="6"/>
      <c r="NB107" s="6"/>
      <c r="NE107" s="12"/>
      <c r="NF107" s="3"/>
      <c r="NG107" s="3"/>
      <c r="TT107" s="8"/>
      <c r="TU107" s="10"/>
      <c r="TV107" s="6"/>
      <c r="TW107" s="6"/>
      <c r="TZ107" s="12"/>
      <c r="UA107" s="3"/>
      <c r="UB107" s="3"/>
      <c r="VL107" s="356"/>
      <c r="VM107" s="297" t="s">
        <v>604</v>
      </c>
      <c r="VN107" s="298"/>
      <c r="VO107" s="321"/>
      <c r="VP107" s="175"/>
      <c r="VQ107" s="175"/>
      <c r="VR107" s="175"/>
      <c r="VS107" s="175"/>
      <c r="VT107" s="175"/>
      <c r="VU107" s="175"/>
      <c r="VV107" s="321"/>
      <c r="VW107" s="173" t="s">
        <v>629</v>
      </c>
      <c r="VX107" s="359" t="s">
        <v>623</v>
      </c>
      <c r="VY107" s="381"/>
      <c r="VZ107" s="382" t="s">
        <v>189</v>
      </c>
      <c r="WA107" s="383"/>
      <c r="WB107" s="363" t="s">
        <v>910</v>
      </c>
      <c r="WC107" s="364"/>
      <c r="WD107" s="365" t="s">
        <v>638</v>
      </c>
      <c r="WE107" s="366"/>
      <c r="WF107" s="366"/>
      <c r="WG107" s="367"/>
      <c r="ZG107" s="356"/>
      <c r="ZH107" s="297" t="s">
        <v>604</v>
      </c>
      <c r="ZI107" s="298"/>
      <c r="ZJ107" s="321"/>
      <c r="ZK107" s="175"/>
      <c r="ZL107" s="175"/>
      <c r="ZM107" s="175"/>
      <c r="ZN107" s="175"/>
      <c r="ZO107" s="175"/>
      <c r="ZP107" s="175"/>
      <c r="ZQ107" s="321"/>
      <c r="ZR107" s="173" t="s">
        <v>629</v>
      </c>
      <c r="ZS107" s="359" t="s">
        <v>623</v>
      </c>
      <c r="ZT107" s="360"/>
      <c r="ZU107" s="361" t="s">
        <v>189</v>
      </c>
      <c r="ZV107" s="362"/>
      <c r="ZW107" s="363" t="s">
        <v>910</v>
      </c>
      <c r="ZX107" s="364"/>
      <c r="ZY107" s="365" t="s">
        <v>638</v>
      </c>
      <c r="ZZ107" s="366"/>
      <c r="AAA107" s="366"/>
      <c r="AAB107" s="367"/>
    </row>
    <row r="108" spans="59:704" ht="48" customHeight="1" x14ac:dyDescent="0.3">
      <c r="BG108" s="291"/>
      <c r="BH108" s="291"/>
      <c r="BI108" s="291"/>
      <c r="BJ108" s="291"/>
      <c r="BK108" s="291"/>
      <c r="BO108" s="451"/>
      <c r="BP108" s="452"/>
      <c r="BQ108" s="453"/>
      <c r="BR108" s="357"/>
      <c r="BS108" s="523" t="s">
        <v>992</v>
      </c>
      <c r="BT108" s="515"/>
      <c r="BU108" s="515"/>
      <c r="BV108" s="515"/>
      <c r="BW108" s="515"/>
      <c r="BX108" s="515"/>
      <c r="BY108" s="515"/>
      <c r="BZ108" s="515"/>
      <c r="CA108" s="515"/>
      <c r="CB108" s="515"/>
      <c r="CC108" s="515"/>
      <c r="CD108" s="515"/>
      <c r="CE108" s="516"/>
      <c r="CF108" s="424">
        <v>6</v>
      </c>
      <c r="CG108" s="425"/>
      <c r="CH108" s="536" t="s">
        <v>940</v>
      </c>
      <c r="CI108" s="537"/>
      <c r="CJ108" s="386"/>
      <c r="CK108" s="416" t="s">
        <v>996</v>
      </c>
      <c r="CL108" s="417"/>
      <c r="CM108" s="379"/>
      <c r="EV108" s="13"/>
      <c r="EW108" s="286"/>
      <c r="EX108" s="286"/>
      <c r="EY108" s="286"/>
      <c r="EZ108" s="286"/>
      <c r="FA108" s="286"/>
      <c r="FB108" s="286"/>
      <c r="FC108" s="286"/>
      <c r="FD108" s="286"/>
      <c r="FE108" s="286"/>
      <c r="FF108" s="286"/>
      <c r="FG108" s="286"/>
      <c r="FH108" s="286"/>
      <c r="FI108" s="286"/>
      <c r="FJ108" s="286"/>
      <c r="FK108" s="286"/>
      <c r="FL108" s="286"/>
      <c r="FM108" s="286"/>
      <c r="FN108" s="286"/>
      <c r="FO108" s="286"/>
      <c r="FT108" s="12"/>
      <c r="FU108" s="3"/>
      <c r="FV108" s="3"/>
      <c r="FW108" s="357"/>
      <c r="FX108" s="344" t="s">
        <v>80</v>
      </c>
      <c r="FY108" s="345"/>
      <c r="FZ108" s="345"/>
      <c r="GA108" s="345"/>
      <c r="GB108" s="345"/>
      <c r="GC108" s="345"/>
      <c r="GD108" s="345"/>
      <c r="GE108" s="345"/>
      <c r="GF108" s="345"/>
      <c r="GG108" s="345"/>
      <c r="GH108" s="345"/>
      <c r="GI108" s="345"/>
      <c r="GJ108" s="345"/>
      <c r="GK108" s="388">
        <f>(GK112/GK120)</f>
        <v>895.76901730543693</v>
      </c>
      <c r="GL108" s="371"/>
      <c r="GM108" s="412" t="s">
        <v>990</v>
      </c>
      <c r="GN108" s="413"/>
      <c r="GO108" s="386"/>
      <c r="GP108" s="416" t="s">
        <v>1059</v>
      </c>
      <c r="GQ108" s="417"/>
      <c r="GR108" s="379"/>
      <c r="GS108" s="396"/>
      <c r="GT108" s="397"/>
      <c r="GU108" s="398"/>
      <c r="HA108" s="291"/>
      <c r="HB108" s="291"/>
      <c r="HC108" s="291"/>
      <c r="HD108" s="291"/>
      <c r="HE108" s="291"/>
      <c r="HF108" s="291"/>
      <c r="HG108" s="291"/>
      <c r="HH108" s="291"/>
      <c r="HI108" s="291"/>
      <c r="HJ108" s="291"/>
      <c r="HK108" s="291"/>
      <c r="HL108" s="291"/>
      <c r="HM108" s="291"/>
      <c r="HN108" s="291"/>
      <c r="HO108" s="291"/>
      <c r="HP108" s="291"/>
      <c r="HQ108" s="291"/>
      <c r="HR108" s="291"/>
      <c r="HS108" s="291"/>
      <c r="HT108" s="291"/>
      <c r="HU108" s="291"/>
      <c r="IH108" s="357"/>
      <c r="II108" s="344" t="s">
        <v>98</v>
      </c>
      <c r="IJ108" s="345"/>
      <c r="IK108" s="345"/>
      <c r="IL108" s="345"/>
      <c r="IM108" s="345"/>
      <c r="IN108" s="345"/>
      <c r="IO108" s="345"/>
      <c r="IP108" s="345"/>
      <c r="IQ108" s="345"/>
      <c r="IR108" s="345"/>
      <c r="IS108" s="345"/>
      <c r="IT108" s="345"/>
      <c r="IU108" s="345"/>
      <c r="IV108" s="348">
        <f>IV36+IV48+IV60+IV72+IV88</f>
        <v>1287.1904510087591</v>
      </c>
      <c r="IW108" s="349"/>
      <c r="IX108" s="352"/>
      <c r="IY108" s="353"/>
      <c r="IZ108" s="373"/>
      <c r="JA108" s="375" t="s">
        <v>604</v>
      </c>
      <c r="JB108" s="376"/>
      <c r="JC108" s="379"/>
      <c r="JX108" s="291"/>
      <c r="JY108" s="291"/>
      <c r="JZ108" s="291"/>
      <c r="KR108" s="291"/>
      <c r="KS108" s="291"/>
      <c r="KT108" s="291"/>
      <c r="KU108" s="291"/>
      <c r="LP108" s="357"/>
      <c r="LQ108" s="344" t="s">
        <v>148</v>
      </c>
      <c r="LR108" s="345"/>
      <c r="LS108" s="345"/>
      <c r="LT108" s="345"/>
      <c r="LU108" s="345"/>
      <c r="LV108" s="345"/>
      <c r="LW108" s="345"/>
      <c r="LX108" s="345"/>
      <c r="LY108" s="345"/>
      <c r="LZ108" s="345"/>
      <c r="MA108" s="345"/>
      <c r="MB108" s="345"/>
      <c r="MC108" s="345"/>
      <c r="MD108" s="348">
        <f>(CC40*1000)/(12*GK12*IV40)*MD124</f>
        <v>-0.19576258783763317</v>
      </c>
      <c r="ME108" s="349"/>
      <c r="MF108" s="390"/>
      <c r="MG108" s="371"/>
      <c r="MH108" s="373"/>
      <c r="MI108" s="375" t="s">
        <v>604</v>
      </c>
      <c r="MJ108" s="376"/>
      <c r="MK108" s="379"/>
      <c r="MY108" s="8" t="s">
        <v>210</v>
      </c>
      <c r="MZ108" s="10" t="s">
        <v>323</v>
      </c>
      <c r="NA108" s="6">
        <f>NA109*(GK32-(GK64/1000))*GK24*AN77</f>
        <v>17.740555027003644</v>
      </c>
      <c r="NB108" s="6"/>
      <c r="NE108" s="12"/>
      <c r="NF108" s="3"/>
      <c r="NG108" s="3"/>
      <c r="TT108" s="8"/>
      <c r="TU108" s="10"/>
      <c r="TV108" s="6"/>
      <c r="TW108" s="6"/>
      <c r="TZ108" s="12"/>
      <c r="UA108" s="3"/>
      <c r="UB108" s="3"/>
      <c r="VL108" s="357"/>
      <c r="VM108" s="384"/>
      <c r="VN108" s="384"/>
      <c r="VO108" s="384"/>
      <c r="VP108" s="384"/>
      <c r="VQ108" s="384"/>
      <c r="VR108" s="384"/>
      <c r="VS108" s="384"/>
      <c r="VT108" s="384"/>
      <c r="VU108" s="384"/>
      <c r="VV108" s="384"/>
      <c r="VW108" s="384"/>
      <c r="VX108" s="384"/>
      <c r="VY108" s="384"/>
      <c r="VZ108" s="348"/>
      <c r="WA108" s="349"/>
      <c r="WB108" s="370"/>
      <c r="WC108" s="371"/>
      <c r="WD108" s="386"/>
      <c r="WE108" s="375" t="s">
        <v>604</v>
      </c>
      <c r="WF108" s="376"/>
      <c r="WG108" s="379"/>
      <c r="ZG108" s="357"/>
      <c r="ZH108" s="344"/>
      <c r="ZI108" s="345"/>
      <c r="ZJ108" s="345"/>
      <c r="ZK108" s="345"/>
      <c r="ZL108" s="345"/>
      <c r="ZM108" s="345"/>
      <c r="ZN108" s="345"/>
      <c r="ZO108" s="345"/>
      <c r="ZP108" s="345"/>
      <c r="ZQ108" s="345"/>
      <c r="ZR108" s="345"/>
      <c r="ZS108" s="345"/>
      <c r="ZT108" s="368"/>
      <c r="ZU108" s="348"/>
      <c r="ZV108" s="349"/>
      <c r="ZW108" s="370"/>
      <c r="ZX108" s="371"/>
      <c r="ZY108" s="373"/>
      <c r="ZZ108" s="375" t="s">
        <v>604</v>
      </c>
      <c r="AAA108" s="376"/>
      <c r="AAB108" s="379"/>
    </row>
    <row r="109" spans="59:704" ht="48" customHeight="1" thickBot="1" x14ac:dyDescent="0.35">
      <c r="BG109" s="291"/>
      <c r="BK109" s="291"/>
      <c r="BO109" s="454"/>
      <c r="BP109" s="455"/>
      <c r="BQ109" s="456"/>
      <c r="BR109" s="358"/>
      <c r="BS109" s="517"/>
      <c r="BT109" s="518"/>
      <c r="BU109" s="518"/>
      <c r="BV109" s="518"/>
      <c r="BW109" s="518"/>
      <c r="BX109" s="518"/>
      <c r="BY109" s="518"/>
      <c r="BZ109" s="518"/>
      <c r="CA109" s="518"/>
      <c r="CB109" s="518"/>
      <c r="CC109" s="518"/>
      <c r="CD109" s="518"/>
      <c r="CE109" s="440"/>
      <c r="CF109" s="426"/>
      <c r="CG109" s="427"/>
      <c r="CH109" s="538"/>
      <c r="CI109" s="539"/>
      <c r="CJ109" s="387"/>
      <c r="CK109" s="418"/>
      <c r="CL109" s="419"/>
      <c r="CM109" s="380"/>
      <c r="EV109" s="12"/>
      <c r="EW109" s="286"/>
      <c r="EX109" s="286"/>
      <c r="EY109" s="286"/>
      <c r="EZ109" s="286"/>
      <c r="FA109" s="286"/>
      <c r="FB109" s="286"/>
      <c r="FC109" s="286"/>
      <c r="FD109" s="286"/>
      <c r="FE109" s="286"/>
      <c r="FF109" s="286"/>
      <c r="FG109" s="286"/>
      <c r="FH109" s="286"/>
      <c r="FI109" s="286"/>
      <c r="FJ109" s="286"/>
      <c r="FK109" s="286"/>
      <c r="FL109" s="286"/>
      <c r="FM109" s="286"/>
      <c r="FN109" s="286"/>
      <c r="FO109" s="286"/>
      <c r="FW109" s="358"/>
      <c r="FX109" s="346"/>
      <c r="FY109" s="347"/>
      <c r="FZ109" s="347"/>
      <c r="GA109" s="347"/>
      <c r="GB109" s="347"/>
      <c r="GC109" s="347"/>
      <c r="GD109" s="347"/>
      <c r="GE109" s="347"/>
      <c r="GF109" s="347"/>
      <c r="GG109" s="347"/>
      <c r="GH109" s="347"/>
      <c r="GI109" s="347"/>
      <c r="GJ109" s="347"/>
      <c r="GK109" s="389"/>
      <c r="GL109" s="372"/>
      <c r="GM109" s="414"/>
      <c r="GN109" s="415"/>
      <c r="GO109" s="387"/>
      <c r="GP109" s="418"/>
      <c r="GQ109" s="419"/>
      <c r="GR109" s="380"/>
      <c r="GS109" s="341"/>
      <c r="GT109" s="342"/>
      <c r="GU109" s="343"/>
      <c r="HM109" s="7"/>
      <c r="HN109" s="12"/>
      <c r="HO109" s="3"/>
      <c r="HP109" s="3"/>
      <c r="HS109" s="12"/>
      <c r="HT109" s="3"/>
      <c r="HU109" s="3"/>
      <c r="IH109" s="358"/>
      <c r="II109" s="346"/>
      <c r="IJ109" s="347"/>
      <c r="IK109" s="347"/>
      <c r="IL109" s="347"/>
      <c r="IM109" s="347"/>
      <c r="IN109" s="347"/>
      <c r="IO109" s="347"/>
      <c r="IP109" s="347"/>
      <c r="IQ109" s="347"/>
      <c r="IR109" s="347"/>
      <c r="IS109" s="347"/>
      <c r="IT109" s="347"/>
      <c r="IU109" s="347"/>
      <c r="IV109" s="350"/>
      <c r="IW109" s="351"/>
      <c r="IX109" s="354"/>
      <c r="IY109" s="355"/>
      <c r="IZ109" s="374"/>
      <c r="JA109" s="377"/>
      <c r="JB109" s="378"/>
      <c r="JC109" s="380"/>
      <c r="JX109" s="291"/>
      <c r="JY109" s="291"/>
      <c r="JZ109" s="291"/>
      <c r="KR109" s="291"/>
      <c r="KS109" s="291"/>
      <c r="KT109" s="291"/>
      <c r="KU109" s="291"/>
      <c r="LP109" s="358"/>
      <c r="LQ109" s="346"/>
      <c r="LR109" s="347"/>
      <c r="LS109" s="347"/>
      <c r="LT109" s="347"/>
      <c r="LU109" s="347"/>
      <c r="LV109" s="347"/>
      <c r="LW109" s="347"/>
      <c r="LX109" s="347"/>
      <c r="LY109" s="347"/>
      <c r="LZ109" s="347"/>
      <c r="MA109" s="347"/>
      <c r="MB109" s="347"/>
      <c r="MC109" s="347"/>
      <c r="MD109" s="350"/>
      <c r="ME109" s="351"/>
      <c r="MF109" s="347"/>
      <c r="MG109" s="372"/>
      <c r="MH109" s="374"/>
      <c r="MI109" s="377"/>
      <c r="MJ109" s="378"/>
      <c r="MK109" s="380"/>
      <c r="MY109" s="8"/>
      <c r="MZ109" s="10" t="s">
        <v>324</v>
      </c>
      <c r="NA109" s="6">
        <f>0.5*NA111*(((CC28*AH5)/10000)^(3/2))*(NA112*CC40*1000)^2</f>
        <v>305.99903723628415</v>
      </c>
      <c r="NB109" s="6"/>
      <c r="NE109" s="12"/>
      <c r="NF109" s="3"/>
      <c r="NG109" s="3"/>
      <c r="TT109" s="8"/>
      <c r="TU109" s="10"/>
      <c r="TV109" s="6"/>
      <c r="TW109" s="6"/>
      <c r="TZ109" s="12"/>
      <c r="UA109" s="3"/>
      <c r="UB109" s="3"/>
      <c r="VL109" s="358"/>
      <c r="VM109" s="385"/>
      <c r="VN109" s="385"/>
      <c r="VO109" s="385"/>
      <c r="VP109" s="385"/>
      <c r="VQ109" s="385"/>
      <c r="VR109" s="385"/>
      <c r="VS109" s="385"/>
      <c r="VT109" s="385"/>
      <c r="VU109" s="385"/>
      <c r="VV109" s="385"/>
      <c r="VW109" s="385"/>
      <c r="VX109" s="385"/>
      <c r="VY109" s="385"/>
      <c r="VZ109" s="350"/>
      <c r="WA109" s="351"/>
      <c r="WB109" s="346"/>
      <c r="WC109" s="372"/>
      <c r="WD109" s="387"/>
      <c r="WE109" s="377"/>
      <c r="WF109" s="378"/>
      <c r="WG109" s="380"/>
      <c r="ZG109" s="358"/>
      <c r="ZH109" s="346"/>
      <c r="ZI109" s="347"/>
      <c r="ZJ109" s="347"/>
      <c r="ZK109" s="347"/>
      <c r="ZL109" s="347"/>
      <c r="ZM109" s="347"/>
      <c r="ZN109" s="347"/>
      <c r="ZO109" s="347"/>
      <c r="ZP109" s="347"/>
      <c r="ZQ109" s="347"/>
      <c r="ZR109" s="347"/>
      <c r="ZS109" s="347"/>
      <c r="ZT109" s="369"/>
      <c r="ZU109" s="350"/>
      <c r="ZV109" s="351"/>
      <c r="ZW109" s="346"/>
      <c r="ZX109" s="372"/>
      <c r="ZY109" s="374"/>
      <c r="ZZ109" s="377"/>
      <c r="AAA109" s="378"/>
      <c r="AAB109" s="380"/>
    </row>
    <row r="110" spans="59:704" ht="48" customHeight="1" x14ac:dyDescent="0.3">
      <c r="BG110" s="291"/>
      <c r="BK110" s="291"/>
      <c r="EW110" s="286"/>
      <c r="EX110" s="286"/>
      <c r="EY110" s="286"/>
      <c r="EZ110" s="286"/>
      <c r="FA110" s="286"/>
      <c r="FB110" s="286"/>
      <c r="FC110" s="286"/>
      <c r="FD110" s="286"/>
      <c r="FE110" s="286"/>
      <c r="FF110" s="286"/>
      <c r="FG110" s="286"/>
      <c r="FH110" s="286"/>
      <c r="FI110" s="286"/>
      <c r="FJ110" s="286"/>
      <c r="FK110" s="286"/>
      <c r="FL110" s="286"/>
      <c r="FM110" s="286"/>
      <c r="FN110" s="286"/>
      <c r="FO110" s="286"/>
      <c r="GZ110" s="291"/>
      <c r="HA110" s="291"/>
      <c r="HB110" s="291"/>
      <c r="HC110" s="291"/>
      <c r="HD110" s="291"/>
      <c r="HE110" s="291"/>
      <c r="HF110" s="291"/>
      <c r="HG110" s="291"/>
      <c r="HH110" s="291"/>
      <c r="HI110" s="291"/>
      <c r="HM110" s="7"/>
      <c r="HN110" s="12"/>
      <c r="HO110" s="3"/>
      <c r="HP110" s="322"/>
      <c r="HQ110" s="322"/>
      <c r="HR110" s="322"/>
      <c r="HS110" s="322"/>
      <c r="HT110" s="322"/>
      <c r="HU110" s="3"/>
      <c r="HV110" s="291"/>
      <c r="HW110" s="291"/>
      <c r="HX110" s="291"/>
      <c r="HY110" s="291"/>
      <c r="HZ110" s="291"/>
      <c r="JX110" s="291"/>
      <c r="JY110" s="291"/>
      <c r="JZ110" s="291"/>
      <c r="KR110" s="291"/>
      <c r="KS110" s="291"/>
      <c r="KT110" s="291"/>
      <c r="KU110" s="291"/>
      <c r="MY110" s="8"/>
      <c r="MZ110" s="10" t="s">
        <v>306</v>
      </c>
      <c r="NA110" s="6">
        <f>NA111*AQ56*IV40</f>
        <v>1.2130555612697984</v>
      </c>
      <c r="NB110" s="6"/>
      <c r="NE110" s="12"/>
      <c r="NF110" s="3"/>
      <c r="NG110" s="3"/>
      <c r="TT110" s="8"/>
      <c r="TU110" s="10"/>
      <c r="TV110" s="6"/>
      <c r="TW110" s="6"/>
      <c r="TZ110" s="12"/>
      <c r="UA110" s="3"/>
      <c r="UB110" s="3"/>
    </row>
    <row r="111" spans="59:704" ht="48" customHeight="1" thickBot="1" x14ac:dyDescent="0.95">
      <c r="BO111" s="356"/>
      <c r="BP111" s="635"/>
      <c r="BQ111" s="636"/>
      <c r="BR111" s="295"/>
      <c r="BS111" s="310" t="s">
        <v>987</v>
      </c>
      <c r="BT111" s="299"/>
      <c r="BU111" s="175"/>
      <c r="BV111" s="175"/>
      <c r="BW111" s="175"/>
      <c r="BX111" s="175"/>
      <c r="BY111" s="295"/>
      <c r="BZ111" s="173" t="s">
        <v>629</v>
      </c>
      <c r="CA111" s="359" t="s">
        <v>623</v>
      </c>
      <c r="CB111" s="381"/>
      <c r="CC111" s="508" t="s">
        <v>189</v>
      </c>
      <c r="CD111" s="510"/>
      <c r="CE111" s="363" t="s">
        <v>910</v>
      </c>
      <c r="CF111" s="405"/>
      <c r="CG111" s="337" t="s">
        <v>638</v>
      </c>
      <c r="CH111" s="337"/>
      <c r="CI111" s="337"/>
      <c r="CJ111" s="337"/>
      <c r="CK111" s="337"/>
      <c r="CL111" s="337"/>
      <c r="CM111" s="365" t="s">
        <v>1008</v>
      </c>
      <c r="CN111" s="366"/>
      <c r="CO111" s="366"/>
      <c r="CP111" s="366"/>
      <c r="CQ111" s="367"/>
      <c r="CR111" s="365" t="s">
        <v>624</v>
      </c>
      <c r="CS111" s="366"/>
      <c r="CT111" s="366"/>
      <c r="CU111" s="367"/>
      <c r="EW111" s="286"/>
      <c r="EX111" s="286"/>
      <c r="EY111" s="286"/>
      <c r="EZ111" s="286"/>
      <c r="FA111" s="286"/>
      <c r="FB111" s="286"/>
      <c r="FC111" s="286"/>
      <c r="FD111" s="286"/>
      <c r="FE111" s="286"/>
      <c r="FF111" s="286"/>
      <c r="FG111" s="286"/>
      <c r="FH111" s="286"/>
      <c r="FI111" s="286"/>
      <c r="FJ111" s="286"/>
      <c r="FK111" s="286"/>
      <c r="FL111" s="286"/>
      <c r="FM111" s="286"/>
      <c r="FN111" s="286"/>
      <c r="FO111" s="286"/>
      <c r="FW111" s="356"/>
      <c r="FX111" s="297" t="s">
        <v>604</v>
      </c>
      <c r="FY111" s="298"/>
      <c r="FZ111" s="315"/>
      <c r="GA111" s="175"/>
      <c r="GB111" s="175"/>
      <c r="GC111" s="175"/>
      <c r="GD111" s="175"/>
      <c r="GE111" s="175"/>
      <c r="GF111" s="175"/>
      <c r="GG111" s="315"/>
      <c r="GH111" s="173" t="s">
        <v>629</v>
      </c>
      <c r="GI111" s="359" t="s">
        <v>623</v>
      </c>
      <c r="GJ111" s="381"/>
      <c r="GK111" s="382" t="s">
        <v>189</v>
      </c>
      <c r="GL111" s="383"/>
      <c r="GM111" s="363" t="s">
        <v>910</v>
      </c>
      <c r="GN111" s="364"/>
      <c r="GO111" s="365" t="s">
        <v>638</v>
      </c>
      <c r="GP111" s="366"/>
      <c r="GQ111" s="366"/>
      <c r="GR111" s="367"/>
      <c r="GS111" s="365" t="s">
        <v>624</v>
      </c>
      <c r="GT111" s="366"/>
      <c r="GU111" s="367"/>
      <c r="GZ111" s="291"/>
      <c r="HA111" s="291"/>
      <c r="HB111" s="291"/>
      <c r="HC111" s="291"/>
      <c r="HD111" s="291"/>
      <c r="HE111" s="291"/>
      <c r="HF111" s="291"/>
      <c r="HG111" s="291"/>
      <c r="HH111" s="291"/>
      <c r="HI111" s="291"/>
      <c r="HV111" s="291"/>
      <c r="HW111" s="291"/>
      <c r="HX111" s="291"/>
      <c r="HY111" s="291"/>
      <c r="HZ111" s="291"/>
      <c r="IA111" s="3"/>
      <c r="IB111" s="3"/>
      <c r="IH111" s="356"/>
      <c r="II111" s="297" t="s">
        <v>604</v>
      </c>
      <c r="IJ111" s="298"/>
      <c r="IK111" s="321"/>
      <c r="IL111" s="175"/>
      <c r="IM111" s="175"/>
      <c r="IN111" s="175"/>
      <c r="IO111" s="175"/>
      <c r="IP111" s="175"/>
      <c r="IQ111" s="175"/>
      <c r="IR111" s="321"/>
      <c r="IS111" s="173" t="s">
        <v>629</v>
      </c>
      <c r="IT111" s="359" t="s">
        <v>623</v>
      </c>
      <c r="IU111" s="360"/>
      <c r="IV111" s="361" t="s">
        <v>189</v>
      </c>
      <c r="IW111" s="362"/>
      <c r="IX111" s="363" t="s">
        <v>910</v>
      </c>
      <c r="IY111" s="364"/>
      <c r="IZ111" s="365" t="s">
        <v>638</v>
      </c>
      <c r="JA111" s="366"/>
      <c r="JB111" s="366"/>
      <c r="JC111" s="367"/>
      <c r="JX111" s="291"/>
      <c r="JY111" s="291"/>
      <c r="JZ111" s="291"/>
      <c r="KR111" s="291"/>
      <c r="KS111" s="291"/>
      <c r="KT111" s="291"/>
      <c r="KU111" s="291"/>
      <c r="LP111" s="356"/>
      <c r="LQ111" s="297" t="s">
        <v>604</v>
      </c>
      <c r="LR111" s="298"/>
      <c r="LS111" s="331"/>
      <c r="LT111" s="175"/>
      <c r="LU111" s="175"/>
      <c r="LV111" s="175"/>
      <c r="LW111" s="175"/>
      <c r="LX111" s="175"/>
      <c r="LY111" s="175"/>
      <c r="LZ111" s="331"/>
      <c r="MA111" s="173" t="s">
        <v>629</v>
      </c>
      <c r="MB111" s="359" t="s">
        <v>623</v>
      </c>
      <c r="MC111" s="360"/>
      <c r="MD111" s="382" t="s">
        <v>189</v>
      </c>
      <c r="ME111" s="383"/>
      <c r="MF111" s="363" t="s">
        <v>910</v>
      </c>
      <c r="MG111" s="364"/>
      <c r="MH111" s="365" t="s">
        <v>638</v>
      </c>
      <c r="MI111" s="366"/>
      <c r="MJ111" s="366"/>
      <c r="MK111" s="367"/>
      <c r="MY111" s="8"/>
      <c r="MZ111" s="11" t="s">
        <v>305</v>
      </c>
      <c r="NA111" s="4">
        <v>1.6</v>
      </c>
      <c r="NB111" s="6"/>
      <c r="NE111" s="12"/>
      <c r="NF111" s="3"/>
      <c r="NG111" s="3"/>
      <c r="TT111" s="8" t="s">
        <v>232</v>
      </c>
      <c r="TU111" s="10" t="s">
        <v>273</v>
      </c>
      <c r="TV111" s="6">
        <f>(TV102/(1+TV103))*1000</f>
        <v>18.734323719449069</v>
      </c>
      <c r="TW111" s="6"/>
      <c r="TZ111" s="12"/>
      <c r="UA111" s="3"/>
      <c r="UB111" s="3"/>
      <c r="VL111" s="356"/>
      <c r="VM111" s="297" t="s">
        <v>604</v>
      </c>
      <c r="VN111" s="298"/>
      <c r="VO111" s="321"/>
      <c r="VP111" s="175"/>
      <c r="VQ111" s="175"/>
      <c r="VR111" s="175"/>
      <c r="VS111" s="175"/>
      <c r="VT111" s="175"/>
      <c r="VU111" s="175"/>
      <c r="VV111" s="321"/>
      <c r="VW111" s="173" t="s">
        <v>629</v>
      </c>
      <c r="VX111" s="359" t="s">
        <v>623</v>
      </c>
      <c r="VY111" s="381"/>
      <c r="VZ111" s="382" t="s">
        <v>189</v>
      </c>
      <c r="WA111" s="383"/>
      <c r="WB111" s="363" t="s">
        <v>910</v>
      </c>
      <c r="WC111" s="364"/>
      <c r="WD111" s="365" t="s">
        <v>638</v>
      </c>
      <c r="WE111" s="366"/>
      <c r="WF111" s="366"/>
      <c r="WG111" s="367"/>
      <c r="ZG111" s="356"/>
      <c r="ZH111" s="297" t="s">
        <v>604</v>
      </c>
      <c r="ZI111" s="298"/>
      <c r="ZJ111" s="321"/>
      <c r="ZK111" s="175"/>
      <c r="ZL111" s="175"/>
      <c r="ZM111" s="175"/>
      <c r="ZN111" s="175"/>
      <c r="ZO111" s="175"/>
      <c r="ZP111" s="175"/>
      <c r="ZQ111" s="321"/>
      <c r="ZR111" s="173" t="s">
        <v>629</v>
      </c>
      <c r="ZS111" s="359" t="s">
        <v>623</v>
      </c>
      <c r="ZT111" s="381"/>
      <c r="ZU111" s="382" t="s">
        <v>189</v>
      </c>
      <c r="ZV111" s="383"/>
      <c r="ZW111" s="363" t="s">
        <v>910</v>
      </c>
      <c r="ZX111" s="364"/>
      <c r="ZY111" s="365" t="s">
        <v>638</v>
      </c>
      <c r="ZZ111" s="366"/>
      <c r="AAA111" s="366"/>
      <c r="AAB111" s="367"/>
    </row>
    <row r="112" spans="59:704" ht="48" customHeight="1" x14ac:dyDescent="0.3">
      <c r="BO112" s="357"/>
      <c r="BP112" s="514" t="s">
        <v>986</v>
      </c>
      <c r="BQ112" s="515"/>
      <c r="BR112" s="515"/>
      <c r="BS112" s="515"/>
      <c r="BT112" s="515"/>
      <c r="BU112" s="515"/>
      <c r="BV112" s="515"/>
      <c r="BW112" s="515"/>
      <c r="BX112" s="515"/>
      <c r="BY112" s="515"/>
      <c r="BZ112" s="515"/>
      <c r="CA112" s="515"/>
      <c r="CB112" s="516"/>
      <c r="CC112" s="467">
        <f>CF104*CF108</f>
        <v>6.5640000000000001</v>
      </c>
      <c r="CD112" s="468"/>
      <c r="CE112" s="412" t="s">
        <v>988</v>
      </c>
      <c r="CF112" s="413"/>
      <c r="CG112" s="524"/>
      <c r="CH112" s="528" t="s">
        <v>998</v>
      </c>
      <c r="CI112" s="528"/>
      <c r="CJ112" s="528"/>
      <c r="CK112" s="528"/>
      <c r="CL112" s="526"/>
      <c r="CM112" s="470"/>
      <c r="CN112" s="496" t="s">
        <v>985</v>
      </c>
      <c r="CO112" s="497"/>
      <c r="CP112" s="498"/>
      <c r="CQ112" s="470"/>
      <c r="CR112" s="156"/>
      <c r="CS112" s="152"/>
      <c r="CT112" s="152"/>
      <c r="CU112" s="153"/>
      <c r="EW112" s="286"/>
      <c r="EX112" s="286"/>
      <c r="EY112" s="286"/>
      <c r="EZ112" s="286"/>
      <c r="FA112" s="286"/>
      <c r="FB112" s="286"/>
      <c r="FC112" s="286"/>
      <c r="FD112" s="286"/>
      <c r="FE112" s="286"/>
      <c r="FF112" s="286"/>
      <c r="FG112" s="286"/>
      <c r="FH112" s="286"/>
      <c r="FI112" s="286"/>
      <c r="FJ112" s="286"/>
      <c r="FK112" s="286"/>
      <c r="FL112" s="286"/>
      <c r="FM112" s="286"/>
      <c r="FN112" s="286"/>
      <c r="FO112" s="286"/>
      <c r="FW112" s="357"/>
      <c r="FX112" s="344" t="s">
        <v>1041</v>
      </c>
      <c r="FY112" s="345"/>
      <c r="FZ112" s="345"/>
      <c r="GA112" s="345"/>
      <c r="GB112" s="345"/>
      <c r="GC112" s="345"/>
      <c r="GD112" s="345"/>
      <c r="GE112" s="345"/>
      <c r="GF112" s="345"/>
      <c r="GG112" s="345"/>
      <c r="GH112" s="345"/>
      <c r="GI112" s="345"/>
      <c r="GJ112" s="345"/>
      <c r="GK112" s="388">
        <f>GK44/GK116</f>
        <v>2316.5204872543873</v>
      </c>
      <c r="GL112" s="371"/>
      <c r="GM112" s="406"/>
      <c r="GN112" s="408"/>
      <c r="GO112" s="386"/>
      <c r="GP112" s="375" t="s">
        <v>604</v>
      </c>
      <c r="GQ112" s="376"/>
      <c r="GR112" s="379"/>
      <c r="GS112" s="396"/>
      <c r="GT112" s="397"/>
      <c r="GU112" s="398"/>
      <c r="GZ112" s="291"/>
      <c r="HA112" s="291"/>
      <c r="HB112" s="291"/>
      <c r="HC112" s="291"/>
      <c r="HD112" s="291"/>
      <c r="HE112" s="291"/>
      <c r="HF112" s="291"/>
      <c r="HG112" s="291"/>
      <c r="HH112" s="291"/>
      <c r="HI112" s="291"/>
      <c r="HV112" s="291"/>
      <c r="HW112" s="291"/>
      <c r="HX112" s="291"/>
      <c r="HY112" s="291"/>
      <c r="HZ112" s="291"/>
      <c r="IA112" s="3"/>
      <c r="IB112" s="3"/>
      <c r="IH112" s="357"/>
      <c r="II112" s="344" t="s">
        <v>99</v>
      </c>
      <c r="IJ112" s="345"/>
      <c r="IK112" s="345"/>
      <c r="IL112" s="345"/>
      <c r="IM112" s="345"/>
      <c r="IN112" s="345"/>
      <c r="IO112" s="345"/>
      <c r="IP112" s="345"/>
      <c r="IQ112" s="345"/>
      <c r="IR112" s="345"/>
      <c r="IS112" s="345"/>
      <c r="IT112" s="345"/>
      <c r="IU112" s="345"/>
      <c r="IV112" s="348">
        <f>IV108/IV36</f>
        <v>1.6403192660660255</v>
      </c>
      <c r="IW112" s="349"/>
      <c r="IX112" s="352"/>
      <c r="IY112" s="353"/>
      <c r="IZ112" s="373"/>
      <c r="JA112" s="375" t="s">
        <v>604</v>
      </c>
      <c r="JB112" s="376"/>
      <c r="JC112" s="379"/>
      <c r="JX112" s="291"/>
      <c r="JY112" s="291"/>
      <c r="JZ112" s="291"/>
      <c r="KR112" s="291"/>
      <c r="KS112" s="291"/>
      <c r="KT112" s="291"/>
      <c r="KU112" s="291"/>
      <c r="LP112" s="357"/>
      <c r="LQ112" s="344" t="s">
        <v>192</v>
      </c>
      <c r="LR112" s="345"/>
      <c r="LS112" s="345"/>
      <c r="LT112" s="345"/>
      <c r="LU112" s="345"/>
      <c r="LV112" s="345"/>
      <c r="LW112" s="345"/>
      <c r="LX112" s="345"/>
      <c r="LY112" s="345"/>
      <c r="LZ112" s="345"/>
      <c r="MA112" s="345"/>
      <c r="MB112" s="345"/>
      <c r="MC112" s="345"/>
      <c r="MD112" s="348">
        <f>'Расчет пазов'!D82</f>
        <v>1.1806884570320482</v>
      </c>
      <c r="ME112" s="349"/>
      <c r="MF112" s="390"/>
      <c r="MG112" s="371"/>
      <c r="MH112" s="373"/>
      <c r="MI112" s="375" t="s">
        <v>604</v>
      </c>
      <c r="MJ112" s="376"/>
      <c r="MK112" s="379"/>
      <c r="MY112" s="8"/>
      <c r="MZ112" s="11" t="s">
        <v>306</v>
      </c>
      <c r="NA112" s="4">
        <v>0.2</v>
      </c>
      <c r="NB112" s="6"/>
      <c r="NE112" s="12"/>
      <c r="NF112" s="3"/>
      <c r="NG112" s="3"/>
      <c r="TT112" s="8" t="s">
        <v>233</v>
      </c>
      <c r="TU112" s="10" t="s">
        <v>277</v>
      </c>
      <c r="TV112" s="6"/>
      <c r="TW112" s="6"/>
      <c r="TZ112" s="10" t="s">
        <v>543</v>
      </c>
      <c r="UA112" s="6">
        <f>GK88/2</f>
        <v>2.5696127011138268</v>
      </c>
      <c r="UB112" s="3"/>
      <c r="VL112" s="357"/>
      <c r="VM112" s="384"/>
      <c r="VN112" s="384"/>
      <c r="VO112" s="384"/>
      <c r="VP112" s="384"/>
      <c r="VQ112" s="384"/>
      <c r="VR112" s="384"/>
      <c r="VS112" s="384"/>
      <c r="VT112" s="384"/>
      <c r="VU112" s="384"/>
      <c r="VV112" s="384"/>
      <c r="VW112" s="384"/>
      <c r="VX112" s="384"/>
      <c r="VY112" s="384"/>
      <c r="VZ112" s="348"/>
      <c r="WA112" s="349"/>
      <c r="WB112" s="370"/>
      <c r="WC112" s="371"/>
      <c r="WD112" s="386"/>
      <c r="WE112" s="375" t="s">
        <v>604</v>
      </c>
      <c r="WF112" s="376"/>
      <c r="WG112" s="379"/>
      <c r="ZG112" s="357"/>
      <c r="ZH112" s="384"/>
      <c r="ZI112" s="384"/>
      <c r="ZJ112" s="384"/>
      <c r="ZK112" s="384"/>
      <c r="ZL112" s="384"/>
      <c r="ZM112" s="384"/>
      <c r="ZN112" s="384"/>
      <c r="ZO112" s="384"/>
      <c r="ZP112" s="384"/>
      <c r="ZQ112" s="384"/>
      <c r="ZR112" s="384"/>
      <c r="ZS112" s="384"/>
      <c r="ZT112" s="384"/>
      <c r="ZU112" s="348"/>
      <c r="ZV112" s="349"/>
      <c r="ZW112" s="370"/>
      <c r="ZX112" s="371"/>
      <c r="ZY112" s="386"/>
      <c r="ZZ112" s="375" t="s">
        <v>604</v>
      </c>
      <c r="AAA112" s="376"/>
      <c r="AAB112" s="379"/>
    </row>
    <row r="113" spans="67:704" ht="48" customHeight="1" thickBot="1" x14ac:dyDescent="0.35">
      <c r="BO113" s="358"/>
      <c r="BP113" s="517"/>
      <c r="BQ113" s="518"/>
      <c r="BR113" s="518"/>
      <c r="BS113" s="518"/>
      <c r="BT113" s="518"/>
      <c r="BU113" s="518"/>
      <c r="BV113" s="518"/>
      <c r="BW113" s="518"/>
      <c r="BX113" s="518"/>
      <c r="BY113" s="518"/>
      <c r="BZ113" s="518"/>
      <c r="CA113" s="518"/>
      <c r="CB113" s="440"/>
      <c r="CC113" s="389"/>
      <c r="CD113" s="372"/>
      <c r="CE113" s="414"/>
      <c r="CF113" s="415"/>
      <c r="CG113" s="525"/>
      <c r="CH113" s="529"/>
      <c r="CI113" s="529"/>
      <c r="CJ113" s="529"/>
      <c r="CK113" s="529"/>
      <c r="CL113" s="527"/>
      <c r="CM113" s="380"/>
      <c r="CN113" s="499"/>
      <c r="CO113" s="500"/>
      <c r="CP113" s="501"/>
      <c r="CQ113" s="380"/>
      <c r="CR113" s="192"/>
      <c r="CS113" s="190"/>
      <c r="CT113" s="190"/>
      <c r="CU113" s="191"/>
      <c r="EW113" s="286"/>
      <c r="EX113" s="286"/>
      <c r="EY113" s="286"/>
      <c r="EZ113" s="286"/>
      <c r="FA113" s="286"/>
      <c r="FB113" s="286"/>
      <c r="FC113" s="286"/>
      <c r="FD113" s="286"/>
      <c r="FE113" s="286"/>
      <c r="FF113" s="286"/>
      <c r="FG113" s="286"/>
      <c r="FH113" s="286"/>
      <c r="FI113" s="286"/>
      <c r="FJ113" s="286"/>
      <c r="FK113" s="286"/>
      <c r="FL113" s="286"/>
      <c r="FM113" s="286"/>
      <c r="FN113" s="286"/>
      <c r="FO113" s="286"/>
      <c r="FW113" s="358"/>
      <c r="FX113" s="346"/>
      <c r="FY113" s="347"/>
      <c r="FZ113" s="347"/>
      <c r="GA113" s="347"/>
      <c r="GB113" s="347"/>
      <c r="GC113" s="347"/>
      <c r="GD113" s="347"/>
      <c r="GE113" s="347"/>
      <c r="GF113" s="347"/>
      <c r="GG113" s="347"/>
      <c r="GH113" s="347"/>
      <c r="GI113" s="347"/>
      <c r="GJ113" s="347"/>
      <c r="GK113" s="389"/>
      <c r="GL113" s="372"/>
      <c r="GM113" s="409"/>
      <c r="GN113" s="411"/>
      <c r="GO113" s="387"/>
      <c r="GP113" s="377"/>
      <c r="GQ113" s="378"/>
      <c r="GR113" s="380"/>
      <c r="GS113" s="341"/>
      <c r="GT113" s="342"/>
      <c r="GU113" s="343"/>
      <c r="GZ113" s="291"/>
      <c r="HA113" s="291"/>
      <c r="HB113" s="291"/>
      <c r="HC113" s="291"/>
      <c r="HD113" s="291"/>
      <c r="HE113" s="291"/>
      <c r="HF113" s="291"/>
      <c r="HG113" s="291"/>
      <c r="HH113" s="291"/>
      <c r="HI113" s="291"/>
      <c r="HV113" s="291"/>
      <c r="HW113" s="291"/>
      <c r="HX113" s="291"/>
      <c r="HY113" s="291"/>
      <c r="HZ113" s="291"/>
      <c r="IA113" s="3"/>
      <c r="IB113" s="3"/>
      <c r="IH113" s="358"/>
      <c r="II113" s="346"/>
      <c r="IJ113" s="347"/>
      <c r="IK113" s="347"/>
      <c r="IL113" s="347"/>
      <c r="IM113" s="347"/>
      <c r="IN113" s="347"/>
      <c r="IO113" s="347"/>
      <c r="IP113" s="347"/>
      <c r="IQ113" s="347"/>
      <c r="IR113" s="347"/>
      <c r="IS113" s="347"/>
      <c r="IT113" s="347"/>
      <c r="IU113" s="347"/>
      <c r="IV113" s="350"/>
      <c r="IW113" s="351"/>
      <c r="IX113" s="354"/>
      <c r="IY113" s="355"/>
      <c r="IZ113" s="374"/>
      <c r="JA113" s="377"/>
      <c r="JB113" s="378"/>
      <c r="JC113" s="380"/>
      <c r="JZ113" s="7"/>
      <c r="LP113" s="358"/>
      <c r="LQ113" s="346"/>
      <c r="LR113" s="347"/>
      <c r="LS113" s="347"/>
      <c r="LT113" s="347"/>
      <c r="LU113" s="347"/>
      <c r="LV113" s="347"/>
      <c r="LW113" s="347"/>
      <c r="LX113" s="347"/>
      <c r="LY113" s="347"/>
      <c r="LZ113" s="347"/>
      <c r="MA113" s="347"/>
      <c r="MB113" s="347"/>
      <c r="MC113" s="347"/>
      <c r="MD113" s="350"/>
      <c r="ME113" s="351"/>
      <c r="MF113" s="347"/>
      <c r="MG113" s="372"/>
      <c r="MH113" s="374"/>
      <c r="MI113" s="377"/>
      <c r="MJ113" s="378"/>
      <c r="MK113" s="380"/>
      <c r="MY113" s="8"/>
      <c r="MZ113" s="15"/>
      <c r="NA113" s="8"/>
      <c r="NB113" s="6"/>
      <c r="NE113" s="12"/>
      <c r="NF113" s="3"/>
      <c r="NG113" s="3"/>
      <c r="TT113" s="8"/>
      <c r="TU113" s="10"/>
      <c r="TV113" s="6"/>
      <c r="TW113" s="6"/>
      <c r="TZ113" s="12"/>
      <c r="UA113" s="3"/>
      <c r="UB113" s="3"/>
      <c r="VL113" s="358"/>
      <c r="VM113" s="385"/>
      <c r="VN113" s="385"/>
      <c r="VO113" s="385"/>
      <c r="VP113" s="385"/>
      <c r="VQ113" s="385"/>
      <c r="VR113" s="385"/>
      <c r="VS113" s="385"/>
      <c r="VT113" s="385"/>
      <c r="VU113" s="385"/>
      <c r="VV113" s="385"/>
      <c r="VW113" s="385"/>
      <c r="VX113" s="385"/>
      <c r="VY113" s="385"/>
      <c r="VZ113" s="350"/>
      <c r="WA113" s="351"/>
      <c r="WB113" s="346"/>
      <c r="WC113" s="372"/>
      <c r="WD113" s="387"/>
      <c r="WE113" s="377"/>
      <c r="WF113" s="378"/>
      <c r="WG113" s="380"/>
      <c r="ZG113" s="358"/>
      <c r="ZH113" s="385"/>
      <c r="ZI113" s="385"/>
      <c r="ZJ113" s="385"/>
      <c r="ZK113" s="385"/>
      <c r="ZL113" s="385"/>
      <c r="ZM113" s="385"/>
      <c r="ZN113" s="385"/>
      <c r="ZO113" s="385"/>
      <c r="ZP113" s="385"/>
      <c r="ZQ113" s="385"/>
      <c r="ZR113" s="385"/>
      <c r="ZS113" s="385"/>
      <c r="ZT113" s="385"/>
      <c r="ZU113" s="350"/>
      <c r="ZV113" s="351"/>
      <c r="ZW113" s="346"/>
      <c r="ZX113" s="372"/>
      <c r="ZY113" s="387"/>
      <c r="ZZ113" s="377"/>
      <c r="AAA113" s="378"/>
      <c r="AAB113" s="380"/>
    </row>
    <row r="114" spans="67:704" ht="48" customHeight="1" x14ac:dyDescent="0.3">
      <c r="BX114" s="286"/>
      <c r="BY114" s="286"/>
      <c r="BZ114" s="286"/>
      <c r="CA114" s="286"/>
      <c r="EW114" s="286"/>
      <c r="EX114" s="286"/>
      <c r="EY114" s="286"/>
      <c r="EZ114" s="286"/>
      <c r="FA114" s="286"/>
      <c r="FB114" s="286"/>
      <c r="FC114" s="286"/>
      <c r="FD114" s="286"/>
      <c r="FE114" s="286"/>
      <c r="FF114" s="286"/>
      <c r="FG114" s="286"/>
      <c r="FH114" s="286"/>
      <c r="FI114" s="286"/>
      <c r="FJ114" s="286"/>
      <c r="FK114" s="286"/>
      <c r="FL114" s="286"/>
      <c r="FM114" s="286"/>
      <c r="FN114" s="286"/>
      <c r="FO114" s="286"/>
      <c r="GZ114" s="291"/>
      <c r="HA114" s="291"/>
      <c r="HB114" s="291"/>
      <c r="HC114" s="291"/>
      <c r="HD114" s="291"/>
      <c r="HE114" s="291"/>
      <c r="HF114" s="291"/>
      <c r="HG114" s="291"/>
      <c r="HH114" s="291"/>
      <c r="HI114" s="291"/>
      <c r="HV114" s="291"/>
      <c r="HW114" s="291"/>
      <c r="HX114" s="291"/>
      <c r="HY114" s="291"/>
      <c r="HZ114" s="291"/>
      <c r="IA114" s="3"/>
      <c r="IB114" s="3"/>
      <c r="MY114" s="8"/>
      <c r="MZ114" s="10"/>
      <c r="NA114" s="6"/>
      <c r="NB114" s="6"/>
      <c r="NE114" s="12"/>
      <c r="NF114" s="3"/>
      <c r="NG114" s="3"/>
      <c r="TT114" s="8"/>
      <c r="TU114" s="10"/>
      <c r="TV114" s="6"/>
      <c r="TW114" s="6"/>
      <c r="TZ114" s="12"/>
      <c r="UA114" s="3"/>
      <c r="UB114" s="3"/>
    </row>
    <row r="115" spans="67:704" ht="48" customHeight="1" thickBot="1" x14ac:dyDescent="0.35">
      <c r="BO115" s="356"/>
      <c r="BP115" s="546" t="s">
        <v>44</v>
      </c>
      <c r="BQ115" s="547"/>
      <c r="BR115" s="295"/>
      <c r="BS115" s="302" t="s">
        <v>976</v>
      </c>
      <c r="BT115" s="253"/>
      <c r="BU115" s="175"/>
      <c r="BV115" s="175"/>
      <c r="BW115" s="175"/>
      <c r="BX115" s="175"/>
      <c r="BY115" s="295"/>
      <c r="BZ115" s="173" t="s">
        <v>629</v>
      </c>
      <c r="CA115" s="359" t="s">
        <v>623</v>
      </c>
      <c r="CB115" s="381"/>
      <c r="CC115" s="382" t="s">
        <v>189</v>
      </c>
      <c r="CD115" s="383"/>
      <c r="CE115" s="363" t="s">
        <v>910</v>
      </c>
      <c r="CF115" s="364"/>
      <c r="CG115" s="365" t="s">
        <v>638</v>
      </c>
      <c r="CH115" s="366"/>
      <c r="CI115" s="366"/>
      <c r="CJ115" s="367"/>
      <c r="CK115" s="365" t="s">
        <v>624</v>
      </c>
      <c r="CL115" s="366"/>
      <c r="CM115" s="366"/>
      <c r="CN115" s="367"/>
      <c r="EW115" s="286"/>
      <c r="EX115" s="286"/>
      <c r="EY115" s="286"/>
      <c r="EZ115" s="286"/>
      <c r="FA115" s="286"/>
      <c r="FB115" s="286"/>
      <c r="FC115" s="286"/>
      <c r="FD115" s="286"/>
      <c r="FE115" s="286"/>
      <c r="FF115" s="286"/>
      <c r="FG115" s="286"/>
      <c r="FH115" s="286"/>
      <c r="FI115" s="286"/>
      <c r="FJ115" s="286"/>
      <c r="FK115" s="286"/>
      <c r="FL115" s="286"/>
      <c r="FM115" s="286"/>
      <c r="FN115" s="286"/>
      <c r="FO115" s="286"/>
      <c r="FW115" s="356"/>
      <c r="FX115" s="297" t="s">
        <v>604</v>
      </c>
      <c r="FY115" s="298"/>
      <c r="FZ115" s="315"/>
      <c r="GA115" s="175"/>
      <c r="GB115" s="175"/>
      <c r="GC115" s="175"/>
      <c r="GD115" s="175"/>
      <c r="GE115" s="175"/>
      <c r="GF115" s="175"/>
      <c r="GG115" s="315"/>
      <c r="GH115" s="173" t="s">
        <v>629</v>
      </c>
      <c r="GI115" s="359" t="s">
        <v>623</v>
      </c>
      <c r="GJ115" s="360"/>
      <c r="GK115" s="361" t="s">
        <v>189</v>
      </c>
      <c r="GL115" s="362"/>
      <c r="GM115" s="363" t="s">
        <v>910</v>
      </c>
      <c r="GN115" s="364"/>
      <c r="GO115" s="365" t="s">
        <v>638</v>
      </c>
      <c r="GP115" s="366"/>
      <c r="GQ115" s="366"/>
      <c r="GR115" s="367"/>
      <c r="GS115" s="337" t="s">
        <v>624</v>
      </c>
      <c r="GT115" s="337"/>
      <c r="GU115" s="337"/>
      <c r="GV115" s="337"/>
      <c r="GZ115" s="291"/>
      <c r="HA115" s="291"/>
      <c r="HB115" s="291"/>
      <c r="HC115" s="291"/>
      <c r="HD115" s="291"/>
      <c r="HE115" s="291"/>
      <c r="HF115" s="291"/>
      <c r="HG115" s="291"/>
      <c r="HH115" s="291"/>
      <c r="HI115" s="291"/>
      <c r="HV115" s="291"/>
      <c r="HW115" s="291"/>
      <c r="HX115" s="291"/>
      <c r="HY115" s="291"/>
      <c r="HZ115" s="291"/>
      <c r="IA115" s="3"/>
      <c r="IB115" s="3"/>
      <c r="IH115" s="356"/>
      <c r="II115" s="297" t="s">
        <v>604</v>
      </c>
      <c r="IJ115" s="298"/>
      <c r="IK115" s="321"/>
      <c r="IL115" s="175"/>
      <c r="IM115" s="175"/>
      <c r="IN115" s="175"/>
      <c r="IO115" s="175"/>
      <c r="IP115" s="175"/>
      <c r="IQ115" s="175"/>
      <c r="IR115" s="321"/>
      <c r="IS115" s="173" t="s">
        <v>629</v>
      </c>
      <c r="IT115" s="359" t="s">
        <v>623</v>
      </c>
      <c r="IU115" s="360"/>
      <c r="IV115" s="382" t="s">
        <v>189</v>
      </c>
      <c r="IW115" s="383"/>
      <c r="IX115" s="363" t="s">
        <v>910</v>
      </c>
      <c r="IY115" s="364"/>
      <c r="IZ115" s="365" t="s">
        <v>638</v>
      </c>
      <c r="JA115" s="366"/>
      <c r="JB115" s="366"/>
      <c r="JC115" s="367"/>
      <c r="LP115" s="356"/>
      <c r="LQ115" s="297" t="s">
        <v>604</v>
      </c>
      <c r="LR115" s="298"/>
      <c r="LS115" s="331"/>
      <c r="LT115" s="175"/>
      <c r="LU115" s="175"/>
      <c r="LV115" s="175"/>
      <c r="LW115" s="175"/>
      <c r="LX115" s="175"/>
      <c r="LY115" s="175"/>
      <c r="LZ115" s="331"/>
      <c r="MA115" s="173" t="s">
        <v>629</v>
      </c>
      <c r="MB115" s="359" t="s">
        <v>623</v>
      </c>
      <c r="MC115" s="360"/>
      <c r="MD115" s="361" t="s">
        <v>189</v>
      </c>
      <c r="ME115" s="362"/>
      <c r="MF115" s="363" t="s">
        <v>910</v>
      </c>
      <c r="MG115" s="364"/>
      <c r="MH115" s="365" t="s">
        <v>638</v>
      </c>
      <c r="MI115" s="366"/>
      <c r="MJ115" s="366"/>
      <c r="MK115" s="367"/>
      <c r="MY115" s="8"/>
      <c r="MZ115" s="10"/>
      <c r="NA115" s="6"/>
      <c r="NB115" s="6"/>
      <c r="NE115" s="12"/>
      <c r="NF115" s="3"/>
      <c r="NG115" s="3"/>
      <c r="TT115" s="8"/>
      <c r="TU115" s="10" t="s">
        <v>545</v>
      </c>
      <c r="TV115" s="6">
        <f>(GK88-(GK88-GK80/GK92))*(TV111-UA112)</f>
        <v>8.3482224667060372</v>
      </c>
      <c r="TW115" s="6"/>
      <c r="TZ115" s="12"/>
      <c r="UA115" s="3"/>
      <c r="UB115" s="3"/>
      <c r="VL115" s="356"/>
      <c r="VM115" s="297" t="s">
        <v>604</v>
      </c>
      <c r="VN115" s="298"/>
      <c r="VO115" s="321"/>
      <c r="VP115" s="175"/>
      <c r="VQ115" s="175"/>
      <c r="VR115" s="175"/>
      <c r="VS115" s="175"/>
      <c r="VT115" s="175"/>
      <c r="VU115" s="175"/>
      <c r="VV115" s="321"/>
      <c r="VW115" s="173" t="s">
        <v>629</v>
      </c>
      <c r="VX115" s="359" t="s">
        <v>623</v>
      </c>
      <c r="VY115" s="381"/>
      <c r="VZ115" s="382" t="s">
        <v>189</v>
      </c>
      <c r="WA115" s="383"/>
      <c r="WB115" s="363" t="s">
        <v>910</v>
      </c>
      <c r="WC115" s="364"/>
      <c r="WD115" s="365" t="s">
        <v>638</v>
      </c>
      <c r="WE115" s="366"/>
      <c r="WF115" s="366"/>
      <c r="WG115" s="367"/>
      <c r="ZG115" s="356"/>
      <c r="ZH115" s="297" t="s">
        <v>604</v>
      </c>
      <c r="ZI115" s="298"/>
      <c r="ZJ115" s="321"/>
      <c r="ZK115" s="175"/>
      <c r="ZL115" s="175"/>
      <c r="ZM115" s="175"/>
      <c r="ZN115" s="175"/>
      <c r="ZO115" s="175"/>
      <c r="ZP115" s="175"/>
      <c r="ZQ115" s="321"/>
      <c r="ZR115" s="173" t="s">
        <v>629</v>
      </c>
      <c r="ZS115" s="359" t="s">
        <v>623</v>
      </c>
      <c r="ZT115" s="381"/>
      <c r="ZU115" s="382" t="s">
        <v>189</v>
      </c>
      <c r="ZV115" s="383"/>
      <c r="ZW115" s="363" t="s">
        <v>910</v>
      </c>
      <c r="ZX115" s="364"/>
      <c r="ZY115" s="365" t="s">
        <v>638</v>
      </c>
      <c r="ZZ115" s="366"/>
      <c r="AAA115" s="366"/>
      <c r="AAB115" s="367"/>
    </row>
    <row r="116" spans="67:704" ht="48" customHeight="1" x14ac:dyDescent="0.3">
      <c r="BO116" s="357"/>
      <c r="BP116" s="514" t="s">
        <v>981</v>
      </c>
      <c r="BQ116" s="515"/>
      <c r="BR116" s="515"/>
      <c r="BS116" s="515"/>
      <c r="BT116" s="515"/>
      <c r="BU116" s="515"/>
      <c r="BV116" s="515"/>
      <c r="BW116" s="515"/>
      <c r="BX116" s="515"/>
      <c r="BY116" s="515"/>
      <c r="BZ116" s="515"/>
      <c r="CA116" s="515"/>
      <c r="CB116" s="516"/>
      <c r="CC116" s="388">
        <f>CC48/(CF52*CC112)</f>
        <v>4.3142095977046075</v>
      </c>
      <c r="CD116" s="371"/>
      <c r="CE116" s="420" t="s">
        <v>983</v>
      </c>
      <c r="CF116" s="421"/>
      <c r="CG116" s="386"/>
      <c r="CH116" s="375" t="s">
        <v>1024</v>
      </c>
      <c r="CI116" s="376"/>
      <c r="CJ116" s="379"/>
      <c r="CK116" s="156"/>
      <c r="CL116" s="152"/>
      <c r="CM116" s="152"/>
      <c r="CN116" s="153"/>
      <c r="EW116" s="286"/>
      <c r="EX116" s="286"/>
      <c r="EY116" s="286"/>
      <c r="EZ116" s="286"/>
      <c r="FA116" s="286"/>
      <c r="FB116" s="286"/>
      <c r="FC116" s="286"/>
      <c r="FD116" s="286"/>
      <c r="FE116" s="286"/>
      <c r="FF116" s="286"/>
      <c r="FG116" s="286"/>
      <c r="FH116" s="286"/>
      <c r="FI116" s="286"/>
      <c r="FJ116" s="286"/>
      <c r="FK116" s="286"/>
      <c r="FL116" s="286"/>
      <c r="FM116" s="286"/>
      <c r="FN116" s="286"/>
      <c r="FO116" s="286"/>
      <c r="FW116" s="357"/>
      <c r="FX116" s="432" t="s">
        <v>82</v>
      </c>
      <c r="FY116" s="433"/>
      <c r="FZ116" s="433"/>
      <c r="GA116" s="433"/>
      <c r="GB116" s="433"/>
      <c r="GC116" s="433"/>
      <c r="GD116" s="433"/>
      <c r="GE116" s="433"/>
      <c r="GF116" s="433"/>
      <c r="GG116" s="433"/>
      <c r="GH116" s="433"/>
      <c r="GI116" s="433"/>
      <c r="GJ116" s="433"/>
      <c r="GK116" s="388">
        <f>2*SIN((3.14*AN12)/GK24)</f>
        <v>0.16507515322750732</v>
      </c>
      <c r="GL116" s="371"/>
      <c r="GM116" s="406"/>
      <c r="GN116" s="408"/>
      <c r="GO116" s="373"/>
      <c r="GP116" s="401" t="s">
        <v>82</v>
      </c>
      <c r="GQ116" s="402"/>
      <c r="GR116" s="379"/>
      <c r="GS116" s="338"/>
      <c r="GT116" s="339"/>
      <c r="GU116" s="339"/>
      <c r="GV116" s="340"/>
      <c r="GZ116" s="291"/>
      <c r="HA116" s="291"/>
      <c r="HB116" s="291"/>
      <c r="HC116" s="291"/>
      <c r="HD116" s="291"/>
      <c r="HE116" s="291"/>
      <c r="HF116" s="291"/>
      <c r="HG116" s="291"/>
      <c r="HH116" s="291"/>
      <c r="HI116" s="291"/>
      <c r="HV116" s="291"/>
      <c r="HW116" s="291"/>
      <c r="HX116" s="291"/>
      <c r="HY116" s="291"/>
      <c r="HZ116" s="291"/>
      <c r="IA116" s="3"/>
      <c r="IB116" s="3"/>
      <c r="IH116" s="357"/>
      <c r="II116" s="344" t="s">
        <v>100</v>
      </c>
      <c r="IJ116" s="345"/>
      <c r="IK116" s="345"/>
      <c r="IL116" s="345"/>
      <c r="IM116" s="345"/>
      <c r="IN116" s="345"/>
      <c r="IO116" s="345"/>
      <c r="IP116" s="345"/>
      <c r="IQ116" s="345"/>
      <c r="IR116" s="345"/>
      <c r="IS116" s="345"/>
      <c r="IT116" s="345"/>
      <c r="IU116" s="345"/>
      <c r="IV116" s="348">
        <f>((AN12*IV108)/(0.9*CD32*CC64*AN64))</f>
        <v>5.016966104470594</v>
      </c>
      <c r="IW116" s="349"/>
      <c r="IX116" s="352"/>
      <c r="IY116" s="353"/>
      <c r="IZ116" s="373"/>
      <c r="JA116" s="375" t="s">
        <v>604</v>
      </c>
      <c r="JB116" s="376"/>
      <c r="JC116" s="379"/>
      <c r="JZ116" s="7"/>
      <c r="LP116" s="357"/>
      <c r="LQ116" s="344" t="s">
        <v>160</v>
      </c>
      <c r="LR116" s="345"/>
      <c r="LS116" s="345"/>
      <c r="LT116" s="345"/>
      <c r="LU116" s="345"/>
      <c r="LV116" s="345"/>
      <c r="LW116" s="345"/>
      <c r="LX116" s="345"/>
      <c r="LY116" s="345"/>
      <c r="LZ116" s="345"/>
      <c r="MA116" s="345"/>
      <c r="MB116" s="345"/>
      <c r="MC116" s="345"/>
      <c r="MD116" s="348">
        <f>(2*KX92-KX92*MD132)*MD88-(CC72^2)*(KX92)^2</f>
        <v>-0.12434861517415752</v>
      </c>
      <c r="ME116" s="349"/>
      <c r="MF116" s="390"/>
      <c r="MG116" s="371"/>
      <c r="MH116" s="373"/>
      <c r="MI116" s="375" t="s">
        <v>604</v>
      </c>
      <c r="MJ116" s="376"/>
      <c r="MK116" s="379"/>
      <c r="MY116" s="8"/>
      <c r="MZ116" s="10"/>
      <c r="NA116" s="6"/>
      <c r="NB116" s="6"/>
      <c r="NE116" s="12"/>
      <c r="NF116" s="3"/>
      <c r="NG116" s="3"/>
      <c r="TT116" s="8"/>
      <c r="TU116" s="10" t="s">
        <v>544</v>
      </c>
      <c r="TV116" s="6">
        <f>((3.14*(GK88^2))/8)+((GK88+TV115)/2)*(TV111-UA112)</f>
        <v>119.37691639903635</v>
      </c>
      <c r="TW116" s="6"/>
      <c r="TZ116" s="12"/>
      <c r="UA116" s="3"/>
      <c r="UB116" s="3"/>
      <c r="VL116" s="357"/>
      <c r="VM116" s="384"/>
      <c r="VN116" s="384"/>
      <c r="VO116" s="384"/>
      <c r="VP116" s="384"/>
      <c r="VQ116" s="384"/>
      <c r="VR116" s="384"/>
      <c r="VS116" s="384"/>
      <c r="VT116" s="384"/>
      <c r="VU116" s="384"/>
      <c r="VV116" s="384"/>
      <c r="VW116" s="384"/>
      <c r="VX116" s="384"/>
      <c r="VY116" s="384"/>
      <c r="VZ116" s="348"/>
      <c r="WA116" s="349"/>
      <c r="WB116" s="370"/>
      <c r="WC116" s="371"/>
      <c r="WD116" s="386"/>
      <c r="WE116" s="375" t="s">
        <v>604</v>
      </c>
      <c r="WF116" s="376"/>
      <c r="WG116" s="379"/>
      <c r="ZG116" s="357"/>
      <c r="ZH116" s="384"/>
      <c r="ZI116" s="384"/>
      <c r="ZJ116" s="384"/>
      <c r="ZK116" s="384"/>
      <c r="ZL116" s="384"/>
      <c r="ZM116" s="384"/>
      <c r="ZN116" s="384"/>
      <c r="ZO116" s="384"/>
      <c r="ZP116" s="384"/>
      <c r="ZQ116" s="384"/>
      <c r="ZR116" s="384"/>
      <c r="ZS116" s="384"/>
      <c r="ZT116" s="384"/>
      <c r="ZU116" s="348"/>
      <c r="ZV116" s="349"/>
      <c r="ZW116" s="370"/>
      <c r="ZX116" s="371"/>
      <c r="ZY116" s="386"/>
      <c r="ZZ116" s="375" t="s">
        <v>604</v>
      </c>
      <c r="AAA116" s="376"/>
      <c r="AAB116" s="379"/>
    </row>
    <row r="117" spans="67:704" ht="48" customHeight="1" thickBot="1" x14ac:dyDescent="0.35">
      <c r="BO117" s="358"/>
      <c r="BP117" s="517"/>
      <c r="BQ117" s="518"/>
      <c r="BR117" s="518"/>
      <c r="BS117" s="518"/>
      <c r="BT117" s="518"/>
      <c r="BU117" s="518"/>
      <c r="BV117" s="518"/>
      <c r="BW117" s="518"/>
      <c r="BX117" s="518"/>
      <c r="BY117" s="518"/>
      <c r="BZ117" s="518"/>
      <c r="CA117" s="518"/>
      <c r="CB117" s="440"/>
      <c r="CC117" s="389"/>
      <c r="CD117" s="372"/>
      <c r="CE117" s="422"/>
      <c r="CF117" s="423"/>
      <c r="CG117" s="387"/>
      <c r="CH117" s="377"/>
      <c r="CI117" s="378"/>
      <c r="CJ117" s="380"/>
      <c r="CK117" s="192"/>
      <c r="CL117" s="190"/>
      <c r="CM117" s="190"/>
      <c r="CN117" s="191"/>
      <c r="EW117" s="286"/>
      <c r="EX117" s="286"/>
      <c r="EY117" s="286"/>
      <c r="EZ117" s="286"/>
      <c r="FA117" s="286"/>
      <c r="FB117" s="286"/>
      <c r="FC117" s="286"/>
      <c r="FD117" s="286"/>
      <c r="FE117" s="286"/>
      <c r="FF117" s="286"/>
      <c r="FG117" s="286"/>
      <c r="FH117" s="286"/>
      <c r="FI117" s="286"/>
      <c r="FJ117" s="286"/>
      <c r="FK117" s="286"/>
      <c r="FL117" s="286"/>
      <c r="FM117" s="286"/>
      <c r="FN117" s="286"/>
      <c r="FO117" s="286"/>
      <c r="FW117" s="358"/>
      <c r="FX117" s="434"/>
      <c r="FY117" s="435"/>
      <c r="FZ117" s="435"/>
      <c r="GA117" s="435"/>
      <c r="GB117" s="435"/>
      <c r="GC117" s="435"/>
      <c r="GD117" s="435"/>
      <c r="GE117" s="435"/>
      <c r="GF117" s="435"/>
      <c r="GG117" s="435"/>
      <c r="GH117" s="435"/>
      <c r="GI117" s="435"/>
      <c r="GJ117" s="435"/>
      <c r="GK117" s="389"/>
      <c r="GL117" s="372"/>
      <c r="GM117" s="409"/>
      <c r="GN117" s="411"/>
      <c r="GO117" s="374"/>
      <c r="GP117" s="403"/>
      <c r="GQ117" s="404"/>
      <c r="GR117" s="380"/>
      <c r="GS117" s="341"/>
      <c r="GT117" s="342"/>
      <c r="GU117" s="342"/>
      <c r="GV117" s="343"/>
      <c r="GZ117" s="291"/>
      <c r="HA117" s="291"/>
      <c r="HB117" s="291"/>
      <c r="HC117" s="291"/>
      <c r="HD117" s="291"/>
      <c r="HE117" s="291"/>
      <c r="HF117" s="291"/>
      <c r="HG117" s="291"/>
      <c r="HH117" s="291"/>
      <c r="HI117" s="291"/>
      <c r="HV117" s="291"/>
      <c r="HW117" s="291"/>
      <c r="HX117" s="291"/>
      <c r="HY117" s="291"/>
      <c r="HZ117" s="291"/>
      <c r="IA117" s="3"/>
      <c r="IB117" s="3"/>
      <c r="IH117" s="358"/>
      <c r="II117" s="346"/>
      <c r="IJ117" s="347"/>
      <c r="IK117" s="347"/>
      <c r="IL117" s="347"/>
      <c r="IM117" s="347"/>
      <c r="IN117" s="347"/>
      <c r="IO117" s="347"/>
      <c r="IP117" s="347"/>
      <c r="IQ117" s="347"/>
      <c r="IR117" s="347"/>
      <c r="IS117" s="347"/>
      <c r="IT117" s="347"/>
      <c r="IU117" s="347"/>
      <c r="IV117" s="350"/>
      <c r="IW117" s="351"/>
      <c r="IX117" s="354"/>
      <c r="IY117" s="355"/>
      <c r="IZ117" s="374"/>
      <c r="JA117" s="377"/>
      <c r="JB117" s="378"/>
      <c r="JC117" s="380"/>
      <c r="KX117" s="12"/>
      <c r="KY117" s="3"/>
      <c r="KZ117" s="3"/>
      <c r="LP117" s="358"/>
      <c r="LQ117" s="346"/>
      <c r="LR117" s="347"/>
      <c r="LS117" s="347"/>
      <c r="LT117" s="347"/>
      <c r="LU117" s="347"/>
      <c r="LV117" s="347"/>
      <c r="LW117" s="347"/>
      <c r="LX117" s="347"/>
      <c r="LY117" s="347"/>
      <c r="LZ117" s="347"/>
      <c r="MA117" s="347"/>
      <c r="MB117" s="347"/>
      <c r="MC117" s="347"/>
      <c r="MD117" s="350"/>
      <c r="ME117" s="351"/>
      <c r="MF117" s="347"/>
      <c r="MG117" s="372"/>
      <c r="MH117" s="374"/>
      <c r="MI117" s="377"/>
      <c r="MJ117" s="378"/>
      <c r="MK117" s="380"/>
      <c r="MY117" s="8"/>
      <c r="MZ117" s="10"/>
      <c r="NA117" s="6"/>
      <c r="NB117" s="6"/>
      <c r="NE117" s="12"/>
      <c r="NF117" s="3"/>
      <c r="NG117" s="3"/>
      <c r="TT117" s="8"/>
      <c r="TU117" s="10" t="s">
        <v>544</v>
      </c>
      <c r="TV117" s="6">
        <f>(3.14*(GK88^2))/4</f>
        <v>20.733135621898061</v>
      </c>
      <c r="TW117" s="6"/>
      <c r="TZ117" s="12"/>
      <c r="UA117" s="3"/>
      <c r="UB117" s="3"/>
      <c r="VL117" s="358"/>
      <c r="VM117" s="385"/>
      <c r="VN117" s="385"/>
      <c r="VO117" s="385"/>
      <c r="VP117" s="385"/>
      <c r="VQ117" s="385"/>
      <c r="VR117" s="385"/>
      <c r="VS117" s="385"/>
      <c r="VT117" s="385"/>
      <c r="VU117" s="385"/>
      <c r="VV117" s="385"/>
      <c r="VW117" s="385"/>
      <c r="VX117" s="385"/>
      <c r="VY117" s="385"/>
      <c r="VZ117" s="350"/>
      <c r="WA117" s="351"/>
      <c r="WB117" s="346"/>
      <c r="WC117" s="372"/>
      <c r="WD117" s="387"/>
      <c r="WE117" s="377"/>
      <c r="WF117" s="378"/>
      <c r="WG117" s="380"/>
      <c r="ZG117" s="358"/>
      <c r="ZH117" s="385"/>
      <c r="ZI117" s="385"/>
      <c r="ZJ117" s="385"/>
      <c r="ZK117" s="385"/>
      <c r="ZL117" s="385"/>
      <c r="ZM117" s="385"/>
      <c r="ZN117" s="385"/>
      <c r="ZO117" s="385"/>
      <c r="ZP117" s="385"/>
      <c r="ZQ117" s="385"/>
      <c r="ZR117" s="385"/>
      <c r="ZS117" s="385"/>
      <c r="ZT117" s="385"/>
      <c r="ZU117" s="350"/>
      <c r="ZV117" s="351"/>
      <c r="ZW117" s="346"/>
      <c r="ZX117" s="372"/>
      <c r="ZY117" s="387"/>
      <c r="ZZ117" s="377"/>
      <c r="AAA117" s="378"/>
      <c r="AAB117" s="380"/>
    </row>
    <row r="118" spans="67:704" ht="48" customHeight="1" x14ac:dyDescent="0.3">
      <c r="EW118" s="286"/>
      <c r="EX118" s="286"/>
      <c r="EY118" s="286"/>
      <c r="EZ118" s="286"/>
      <c r="FA118" s="286"/>
      <c r="FB118" s="286"/>
      <c r="FC118" s="286"/>
      <c r="FD118" s="286"/>
      <c r="FE118" s="286"/>
      <c r="FF118" s="286"/>
      <c r="FG118" s="286"/>
      <c r="FH118" s="286"/>
      <c r="FI118" s="286"/>
      <c r="FJ118" s="286"/>
      <c r="FK118" s="286"/>
      <c r="FL118" s="286"/>
      <c r="FM118" s="286"/>
      <c r="FN118" s="286"/>
      <c r="FO118" s="286"/>
      <c r="GZ118" s="291"/>
      <c r="HA118" s="291"/>
      <c r="HB118" s="291"/>
      <c r="HC118" s="291"/>
      <c r="HD118" s="291"/>
      <c r="HE118" s="291"/>
      <c r="HF118" s="291"/>
      <c r="HG118" s="291"/>
      <c r="HH118" s="291"/>
      <c r="HI118" s="291"/>
      <c r="HV118" s="291"/>
      <c r="HW118" s="291"/>
      <c r="HX118" s="291"/>
      <c r="HY118" s="291"/>
      <c r="HZ118" s="291"/>
      <c r="IA118" s="3"/>
      <c r="IB118" s="3"/>
      <c r="KX118" s="12"/>
      <c r="KY118" s="3"/>
      <c r="KZ118" s="3"/>
      <c r="MY118" s="8" t="s">
        <v>211</v>
      </c>
      <c r="MZ118" s="10" t="s">
        <v>219</v>
      </c>
      <c r="NA118" s="6">
        <f>0.11*((CC28*AH5/1000))</f>
        <v>16.631999999999998</v>
      </c>
      <c r="NB118" s="6"/>
      <c r="NE118" s="12"/>
      <c r="NF118" s="3"/>
      <c r="NG118" s="3"/>
      <c r="TT118" s="8"/>
      <c r="TU118" s="11" t="s">
        <v>322</v>
      </c>
      <c r="TV118" s="4">
        <f>TV117</f>
        <v>20.733135621898061</v>
      </c>
      <c r="TW118" s="6"/>
      <c r="TZ118" s="12"/>
      <c r="UA118" s="3"/>
      <c r="UB118" s="3"/>
    </row>
    <row r="119" spans="67:704" ht="48" customHeight="1" thickBot="1" x14ac:dyDescent="0.35">
      <c r="EW119" s="286"/>
      <c r="EX119" s="286"/>
      <c r="EY119" s="286"/>
      <c r="EZ119" s="286"/>
      <c r="FA119" s="286"/>
      <c r="FB119" s="286"/>
      <c r="FC119" s="286"/>
      <c r="FD119" s="286"/>
      <c r="FE119" s="286"/>
      <c r="FF119" s="286"/>
      <c r="FG119" s="286"/>
      <c r="FH119" s="286"/>
      <c r="FI119" s="286"/>
      <c r="FJ119" s="286"/>
      <c r="FK119" s="286"/>
      <c r="FL119" s="286"/>
      <c r="FM119" s="286"/>
      <c r="FN119" s="286"/>
      <c r="FO119" s="286"/>
      <c r="FW119" s="356"/>
      <c r="FX119" s="297" t="s">
        <v>604</v>
      </c>
      <c r="FY119" s="298"/>
      <c r="FZ119" s="315"/>
      <c r="GA119" s="175"/>
      <c r="GB119" s="175"/>
      <c r="GC119" s="175"/>
      <c r="GD119" s="175"/>
      <c r="GE119" s="175"/>
      <c r="GF119" s="175"/>
      <c r="GG119" s="315"/>
      <c r="GH119" s="173" t="s">
        <v>629</v>
      </c>
      <c r="GI119" s="359" t="s">
        <v>623</v>
      </c>
      <c r="GJ119" s="360"/>
      <c r="GK119" s="361" t="s">
        <v>189</v>
      </c>
      <c r="GL119" s="362"/>
      <c r="GM119" s="363" t="s">
        <v>910</v>
      </c>
      <c r="GN119" s="405"/>
      <c r="GO119" s="364"/>
      <c r="GP119" s="365" t="s">
        <v>638</v>
      </c>
      <c r="GQ119" s="366"/>
      <c r="GR119" s="366"/>
      <c r="GS119" s="367"/>
      <c r="GT119" s="337" t="s">
        <v>624</v>
      </c>
      <c r="GU119" s="337"/>
      <c r="GV119" s="337"/>
      <c r="GW119" s="337"/>
      <c r="GZ119" s="291"/>
      <c r="HA119" s="291"/>
      <c r="HB119" s="291"/>
      <c r="HC119" s="291"/>
      <c r="HD119" s="291"/>
      <c r="HE119" s="291"/>
      <c r="HF119" s="291"/>
      <c r="HG119" s="291"/>
      <c r="HH119" s="291"/>
      <c r="HI119" s="291"/>
      <c r="HV119" s="291"/>
      <c r="HW119" s="291"/>
      <c r="HX119" s="291"/>
      <c r="HY119" s="291"/>
      <c r="HZ119" s="291"/>
      <c r="IA119" s="3"/>
      <c r="IB119" s="3"/>
      <c r="IH119" s="356"/>
      <c r="II119" s="297" t="s">
        <v>604</v>
      </c>
      <c r="IJ119" s="298"/>
      <c r="IK119" s="330"/>
      <c r="IL119" s="175"/>
      <c r="IM119" s="175"/>
      <c r="IN119" s="175"/>
      <c r="IO119" s="175"/>
      <c r="IP119" s="175"/>
      <c r="IQ119" s="175"/>
      <c r="IR119" s="330"/>
      <c r="IS119" s="173" t="s">
        <v>629</v>
      </c>
      <c r="IT119" s="359" t="s">
        <v>623</v>
      </c>
      <c r="IU119" s="360"/>
      <c r="IV119" s="382" t="s">
        <v>189</v>
      </c>
      <c r="IW119" s="383"/>
      <c r="IX119" s="363" t="s">
        <v>910</v>
      </c>
      <c r="IY119" s="364"/>
      <c r="IZ119" s="365" t="s">
        <v>638</v>
      </c>
      <c r="JA119" s="366"/>
      <c r="JB119" s="366"/>
      <c r="JC119" s="367"/>
      <c r="LP119" s="356"/>
      <c r="LQ119" s="297" t="s">
        <v>604</v>
      </c>
      <c r="LR119" s="298"/>
      <c r="LS119" s="331"/>
      <c r="LT119" s="175"/>
      <c r="LU119" s="175"/>
      <c r="LV119" s="175"/>
      <c r="LW119" s="175"/>
      <c r="LX119" s="175"/>
      <c r="LY119" s="175"/>
      <c r="LZ119" s="331"/>
      <c r="MA119" s="173" t="s">
        <v>629</v>
      </c>
      <c r="MB119" s="359" t="s">
        <v>623</v>
      </c>
      <c r="MC119" s="360"/>
      <c r="MD119" s="382" t="s">
        <v>189</v>
      </c>
      <c r="ME119" s="383"/>
      <c r="MF119" s="363" t="s">
        <v>910</v>
      </c>
      <c r="MG119" s="364"/>
      <c r="MH119" s="365" t="s">
        <v>638</v>
      </c>
      <c r="MI119" s="366"/>
      <c r="MJ119" s="366"/>
      <c r="MK119" s="367"/>
      <c r="MY119" s="8"/>
      <c r="MZ119" s="10" t="s">
        <v>325</v>
      </c>
      <c r="NA119" s="6">
        <f>((IV44*GK12)/(2*GK32))*IV16/1000</f>
        <v>9.6347025267264005E-2</v>
      </c>
      <c r="NB119" s="6"/>
      <c r="NE119" s="12"/>
      <c r="NF119" s="3"/>
      <c r="NG119" s="3"/>
      <c r="TT119" s="8" t="s">
        <v>234</v>
      </c>
      <c r="TU119" s="10" t="s">
        <v>274</v>
      </c>
      <c r="TV119" s="6">
        <f>GK100/TV118</f>
        <v>6.0622198644750824</v>
      </c>
      <c r="TW119" s="6"/>
      <c r="TZ119" s="12"/>
      <c r="UA119" s="3"/>
      <c r="UB119" s="3"/>
      <c r="VL119" s="356"/>
      <c r="VM119" s="297" t="s">
        <v>604</v>
      </c>
      <c r="VN119" s="298"/>
      <c r="VO119" s="321"/>
      <c r="VP119" s="175"/>
      <c r="VQ119" s="175"/>
      <c r="VR119" s="175"/>
      <c r="VS119" s="175"/>
      <c r="VT119" s="175"/>
      <c r="VU119" s="175"/>
      <c r="VV119" s="321"/>
      <c r="VW119" s="173" t="s">
        <v>629</v>
      </c>
      <c r="VX119" s="359" t="s">
        <v>623</v>
      </c>
      <c r="VY119" s="381"/>
      <c r="VZ119" s="382" t="s">
        <v>189</v>
      </c>
      <c r="WA119" s="383"/>
      <c r="WB119" s="363" t="s">
        <v>910</v>
      </c>
      <c r="WC119" s="364"/>
      <c r="WD119" s="365" t="s">
        <v>638</v>
      </c>
      <c r="WE119" s="366"/>
      <c r="WF119" s="366"/>
      <c r="WG119" s="367"/>
      <c r="ZG119" s="356"/>
      <c r="ZH119" s="297" t="s">
        <v>604</v>
      </c>
      <c r="ZI119" s="298"/>
      <c r="ZJ119" s="321"/>
      <c r="ZK119" s="175"/>
      <c r="ZL119" s="175"/>
      <c r="ZM119" s="175"/>
      <c r="ZN119" s="175"/>
      <c r="ZO119" s="175"/>
      <c r="ZP119" s="175"/>
      <c r="ZQ119" s="321"/>
      <c r="ZR119" s="173" t="s">
        <v>629</v>
      </c>
      <c r="ZS119" s="359" t="s">
        <v>623</v>
      </c>
      <c r="ZT119" s="381"/>
      <c r="ZU119" s="382" t="s">
        <v>189</v>
      </c>
      <c r="ZV119" s="383"/>
      <c r="ZW119" s="363" t="s">
        <v>910</v>
      </c>
      <c r="ZX119" s="364"/>
      <c r="ZY119" s="365" t="s">
        <v>638</v>
      </c>
      <c r="ZZ119" s="366"/>
      <c r="AAA119" s="366"/>
      <c r="AAB119" s="367"/>
    </row>
    <row r="120" spans="67:704" ht="48" customHeight="1" x14ac:dyDescent="0.3">
      <c r="EW120" s="286"/>
      <c r="EX120" s="286"/>
      <c r="EY120" s="286"/>
      <c r="EZ120" s="286"/>
      <c r="FA120" s="286"/>
      <c r="FB120" s="286"/>
      <c r="FC120" s="286"/>
      <c r="FD120" s="286"/>
      <c r="FE120" s="286"/>
      <c r="FF120" s="286"/>
      <c r="FG120" s="286"/>
      <c r="FH120" s="286"/>
      <c r="FI120" s="286"/>
      <c r="FJ120" s="286"/>
      <c r="FK120" s="286"/>
      <c r="FL120" s="286"/>
      <c r="FM120" s="286"/>
      <c r="FN120" s="286"/>
      <c r="FO120" s="286"/>
      <c r="FW120" s="357"/>
      <c r="FX120" s="344" t="s">
        <v>1084</v>
      </c>
      <c r="FY120" s="345"/>
      <c r="FZ120" s="345"/>
      <c r="GA120" s="345"/>
      <c r="GB120" s="345"/>
      <c r="GC120" s="345"/>
      <c r="GD120" s="345"/>
      <c r="GE120" s="345"/>
      <c r="GF120" s="345"/>
      <c r="GG120" s="345"/>
      <c r="GH120" s="345"/>
      <c r="GI120" s="345"/>
      <c r="GJ120" s="345"/>
      <c r="GK120" s="388">
        <f>0.85*GK104</f>
        <v>2.5860690004915701</v>
      </c>
      <c r="GL120" s="371"/>
      <c r="GM120" s="406" t="s">
        <v>1038</v>
      </c>
      <c r="GN120" s="407"/>
      <c r="GO120" s="408"/>
      <c r="GP120" s="373"/>
      <c r="GQ120" s="375" t="s">
        <v>1085</v>
      </c>
      <c r="GR120" s="376"/>
      <c r="GS120" s="379"/>
      <c r="GT120" s="338"/>
      <c r="GU120" s="339"/>
      <c r="GV120" s="339"/>
      <c r="GW120" s="340"/>
      <c r="GZ120" s="291"/>
      <c r="HA120" s="291"/>
      <c r="HB120" s="291"/>
      <c r="HC120" s="291"/>
      <c r="HD120" s="291"/>
      <c r="HE120" s="291"/>
      <c r="HF120" s="291"/>
      <c r="HG120" s="291"/>
      <c r="HH120" s="291"/>
      <c r="HI120" s="291"/>
      <c r="HV120" s="291"/>
      <c r="HW120" s="291"/>
      <c r="HX120" s="291"/>
      <c r="HY120" s="291"/>
      <c r="HZ120" s="291"/>
      <c r="IA120" s="3"/>
      <c r="IB120" s="3"/>
      <c r="IH120" s="357"/>
      <c r="II120" s="344" t="s">
        <v>101</v>
      </c>
      <c r="IJ120" s="345"/>
      <c r="IK120" s="345"/>
      <c r="IL120" s="345"/>
      <c r="IM120" s="345"/>
      <c r="IN120" s="345"/>
      <c r="IO120" s="345"/>
      <c r="IP120" s="345"/>
      <c r="IQ120" s="345"/>
      <c r="IR120" s="345"/>
      <c r="IS120" s="345"/>
      <c r="IT120" s="345"/>
      <c r="IU120" s="345"/>
      <c r="IV120" s="348">
        <f>IV116/CC48</f>
        <v>0.17716231793937248</v>
      </c>
      <c r="IW120" s="349"/>
      <c r="IX120" s="352"/>
      <c r="IY120" s="353"/>
      <c r="IZ120" s="373"/>
      <c r="JA120" s="375" t="s">
        <v>604</v>
      </c>
      <c r="JB120" s="376"/>
      <c r="JC120" s="379"/>
      <c r="LP120" s="357"/>
      <c r="LQ120" s="344" t="s">
        <v>161</v>
      </c>
      <c r="LR120" s="345"/>
      <c r="LS120" s="345"/>
      <c r="LT120" s="345"/>
      <c r="LU120" s="345"/>
      <c r="LV120" s="345"/>
      <c r="LW120" s="345"/>
      <c r="LX120" s="345"/>
      <c r="LY120" s="345"/>
      <c r="LZ120" s="345"/>
      <c r="MA120" s="345"/>
      <c r="MB120" s="345"/>
      <c r="MC120" s="345"/>
      <c r="MD120" s="348">
        <f>2*MD136*MD88-(CC72^2)*(GK32/CC40)*(1+MD128^2)</f>
        <v>0.32413013715383054</v>
      </c>
      <c r="ME120" s="349"/>
      <c r="MF120" s="390"/>
      <c r="MG120" s="371"/>
      <c r="MH120" s="373"/>
      <c r="MI120" s="375" t="s">
        <v>604</v>
      </c>
      <c r="MJ120" s="376"/>
      <c r="MK120" s="379"/>
      <c r="MY120" s="8"/>
      <c r="MZ120" s="10" t="s">
        <v>326</v>
      </c>
      <c r="NA120" s="6">
        <f>(IV64/1000)*(IV16/1000)*GK24*AN77*NF99*NF98</f>
        <v>4.2310195984324741</v>
      </c>
      <c r="NB120" s="6"/>
      <c r="NE120" s="12"/>
      <c r="NF120" s="3"/>
      <c r="NG120" s="3"/>
      <c r="TT120" s="8" t="s">
        <v>235</v>
      </c>
      <c r="TU120" s="10" t="s">
        <v>275</v>
      </c>
      <c r="TV120" s="6">
        <f>1+(MD44/MD40)*(TV119-1)*MD44</f>
        <v>1.000000000708327</v>
      </c>
      <c r="TW120" s="6"/>
      <c r="TZ120" s="12"/>
      <c r="UA120" s="3"/>
      <c r="UB120" s="3"/>
      <c r="VL120" s="357"/>
      <c r="VM120" s="384"/>
      <c r="VN120" s="384"/>
      <c r="VO120" s="384"/>
      <c r="VP120" s="384"/>
      <c r="VQ120" s="384"/>
      <c r="VR120" s="384"/>
      <c r="VS120" s="384"/>
      <c r="VT120" s="384"/>
      <c r="VU120" s="384"/>
      <c r="VV120" s="384"/>
      <c r="VW120" s="384"/>
      <c r="VX120" s="384"/>
      <c r="VY120" s="384"/>
      <c r="VZ120" s="348"/>
      <c r="WA120" s="349"/>
      <c r="WB120" s="370"/>
      <c r="WC120" s="371"/>
      <c r="WD120" s="386"/>
      <c r="WE120" s="375" t="s">
        <v>604</v>
      </c>
      <c r="WF120" s="376"/>
      <c r="WG120" s="379"/>
      <c r="WW120" s="7"/>
      <c r="WX120" s="12"/>
      <c r="WY120" s="3"/>
      <c r="WZ120" s="3"/>
      <c r="XC120" s="12"/>
      <c r="XD120" s="3"/>
      <c r="XE120" s="3"/>
      <c r="ZG120" s="357"/>
      <c r="ZH120" s="384"/>
      <c r="ZI120" s="384"/>
      <c r="ZJ120" s="384"/>
      <c r="ZK120" s="384"/>
      <c r="ZL120" s="384"/>
      <c r="ZM120" s="384"/>
      <c r="ZN120" s="384"/>
      <c r="ZO120" s="384"/>
      <c r="ZP120" s="384"/>
      <c r="ZQ120" s="384"/>
      <c r="ZR120" s="384"/>
      <c r="ZS120" s="384"/>
      <c r="ZT120" s="384"/>
      <c r="ZU120" s="348"/>
      <c r="ZV120" s="349"/>
      <c r="ZW120" s="370"/>
      <c r="ZX120" s="371"/>
      <c r="ZY120" s="386"/>
      <c r="ZZ120" s="375" t="s">
        <v>604</v>
      </c>
      <c r="AAA120" s="376"/>
      <c r="AAB120" s="379"/>
    </row>
    <row r="121" spans="67:704" ht="48" customHeight="1" thickBot="1" x14ac:dyDescent="0.35">
      <c r="EW121" s="286"/>
      <c r="EX121" s="286"/>
      <c r="EY121" s="286"/>
      <c r="EZ121" s="286"/>
      <c r="FA121" s="286"/>
      <c r="FB121" s="286"/>
      <c r="FC121" s="286"/>
      <c r="FD121" s="286"/>
      <c r="FE121" s="286"/>
      <c r="FF121" s="286"/>
      <c r="FG121" s="286"/>
      <c r="FH121" s="286"/>
      <c r="FI121" s="286"/>
      <c r="FJ121" s="286"/>
      <c r="FK121" s="286"/>
      <c r="FL121" s="286"/>
      <c r="FM121" s="286"/>
      <c r="FN121" s="286"/>
      <c r="FO121" s="286"/>
      <c r="FW121" s="358"/>
      <c r="FX121" s="346"/>
      <c r="FY121" s="347"/>
      <c r="FZ121" s="347"/>
      <c r="GA121" s="347"/>
      <c r="GB121" s="347"/>
      <c r="GC121" s="347"/>
      <c r="GD121" s="347"/>
      <c r="GE121" s="347"/>
      <c r="GF121" s="347"/>
      <c r="GG121" s="347"/>
      <c r="GH121" s="347"/>
      <c r="GI121" s="347"/>
      <c r="GJ121" s="347"/>
      <c r="GK121" s="389"/>
      <c r="GL121" s="372"/>
      <c r="GM121" s="409"/>
      <c r="GN121" s="410"/>
      <c r="GO121" s="411"/>
      <c r="GP121" s="374"/>
      <c r="GQ121" s="377"/>
      <c r="GR121" s="378"/>
      <c r="GS121" s="380"/>
      <c r="GT121" s="341"/>
      <c r="GU121" s="342"/>
      <c r="GV121" s="342"/>
      <c r="GW121" s="343"/>
      <c r="GZ121" s="291"/>
      <c r="HA121" s="291"/>
      <c r="HB121" s="291"/>
      <c r="HC121" s="291"/>
      <c r="HD121" s="291"/>
      <c r="HE121" s="291"/>
      <c r="HF121" s="291"/>
      <c r="HG121" s="291"/>
      <c r="HH121" s="291"/>
      <c r="HI121" s="291"/>
      <c r="HV121" s="291"/>
      <c r="HW121" s="291"/>
      <c r="HX121" s="291"/>
      <c r="HY121" s="291"/>
      <c r="HZ121" s="291"/>
      <c r="IA121" s="3"/>
      <c r="IB121" s="3"/>
      <c r="IH121" s="358"/>
      <c r="II121" s="346"/>
      <c r="IJ121" s="347"/>
      <c r="IK121" s="347"/>
      <c r="IL121" s="347"/>
      <c r="IM121" s="347"/>
      <c r="IN121" s="347"/>
      <c r="IO121" s="347"/>
      <c r="IP121" s="347"/>
      <c r="IQ121" s="347"/>
      <c r="IR121" s="347"/>
      <c r="IS121" s="347"/>
      <c r="IT121" s="347"/>
      <c r="IU121" s="347"/>
      <c r="IV121" s="350"/>
      <c r="IW121" s="351"/>
      <c r="IX121" s="354"/>
      <c r="IY121" s="355"/>
      <c r="IZ121" s="374"/>
      <c r="JA121" s="377"/>
      <c r="JB121" s="378"/>
      <c r="JC121" s="380"/>
      <c r="LP121" s="358"/>
      <c r="LQ121" s="346"/>
      <c r="LR121" s="347"/>
      <c r="LS121" s="347"/>
      <c r="LT121" s="347"/>
      <c r="LU121" s="347"/>
      <c r="LV121" s="347"/>
      <c r="LW121" s="347"/>
      <c r="LX121" s="347"/>
      <c r="LY121" s="347"/>
      <c r="LZ121" s="347"/>
      <c r="MA121" s="347"/>
      <c r="MB121" s="347"/>
      <c r="MC121" s="347"/>
      <c r="MD121" s="350"/>
      <c r="ME121" s="351"/>
      <c r="MF121" s="347"/>
      <c r="MG121" s="372"/>
      <c r="MH121" s="374"/>
      <c r="MI121" s="377"/>
      <c r="MJ121" s="378"/>
      <c r="MK121" s="380"/>
      <c r="MY121" s="8"/>
      <c r="MZ121" s="10" t="s">
        <v>578</v>
      </c>
      <c r="NA121" s="6">
        <f>GK76</f>
        <v>5.690414820137554</v>
      </c>
      <c r="NB121" s="6"/>
      <c r="NE121" s="12"/>
      <c r="NF121" s="3"/>
      <c r="NG121" s="3"/>
      <c r="TT121" s="8" t="s">
        <v>236</v>
      </c>
      <c r="TU121" s="10" t="s">
        <v>276</v>
      </c>
      <c r="TV121" s="6" t="e">
        <f>TV120*MD56</f>
        <v>#REF!</v>
      </c>
      <c r="TW121" s="6"/>
      <c r="TZ121" s="12"/>
      <c r="UA121" s="3"/>
      <c r="UB121" s="3"/>
      <c r="VL121" s="358"/>
      <c r="VM121" s="385"/>
      <c r="VN121" s="385"/>
      <c r="VO121" s="385"/>
      <c r="VP121" s="385"/>
      <c r="VQ121" s="385"/>
      <c r="VR121" s="385"/>
      <c r="VS121" s="385"/>
      <c r="VT121" s="385"/>
      <c r="VU121" s="385"/>
      <c r="VV121" s="385"/>
      <c r="VW121" s="385"/>
      <c r="VX121" s="385"/>
      <c r="VY121" s="385"/>
      <c r="VZ121" s="350"/>
      <c r="WA121" s="351"/>
      <c r="WB121" s="346"/>
      <c r="WC121" s="372"/>
      <c r="WD121" s="387"/>
      <c r="WE121" s="377"/>
      <c r="WF121" s="378"/>
      <c r="WG121" s="380"/>
      <c r="WW121" s="7"/>
      <c r="WX121" s="12"/>
      <c r="WY121" s="3"/>
      <c r="WZ121" s="3"/>
      <c r="XC121" s="12"/>
      <c r="XD121" s="3"/>
      <c r="XE121" s="3"/>
      <c r="ZG121" s="358"/>
      <c r="ZH121" s="385"/>
      <c r="ZI121" s="385"/>
      <c r="ZJ121" s="385"/>
      <c r="ZK121" s="385"/>
      <c r="ZL121" s="385"/>
      <c r="ZM121" s="385"/>
      <c r="ZN121" s="385"/>
      <c r="ZO121" s="385"/>
      <c r="ZP121" s="385"/>
      <c r="ZQ121" s="385"/>
      <c r="ZR121" s="385"/>
      <c r="ZS121" s="385"/>
      <c r="ZT121" s="385"/>
      <c r="ZU121" s="350"/>
      <c r="ZV121" s="351"/>
      <c r="ZW121" s="346"/>
      <c r="ZX121" s="372"/>
      <c r="ZY121" s="387"/>
      <c r="ZZ121" s="377"/>
      <c r="AAA121" s="378"/>
      <c r="AAB121" s="380"/>
    </row>
    <row r="122" spans="67:704" ht="48" customHeight="1" x14ac:dyDescent="0.3">
      <c r="EW122" s="286"/>
      <c r="EX122" s="286"/>
      <c r="EY122" s="286"/>
      <c r="EZ122" s="286"/>
      <c r="FA122" s="286"/>
      <c r="FB122" s="286"/>
      <c r="FC122" s="286"/>
      <c r="FD122" s="286"/>
      <c r="FE122" s="286"/>
      <c r="FF122" s="286"/>
      <c r="FG122" s="286"/>
      <c r="FH122" s="286"/>
      <c r="FI122" s="286"/>
      <c r="FJ122" s="286"/>
      <c r="FK122" s="286"/>
      <c r="FL122" s="286"/>
      <c r="FM122" s="286"/>
      <c r="FN122" s="286"/>
      <c r="FO122" s="286"/>
      <c r="GZ122" s="291"/>
      <c r="HA122" s="291"/>
      <c r="HB122" s="291"/>
      <c r="HC122" s="291"/>
      <c r="HD122" s="291"/>
      <c r="HE122" s="291"/>
      <c r="HF122" s="291"/>
      <c r="HG122" s="291"/>
      <c r="HH122" s="291"/>
      <c r="HI122" s="291"/>
      <c r="HV122" s="291"/>
      <c r="HW122" s="291"/>
      <c r="HX122" s="291"/>
      <c r="HY122" s="291"/>
      <c r="HZ122" s="291"/>
      <c r="IA122" s="3"/>
      <c r="IB122" s="3"/>
      <c r="MY122" s="8"/>
      <c r="MZ122" s="10"/>
      <c r="NA122" s="6"/>
      <c r="NB122" s="6"/>
      <c r="NE122" s="12"/>
      <c r="NF122" s="3"/>
      <c r="NG122" s="3"/>
      <c r="TT122" s="8" t="s">
        <v>237</v>
      </c>
      <c r="TU122" s="10" t="s">
        <v>284</v>
      </c>
      <c r="TV122" s="6">
        <f>MD152-TV142</f>
        <v>1.0801280114856779</v>
      </c>
      <c r="TW122" s="6"/>
      <c r="TZ122" s="12"/>
      <c r="UA122" s="3"/>
      <c r="UB122" s="3"/>
      <c r="WW122" s="8" t="s">
        <v>255</v>
      </c>
      <c r="WX122" s="10" t="s">
        <v>295</v>
      </c>
      <c r="WY122" s="6" t="e">
        <f>WY123*(WY129+NA92)/(3.14*AN32*AN77*WY156)</f>
        <v>#REF!</v>
      </c>
      <c r="WZ122" s="6"/>
      <c r="XC122" s="12"/>
      <c r="XD122" s="3"/>
      <c r="XE122" s="3"/>
    </row>
    <row r="123" spans="67:704" ht="48" customHeight="1" thickBot="1" x14ac:dyDescent="0.35">
      <c r="EW123" s="286"/>
      <c r="EX123" s="286"/>
      <c r="EY123" s="286"/>
      <c r="EZ123" s="286"/>
      <c r="FA123" s="286"/>
      <c r="FB123" s="286"/>
      <c r="FC123" s="286"/>
      <c r="FD123" s="286"/>
      <c r="FE123" s="286"/>
      <c r="FF123" s="286"/>
      <c r="FG123" s="286"/>
      <c r="FH123" s="286"/>
      <c r="FI123" s="286"/>
      <c r="FJ123" s="286"/>
      <c r="FK123" s="286"/>
      <c r="FL123" s="286"/>
      <c r="FM123" s="286"/>
      <c r="FN123" s="286"/>
      <c r="FO123" s="286"/>
      <c r="FW123" s="356"/>
      <c r="FX123" s="297" t="s">
        <v>604</v>
      </c>
      <c r="FY123" s="298"/>
      <c r="FZ123" s="315"/>
      <c r="GA123" s="175"/>
      <c r="GB123" s="175"/>
      <c r="GC123" s="175"/>
      <c r="GD123" s="175"/>
      <c r="GE123" s="175"/>
      <c r="GF123" s="175"/>
      <c r="GG123" s="315"/>
      <c r="GH123" s="173" t="s">
        <v>629</v>
      </c>
      <c r="GI123" s="359" t="s">
        <v>623</v>
      </c>
      <c r="GJ123" s="360"/>
      <c r="GK123" s="382" t="s">
        <v>189</v>
      </c>
      <c r="GL123" s="383"/>
      <c r="GM123" s="363" t="s">
        <v>910</v>
      </c>
      <c r="GN123" s="364"/>
      <c r="GO123" s="365" t="s">
        <v>638</v>
      </c>
      <c r="GP123" s="366"/>
      <c r="GQ123" s="366"/>
      <c r="GR123" s="367"/>
      <c r="GZ123" s="291"/>
      <c r="HA123" s="291"/>
      <c r="HB123" s="291"/>
      <c r="HC123" s="291"/>
      <c r="HD123" s="291"/>
      <c r="HE123" s="291"/>
      <c r="HF123" s="291"/>
      <c r="HG123" s="291"/>
      <c r="HH123" s="291"/>
      <c r="HI123" s="291"/>
      <c r="HV123" s="291"/>
      <c r="HW123" s="291"/>
      <c r="HX123" s="291"/>
      <c r="HY123" s="291"/>
      <c r="HZ123" s="291"/>
      <c r="LP123" s="356"/>
      <c r="LQ123" s="297" t="s">
        <v>604</v>
      </c>
      <c r="LR123" s="298"/>
      <c r="LS123" s="331"/>
      <c r="LT123" s="175"/>
      <c r="LU123" s="175"/>
      <c r="LV123" s="175"/>
      <c r="LW123" s="175"/>
      <c r="LX123" s="175"/>
      <c r="LY123" s="175"/>
      <c r="LZ123" s="331"/>
      <c r="MA123" s="173" t="s">
        <v>629</v>
      </c>
      <c r="MB123" s="359" t="s">
        <v>623</v>
      </c>
      <c r="MC123" s="360"/>
      <c r="MD123" s="361" t="s">
        <v>189</v>
      </c>
      <c r="ME123" s="362"/>
      <c r="MF123" s="363" t="s">
        <v>910</v>
      </c>
      <c r="MG123" s="364"/>
      <c r="MH123" s="365" t="s">
        <v>638</v>
      </c>
      <c r="MI123" s="366"/>
      <c r="MJ123" s="366"/>
      <c r="MK123" s="367"/>
      <c r="MY123" s="8"/>
      <c r="MZ123" s="10"/>
      <c r="NA123" s="6"/>
      <c r="NB123" s="6"/>
      <c r="NE123" s="12"/>
      <c r="NF123" s="3"/>
      <c r="NG123" s="3"/>
      <c r="TT123" s="8"/>
      <c r="TU123" s="11" t="s">
        <v>581</v>
      </c>
      <c r="TV123" s="4">
        <v>3.3</v>
      </c>
      <c r="TW123" s="6"/>
      <c r="TZ123" s="12"/>
      <c r="UA123" s="3"/>
      <c r="UB123" s="3"/>
      <c r="VL123" s="356"/>
      <c r="VM123" s="297" t="s">
        <v>604</v>
      </c>
      <c r="VN123" s="298"/>
      <c r="VO123" s="321"/>
      <c r="VP123" s="175"/>
      <c r="VQ123" s="175"/>
      <c r="VR123" s="175"/>
      <c r="VS123" s="175"/>
      <c r="VT123" s="175"/>
      <c r="VU123" s="175"/>
      <c r="VV123" s="321"/>
      <c r="VW123" s="173" t="s">
        <v>629</v>
      </c>
      <c r="VX123" s="359" t="s">
        <v>623</v>
      </c>
      <c r="VY123" s="381"/>
      <c r="VZ123" s="382" t="s">
        <v>189</v>
      </c>
      <c r="WA123" s="383"/>
      <c r="WB123" s="363" t="s">
        <v>910</v>
      </c>
      <c r="WC123" s="364"/>
      <c r="WD123" s="365" t="s">
        <v>638</v>
      </c>
      <c r="WE123" s="366"/>
      <c r="WF123" s="366"/>
      <c r="WG123" s="367"/>
      <c r="WW123" s="8"/>
      <c r="WX123" s="10" t="s">
        <v>549</v>
      </c>
      <c r="WY123" s="6">
        <v>0.22</v>
      </c>
      <c r="WZ123" s="6"/>
      <c r="XC123" s="12"/>
      <c r="XD123" s="3"/>
      <c r="XE123" s="3"/>
      <c r="ZG123" s="356"/>
      <c r="ZH123" s="297" t="s">
        <v>604</v>
      </c>
      <c r="ZI123" s="298"/>
      <c r="ZJ123" s="321"/>
      <c r="ZK123" s="175"/>
      <c r="ZL123" s="175"/>
      <c r="ZM123" s="175"/>
      <c r="ZN123" s="175"/>
      <c r="ZO123" s="175"/>
      <c r="ZP123" s="175"/>
      <c r="ZQ123" s="321"/>
      <c r="ZR123" s="173" t="s">
        <v>629</v>
      </c>
      <c r="ZS123" s="359" t="s">
        <v>623</v>
      </c>
      <c r="ZT123" s="381"/>
      <c r="ZU123" s="382" t="s">
        <v>189</v>
      </c>
      <c r="ZV123" s="383"/>
      <c r="ZW123" s="363" t="s">
        <v>910</v>
      </c>
      <c r="ZX123" s="364"/>
      <c r="ZY123" s="365" t="s">
        <v>638</v>
      </c>
      <c r="ZZ123" s="366"/>
      <c r="AAA123" s="366"/>
      <c r="AAB123" s="367"/>
    </row>
    <row r="124" spans="67:704" ht="48" customHeight="1" thickBot="1" x14ac:dyDescent="0.35">
      <c r="EW124" s="286"/>
      <c r="EX124" s="286"/>
      <c r="EY124" s="286"/>
      <c r="EZ124" s="286"/>
      <c r="FA124" s="286"/>
      <c r="FB124" s="286"/>
      <c r="FC124" s="286"/>
      <c r="FD124" s="286"/>
      <c r="FE124" s="286"/>
      <c r="FF124" s="286"/>
      <c r="FG124" s="286"/>
      <c r="FH124" s="286"/>
      <c r="FI124" s="286"/>
      <c r="FJ124" s="286"/>
      <c r="FK124" s="286"/>
      <c r="FL124" s="286"/>
      <c r="FM124" s="286"/>
      <c r="FN124" s="286"/>
      <c r="FO124" s="286"/>
      <c r="FW124" s="357"/>
      <c r="FX124" s="436" t="s">
        <v>1042</v>
      </c>
      <c r="FY124" s="345"/>
      <c r="FZ124" s="345"/>
      <c r="GA124" s="345"/>
      <c r="GB124" s="345"/>
      <c r="GC124" s="345"/>
      <c r="GD124" s="345"/>
      <c r="GE124" s="345"/>
      <c r="GF124" s="345"/>
      <c r="GG124" s="345"/>
      <c r="GH124" s="345"/>
      <c r="GI124" s="345"/>
      <c r="GJ124" s="345"/>
      <c r="GK124" s="388">
        <f>1.25*GK96</f>
        <v>27.103053207228701</v>
      </c>
      <c r="GL124" s="371"/>
      <c r="GM124" s="406"/>
      <c r="GN124" s="408"/>
      <c r="GO124" s="373"/>
      <c r="GP124" s="375" t="s">
        <v>604</v>
      </c>
      <c r="GQ124" s="376"/>
      <c r="GR124" s="379"/>
      <c r="GZ124" s="291"/>
      <c r="HA124" s="291"/>
      <c r="HB124" s="291"/>
      <c r="HC124" s="291"/>
      <c r="HD124" s="291"/>
      <c r="HE124" s="291"/>
      <c r="HF124" s="291"/>
      <c r="HG124" s="291"/>
      <c r="HH124" s="291"/>
      <c r="HI124" s="291"/>
      <c r="HV124" s="291"/>
      <c r="HW124" s="291"/>
      <c r="HX124" s="291"/>
      <c r="HY124" s="291"/>
      <c r="HZ124" s="291"/>
      <c r="LP124" s="357"/>
      <c r="LQ124" s="344" t="s">
        <v>194</v>
      </c>
      <c r="LR124" s="345"/>
      <c r="LS124" s="345"/>
      <c r="LT124" s="345"/>
      <c r="LU124" s="345"/>
      <c r="LV124" s="345"/>
      <c r="LW124" s="345"/>
      <c r="LX124" s="345"/>
      <c r="LY124" s="345"/>
      <c r="LZ124" s="345"/>
      <c r="MA124" s="345"/>
      <c r="MB124" s="345"/>
      <c r="MC124" s="345"/>
      <c r="MD124" s="348">
        <f>MD116</f>
        <v>-0.12434861517415752</v>
      </c>
      <c r="ME124" s="349"/>
      <c r="MF124" s="390"/>
      <c r="MG124" s="371"/>
      <c r="MH124" s="373"/>
      <c r="MI124" s="375" t="s">
        <v>604</v>
      </c>
      <c r="MJ124" s="376"/>
      <c r="MK124" s="379"/>
      <c r="MY124" s="8" t="s">
        <v>212</v>
      </c>
      <c r="MZ124" s="10" t="s">
        <v>220</v>
      </c>
      <c r="NA124" s="6">
        <f>NA108+NA118</f>
        <v>34.372555027003642</v>
      </c>
      <c r="NB124" s="6"/>
      <c r="NE124" s="12"/>
      <c r="NF124" s="3"/>
      <c r="NG124" s="3"/>
      <c r="TT124" s="8"/>
      <c r="TU124" s="10"/>
      <c r="TV124" s="6"/>
      <c r="TW124" s="6"/>
      <c r="TZ124" s="12"/>
      <c r="UA124" s="3"/>
      <c r="UB124" s="3"/>
      <c r="VL124" s="357"/>
      <c r="VM124" s="384"/>
      <c r="VN124" s="384"/>
      <c r="VO124" s="384"/>
      <c r="VP124" s="384"/>
      <c r="VQ124" s="384"/>
      <c r="VR124" s="384"/>
      <c r="VS124" s="384"/>
      <c r="VT124" s="384"/>
      <c r="VU124" s="384"/>
      <c r="VV124" s="384"/>
      <c r="VW124" s="384"/>
      <c r="VX124" s="384"/>
      <c r="VY124" s="384"/>
      <c r="VZ124" s="348"/>
      <c r="WA124" s="349"/>
      <c r="WB124" s="370"/>
      <c r="WC124" s="371"/>
      <c r="WD124" s="386"/>
      <c r="WE124" s="375" t="s">
        <v>604</v>
      </c>
      <c r="WF124" s="376"/>
      <c r="WG124" s="379"/>
      <c r="WW124" s="8"/>
      <c r="WX124" s="10"/>
      <c r="WY124" s="6"/>
      <c r="WZ124" s="6"/>
      <c r="XC124" s="12"/>
      <c r="XD124" s="3"/>
      <c r="XE124" s="3"/>
      <c r="ZG124" s="357"/>
      <c r="ZH124" s="384"/>
      <c r="ZI124" s="384"/>
      <c r="ZJ124" s="384"/>
      <c r="ZK124" s="384"/>
      <c r="ZL124" s="384"/>
      <c r="ZM124" s="384"/>
      <c r="ZN124" s="384"/>
      <c r="ZO124" s="384"/>
      <c r="ZP124" s="384"/>
      <c r="ZQ124" s="384"/>
      <c r="ZR124" s="384"/>
      <c r="ZS124" s="384"/>
      <c r="ZT124" s="384"/>
      <c r="ZU124" s="348"/>
      <c r="ZV124" s="349"/>
      <c r="ZW124" s="370"/>
      <c r="ZX124" s="371"/>
      <c r="ZY124" s="386"/>
      <c r="ZZ124" s="375" t="s">
        <v>604</v>
      </c>
      <c r="AAA124" s="376"/>
      <c r="AAB124" s="379"/>
    </row>
    <row r="125" spans="67:704" ht="48" customHeight="1" thickBot="1" x14ac:dyDescent="0.35">
      <c r="EW125" s="286"/>
      <c r="EX125" s="286"/>
      <c r="EY125" s="286"/>
      <c r="EZ125" s="286"/>
      <c r="FA125" s="286"/>
      <c r="FB125" s="286"/>
      <c r="FC125" s="286"/>
      <c r="FD125" s="286"/>
      <c r="FE125" s="286"/>
      <c r="FF125" s="286"/>
      <c r="FG125" s="286"/>
      <c r="FH125" s="286"/>
      <c r="FI125" s="286"/>
      <c r="FJ125" s="286"/>
      <c r="FK125" s="286"/>
      <c r="FL125" s="286"/>
      <c r="FM125" s="286"/>
      <c r="FN125" s="286"/>
      <c r="FO125" s="286"/>
      <c r="FW125" s="358"/>
      <c r="FX125" s="346"/>
      <c r="FY125" s="347"/>
      <c r="FZ125" s="347"/>
      <c r="GA125" s="347"/>
      <c r="GB125" s="347"/>
      <c r="GC125" s="347"/>
      <c r="GD125" s="347"/>
      <c r="GE125" s="347"/>
      <c r="GF125" s="347"/>
      <c r="GG125" s="347"/>
      <c r="GH125" s="347"/>
      <c r="GI125" s="347"/>
      <c r="GJ125" s="347"/>
      <c r="GK125" s="389"/>
      <c r="GL125" s="372"/>
      <c r="GM125" s="409"/>
      <c r="GN125" s="411"/>
      <c r="GO125" s="374"/>
      <c r="GP125" s="377"/>
      <c r="GQ125" s="378"/>
      <c r="GR125" s="380"/>
      <c r="GZ125" s="291"/>
      <c r="HA125" s="291"/>
      <c r="HB125" s="291"/>
      <c r="HC125" s="291"/>
      <c r="HD125" s="291"/>
      <c r="HE125" s="291"/>
      <c r="HF125" s="291"/>
      <c r="HG125" s="291"/>
      <c r="HH125" s="291"/>
      <c r="HI125" s="291"/>
      <c r="HV125" s="291"/>
      <c r="HW125" s="291"/>
      <c r="HX125" s="291"/>
      <c r="HY125" s="291"/>
      <c r="HZ125" s="291"/>
      <c r="II125" s="897" t="s">
        <v>134</v>
      </c>
      <c r="IJ125" s="898"/>
      <c r="IK125" s="898"/>
      <c r="IL125" s="898"/>
      <c r="IM125" s="898"/>
      <c r="IN125" s="898"/>
      <c r="IO125" s="898"/>
      <c r="IP125" s="898"/>
      <c r="IQ125" s="898"/>
      <c r="IR125" s="898"/>
      <c r="IS125" s="898"/>
      <c r="IT125" s="898"/>
      <c r="IU125" s="898"/>
      <c r="IV125" s="348">
        <f>EH20</f>
        <v>1.9</v>
      </c>
      <c r="IW125" s="349"/>
      <c r="IX125" s="352"/>
      <c r="IY125" s="353"/>
      <c r="LP125" s="358"/>
      <c r="LQ125" s="346"/>
      <c r="LR125" s="347"/>
      <c r="LS125" s="347"/>
      <c r="LT125" s="347"/>
      <c r="LU125" s="347"/>
      <c r="LV125" s="347"/>
      <c r="LW125" s="347"/>
      <c r="LX125" s="347"/>
      <c r="LY125" s="347"/>
      <c r="LZ125" s="347"/>
      <c r="MA125" s="347"/>
      <c r="MB125" s="347"/>
      <c r="MC125" s="347"/>
      <c r="MD125" s="350"/>
      <c r="ME125" s="351"/>
      <c r="MF125" s="347"/>
      <c r="MG125" s="372"/>
      <c r="MH125" s="374"/>
      <c r="MI125" s="377"/>
      <c r="MJ125" s="378"/>
      <c r="MK125" s="380"/>
      <c r="MY125" s="8" t="s">
        <v>213</v>
      </c>
      <c r="MZ125" s="10" t="s">
        <v>221</v>
      </c>
      <c r="NA125" s="6">
        <f>NA92+NA124</f>
        <v>1483.4091005584405</v>
      </c>
      <c r="NB125" s="6"/>
      <c r="NE125" s="12"/>
      <c r="NF125" s="3"/>
      <c r="NG125" s="3"/>
      <c r="TT125" s="8" t="s">
        <v>238</v>
      </c>
      <c r="TU125" s="10" t="s">
        <v>278</v>
      </c>
      <c r="TV125" s="6">
        <f>(TV122+MD164+MD156)/(MD152+MD156+MD164)</f>
        <v>0.9453569806652411</v>
      </c>
      <c r="TW125" s="6"/>
      <c r="TZ125" s="12"/>
      <c r="UA125" s="3"/>
      <c r="UB125" s="3"/>
      <c r="VL125" s="358"/>
      <c r="VM125" s="385"/>
      <c r="VN125" s="385"/>
      <c r="VO125" s="385"/>
      <c r="VP125" s="385"/>
      <c r="VQ125" s="385"/>
      <c r="VR125" s="385"/>
      <c r="VS125" s="385"/>
      <c r="VT125" s="385"/>
      <c r="VU125" s="385"/>
      <c r="VV125" s="385"/>
      <c r="VW125" s="385"/>
      <c r="VX125" s="385"/>
      <c r="VY125" s="385"/>
      <c r="VZ125" s="350"/>
      <c r="WA125" s="351"/>
      <c r="WB125" s="346"/>
      <c r="WC125" s="372"/>
      <c r="WD125" s="387"/>
      <c r="WE125" s="377"/>
      <c r="WF125" s="378"/>
      <c r="WG125" s="380"/>
      <c r="WW125" s="8"/>
      <c r="WX125" s="10" t="s">
        <v>550</v>
      </c>
      <c r="WY125" s="6">
        <v>1.1499999999999999</v>
      </c>
      <c r="WZ125" s="6"/>
      <c r="XC125" s="12"/>
      <c r="XD125" s="3"/>
      <c r="XE125" s="3"/>
      <c r="ZG125" s="358"/>
      <c r="ZH125" s="385"/>
      <c r="ZI125" s="385"/>
      <c r="ZJ125" s="385"/>
      <c r="ZK125" s="385"/>
      <c r="ZL125" s="385"/>
      <c r="ZM125" s="385"/>
      <c r="ZN125" s="385"/>
      <c r="ZO125" s="385"/>
      <c r="ZP125" s="385"/>
      <c r="ZQ125" s="385"/>
      <c r="ZR125" s="385"/>
      <c r="ZS125" s="385"/>
      <c r="ZT125" s="385"/>
      <c r="ZU125" s="350"/>
      <c r="ZV125" s="351"/>
      <c r="ZW125" s="346"/>
      <c r="ZX125" s="372"/>
      <c r="ZY125" s="387"/>
      <c r="ZZ125" s="377"/>
      <c r="AAA125" s="378"/>
      <c r="AAB125" s="380"/>
    </row>
    <row r="126" spans="67:704" ht="48" customHeight="1" thickBot="1" x14ac:dyDescent="0.35">
      <c r="EW126" s="286"/>
      <c r="EX126" s="286"/>
      <c r="EY126" s="286"/>
      <c r="EZ126" s="286"/>
      <c r="FA126" s="286"/>
      <c r="FB126" s="286"/>
      <c r="FC126" s="286"/>
      <c r="FD126" s="286"/>
      <c r="FE126" s="286"/>
      <c r="FF126" s="286"/>
      <c r="FG126" s="286"/>
      <c r="FH126" s="286"/>
      <c r="FI126" s="286"/>
      <c r="FJ126" s="286"/>
      <c r="FK126" s="286"/>
      <c r="FL126" s="286"/>
      <c r="FM126" s="286"/>
      <c r="FN126" s="286"/>
      <c r="FO126" s="286"/>
      <c r="GZ126" s="291"/>
      <c r="HA126" s="291"/>
      <c r="HB126" s="291"/>
      <c r="HC126" s="291"/>
      <c r="HD126" s="291"/>
      <c r="HE126" s="291"/>
      <c r="HF126" s="291"/>
      <c r="HG126" s="291"/>
      <c r="HH126" s="291"/>
      <c r="HI126" s="291"/>
      <c r="HV126" s="291"/>
      <c r="HW126" s="291"/>
      <c r="HX126" s="291"/>
      <c r="HY126" s="291"/>
      <c r="HZ126" s="291"/>
      <c r="II126" s="899"/>
      <c r="IJ126" s="900"/>
      <c r="IK126" s="900"/>
      <c r="IL126" s="900"/>
      <c r="IM126" s="900"/>
      <c r="IN126" s="900"/>
      <c r="IO126" s="900"/>
      <c r="IP126" s="900"/>
      <c r="IQ126" s="900"/>
      <c r="IR126" s="900"/>
      <c r="IS126" s="900"/>
      <c r="IT126" s="900"/>
      <c r="IU126" s="900"/>
      <c r="IV126" s="350"/>
      <c r="IW126" s="351"/>
      <c r="IX126" s="354"/>
      <c r="IY126" s="355"/>
      <c r="MY126" s="8" t="s">
        <v>214</v>
      </c>
      <c r="MZ126" s="10" t="s">
        <v>328</v>
      </c>
      <c r="NA126" s="6">
        <f>NA128*((AH5/1000)^2)*((10*AN32)^3)</f>
        <v>385.99241570983844</v>
      </c>
      <c r="NB126" s="6"/>
      <c r="NE126" s="12"/>
      <c r="NF126" s="3"/>
      <c r="NG126" s="3"/>
      <c r="TT126" s="8" t="s">
        <v>239</v>
      </c>
      <c r="TU126" s="10" t="s">
        <v>279</v>
      </c>
      <c r="TV126" s="6" t="e">
        <f>MD168*TV125</f>
        <v>#REF!</v>
      </c>
      <c r="TW126" s="6"/>
      <c r="TZ126" s="12"/>
      <c r="UA126" s="3"/>
      <c r="UB126" s="3"/>
      <c r="WW126" s="8"/>
      <c r="WX126" s="10" t="s">
        <v>551</v>
      </c>
      <c r="WY126" s="6">
        <v>1.07</v>
      </c>
      <c r="WZ126" s="6"/>
      <c r="XC126" s="12"/>
      <c r="XD126" s="3"/>
      <c r="XE126" s="3"/>
    </row>
    <row r="127" spans="67:704" ht="48" customHeight="1" thickBot="1" x14ac:dyDescent="0.35">
      <c r="EW127" s="286"/>
      <c r="EX127" s="286"/>
      <c r="EY127" s="286"/>
      <c r="EZ127" s="286"/>
      <c r="FA127" s="286"/>
      <c r="FB127" s="286"/>
      <c r="FC127" s="286"/>
      <c r="FD127" s="286"/>
      <c r="FE127" s="286"/>
      <c r="FF127" s="286"/>
      <c r="FG127" s="286"/>
      <c r="FH127" s="286"/>
      <c r="FI127" s="286"/>
      <c r="FJ127" s="286"/>
      <c r="FK127" s="286"/>
      <c r="FL127" s="286"/>
      <c r="FM127" s="286"/>
      <c r="FN127" s="286"/>
      <c r="FO127" s="286"/>
      <c r="FW127" s="356"/>
      <c r="FX127" s="297" t="s">
        <v>604</v>
      </c>
      <c r="FY127" s="298"/>
      <c r="FZ127" s="315"/>
      <c r="GA127" s="175"/>
      <c r="GB127" s="175"/>
      <c r="GC127" s="175"/>
      <c r="GD127" s="175"/>
      <c r="GE127" s="175"/>
      <c r="GF127" s="175"/>
      <c r="GG127" s="315"/>
      <c r="GH127" s="173" t="s">
        <v>629</v>
      </c>
      <c r="GI127" s="359" t="s">
        <v>623</v>
      </c>
      <c r="GJ127" s="381"/>
      <c r="GK127" s="382" t="s">
        <v>189</v>
      </c>
      <c r="GL127" s="383"/>
      <c r="GM127" s="363" t="s">
        <v>910</v>
      </c>
      <c r="GN127" s="364"/>
      <c r="GO127" s="365" t="s">
        <v>638</v>
      </c>
      <c r="GP127" s="366"/>
      <c r="GQ127" s="366"/>
      <c r="GR127" s="367"/>
      <c r="GZ127" s="291"/>
      <c r="HA127" s="291"/>
      <c r="HB127" s="291"/>
      <c r="HC127" s="291"/>
      <c r="HD127" s="291"/>
      <c r="HE127" s="291"/>
      <c r="HF127" s="291"/>
      <c r="HG127" s="291"/>
      <c r="HH127" s="291"/>
      <c r="HI127" s="291"/>
      <c r="HV127" s="291"/>
      <c r="HW127" s="291"/>
      <c r="HX127" s="291"/>
      <c r="HY127" s="291"/>
      <c r="HZ127" s="291"/>
      <c r="II127" s="897" t="s">
        <v>71</v>
      </c>
      <c r="IJ127" s="898"/>
      <c r="IK127" s="898"/>
      <c r="IL127" s="898"/>
      <c r="IM127" s="898"/>
      <c r="IN127" s="898"/>
      <c r="IO127" s="898"/>
      <c r="IP127" s="898"/>
      <c r="IQ127" s="898"/>
      <c r="IR127" s="898"/>
      <c r="IS127" s="898"/>
      <c r="IT127" s="898"/>
      <c r="IU127" s="898"/>
      <c r="IV127" s="348">
        <f>EH16</f>
        <v>1.85</v>
      </c>
      <c r="IW127" s="349"/>
      <c r="IX127" s="352"/>
      <c r="IY127" s="353"/>
      <c r="LP127" s="356"/>
      <c r="LQ127" s="297" t="s">
        <v>604</v>
      </c>
      <c r="LR127" s="298"/>
      <c r="LS127" s="331"/>
      <c r="LT127" s="175"/>
      <c r="LU127" s="175"/>
      <c r="LV127" s="175"/>
      <c r="LW127" s="175"/>
      <c r="LX127" s="175"/>
      <c r="LY127" s="175"/>
      <c r="LZ127" s="331"/>
      <c r="MA127" s="173" t="s">
        <v>629</v>
      </c>
      <c r="MB127" s="359" t="s">
        <v>623</v>
      </c>
      <c r="MC127" s="360"/>
      <c r="MD127" s="382" t="s">
        <v>189</v>
      </c>
      <c r="ME127" s="383"/>
      <c r="MF127" s="363" t="s">
        <v>910</v>
      </c>
      <c r="MG127" s="364"/>
      <c r="MH127" s="365" t="s">
        <v>638</v>
      </c>
      <c r="MI127" s="366"/>
      <c r="MJ127" s="366"/>
      <c r="MK127" s="367"/>
      <c r="MY127" s="8"/>
      <c r="MZ127" s="10" t="s">
        <v>329</v>
      </c>
      <c r="NA127" s="6">
        <f>NA128*((AH5/10)^2)*(AN20^4)</f>
        <v>7463.3464496736005</v>
      </c>
      <c r="NB127" s="6"/>
      <c r="NE127" s="12"/>
      <c r="NF127" s="3"/>
      <c r="NG127" s="3"/>
      <c r="TT127" s="8" t="s">
        <v>240</v>
      </c>
      <c r="TU127" s="10" t="s">
        <v>280</v>
      </c>
      <c r="TV127" s="6" t="e">
        <f>AH6/(((((MD12+TV121)^2)/TV99)+(MD64+TV126)^2)^0.5)</f>
        <v>#REF!</v>
      </c>
      <c r="TW127" s="6"/>
      <c r="TZ127" s="12"/>
      <c r="UA127" s="3"/>
      <c r="UB127" s="3"/>
      <c r="VL127" s="356"/>
      <c r="VM127" s="297" t="s">
        <v>604</v>
      </c>
      <c r="VN127" s="298"/>
      <c r="VO127" s="321"/>
      <c r="VP127" s="175"/>
      <c r="VQ127" s="175"/>
      <c r="VR127" s="175"/>
      <c r="VS127" s="175"/>
      <c r="VT127" s="175"/>
      <c r="VU127" s="175"/>
      <c r="VV127" s="321"/>
      <c r="VW127" s="173" t="s">
        <v>629</v>
      </c>
      <c r="VX127" s="359" t="s">
        <v>623</v>
      </c>
      <c r="VY127" s="381"/>
      <c r="VZ127" s="382" t="s">
        <v>189</v>
      </c>
      <c r="WA127" s="383"/>
      <c r="WB127" s="363" t="s">
        <v>910</v>
      </c>
      <c r="WC127" s="364"/>
      <c r="WD127" s="365" t="s">
        <v>638</v>
      </c>
      <c r="WE127" s="366"/>
      <c r="WF127" s="366"/>
      <c r="WG127" s="367"/>
      <c r="WW127" s="8"/>
      <c r="WX127" s="10" t="s">
        <v>552</v>
      </c>
      <c r="WY127" s="6">
        <v>1.45</v>
      </c>
      <c r="WZ127" s="6"/>
      <c r="XC127" s="12"/>
      <c r="XD127" s="3"/>
      <c r="XE127" s="3"/>
      <c r="ZG127" s="356"/>
      <c r="ZH127" s="297" t="s">
        <v>604</v>
      </c>
      <c r="ZI127" s="298"/>
      <c r="ZJ127" s="321"/>
      <c r="ZK127" s="175"/>
      <c r="ZL127" s="175"/>
      <c r="ZM127" s="175"/>
      <c r="ZN127" s="175"/>
      <c r="ZO127" s="175"/>
      <c r="ZP127" s="175"/>
      <c r="ZQ127" s="321"/>
      <c r="ZR127" s="173" t="s">
        <v>629</v>
      </c>
      <c r="ZS127" s="359" t="s">
        <v>623</v>
      </c>
      <c r="ZT127" s="381"/>
      <c r="ZU127" s="382" t="s">
        <v>189</v>
      </c>
      <c r="ZV127" s="383"/>
      <c r="ZW127" s="363" t="s">
        <v>910</v>
      </c>
      <c r="ZX127" s="364"/>
      <c r="ZY127" s="365" t="s">
        <v>638</v>
      </c>
      <c r="ZZ127" s="366"/>
      <c r="AAA127" s="366"/>
      <c r="AAB127" s="367"/>
    </row>
    <row r="128" spans="67:704" ht="48" customHeight="1" thickBot="1" x14ac:dyDescent="0.35">
      <c r="EW128" s="286"/>
      <c r="EX128" s="286"/>
      <c r="EY128" s="286"/>
      <c r="EZ128" s="286"/>
      <c r="FA128" s="286"/>
      <c r="FB128" s="286"/>
      <c r="FC128" s="286"/>
      <c r="FD128" s="286"/>
      <c r="FE128" s="286"/>
      <c r="FF128" s="286"/>
      <c r="FG128" s="286"/>
      <c r="FH128" s="286"/>
      <c r="FI128" s="286"/>
      <c r="FJ128" s="286"/>
      <c r="FK128" s="286"/>
      <c r="FL128" s="286"/>
      <c r="FM128" s="286"/>
      <c r="FN128" s="286"/>
      <c r="FO128" s="286"/>
      <c r="FW128" s="357"/>
      <c r="FX128" s="436" t="s">
        <v>1043</v>
      </c>
      <c r="FY128" s="345"/>
      <c r="FZ128" s="345"/>
      <c r="GA128" s="345"/>
      <c r="GB128" s="345"/>
      <c r="GC128" s="345"/>
      <c r="GD128" s="345"/>
      <c r="GE128" s="345"/>
      <c r="GF128" s="345"/>
      <c r="GG128" s="345"/>
      <c r="GH128" s="345"/>
      <c r="GI128" s="345"/>
      <c r="GJ128" s="345"/>
      <c r="GK128" s="388">
        <f>GK108/(GK124)</f>
        <v>33.050483665306196</v>
      </c>
      <c r="GL128" s="371"/>
      <c r="GM128" s="406"/>
      <c r="GN128" s="408"/>
      <c r="GO128" s="386"/>
      <c r="GP128" s="375" t="s">
        <v>604</v>
      </c>
      <c r="GQ128" s="376"/>
      <c r="GR128" s="379"/>
      <c r="GZ128" s="291"/>
      <c r="HA128" s="291"/>
      <c r="HB128" s="291"/>
      <c r="HC128" s="291"/>
      <c r="HD128" s="291"/>
      <c r="HE128" s="291"/>
      <c r="HF128" s="291"/>
      <c r="HG128" s="291"/>
      <c r="HH128" s="291"/>
      <c r="HI128" s="291"/>
      <c r="HV128" s="291"/>
      <c r="HW128" s="291"/>
      <c r="HX128" s="291"/>
      <c r="HY128" s="291"/>
      <c r="HZ128" s="291"/>
      <c r="II128" s="899"/>
      <c r="IJ128" s="900"/>
      <c r="IK128" s="900"/>
      <c r="IL128" s="900"/>
      <c r="IM128" s="900"/>
      <c r="IN128" s="900"/>
      <c r="IO128" s="900"/>
      <c r="IP128" s="900"/>
      <c r="IQ128" s="900"/>
      <c r="IR128" s="900"/>
      <c r="IS128" s="900"/>
      <c r="IT128" s="900"/>
      <c r="IU128" s="900"/>
      <c r="IV128" s="350"/>
      <c r="IW128" s="351"/>
      <c r="IX128" s="354"/>
      <c r="IY128" s="355"/>
      <c r="LP128" s="357"/>
      <c r="LQ128" s="344" t="s">
        <v>159</v>
      </c>
      <c r="LR128" s="345"/>
      <c r="LS128" s="345"/>
      <c r="LT128" s="345"/>
      <c r="LU128" s="345"/>
      <c r="LV128" s="345"/>
      <c r="LW128" s="345"/>
      <c r="LX128" s="345"/>
      <c r="LY128" s="345"/>
      <c r="LZ128" s="345"/>
      <c r="MA128" s="345"/>
      <c r="MB128" s="345"/>
      <c r="MC128" s="345"/>
      <c r="MD128" s="348">
        <v>0</v>
      </c>
      <c r="ME128" s="349"/>
      <c r="MF128" s="390"/>
      <c r="MG128" s="371"/>
      <c r="MH128" s="373"/>
      <c r="MI128" s="375" t="s">
        <v>604</v>
      </c>
      <c r="MJ128" s="376"/>
      <c r="MK128" s="379"/>
      <c r="MY128" s="8"/>
      <c r="MZ128" s="11" t="s">
        <v>327</v>
      </c>
      <c r="NA128" s="4">
        <v>6</v>
      </c>
      <c r="NB128" s="6"/>
      <c r="NE128" s="12"/>
      <c r="NF128" s="3"/>
      <c r="NG128" s="3"/>
      <c r="TT128" s="8" t="s">
        <v>241</v>
      </c>
      <c r="TU128" s="10" t="s">
        <v>281</v>
      </c>
      <c r="TV128" s="6">
        <f>((0.7*TV129*CC48*CC60)/CF52)*(MD100+CC80*CC72*(CC28/GK24))</f>
        <v>614.92605235423514</v>
      </c>
      <c r="TW128" s="6"/>
      <c r="TZ128" s="12"/>
      <c r="UA128" s="3"/>
      <c r="UB128" s="3"/>
      <c r="VL128" s="357"/>
      <c r="VM128" s="384"/>
      <c r="VN128" s="384"/>
      <c r="VO128" s="384"/>
      <c r="VP128" s="384"/>
      <c r="VQ128" s="384"/>
      <c r="VR128" s="384"/>
      <c r="VS128" s="384"/>
      <c r="VT128" s="384"/>
      <c r="VU128" s="384"/>
      <c r="VV128" s="384"/>
      <c r="VW128" s="384"/>
      <c r="VX128" s="384"/>
      <c r="VY128" s="384"/>
      <c r="VZ128" s="348"/>
      <c r="WA128" s="349"/>
      <c r="WB128" s="370"/>
      <c r="WC128" s="371"/>
      <c r="WD128" s="386"/>
      <c r="WE128" s="375" t="s">
        <v>604</v>
      </c>
      <c r="WF128" s="376"/>
      <c r="WG128" s="379"/>
      <c r="WW128" s="8"/>
      <c r="WX128" s="11" t="s">
        <v>553</v>
      </c>
      <c r="WY128" s="4">
        <f>WY125</f>
        <v>1.1499999999999999</v>
      </c>
      <c r="WZ128" s="6"/>
      <c r="XC128" s="12"/>
      <c r="XD128" s="3"/>
      <c r="XE128" s="3"/>
      <c r="ZG128" s="357"/>
      <c r="ZH128" s="384"/>
      <c r="ZI128" s="384"/>
      <c r="ZJ128" s="384"/>
      <c r="ZK128" s="384"/>
      <c r="ZL128" s="384"/>
      <c r="ZM128" s="384"/>
      <c r="ZN128" s="384"/>
      <c r="ZO128" s="384"/>
      <c r="ZP128" s="384"/>
      <c r="ZQ128" s="384"/>
      <c r="ZR128" s="384"/>
      <c r="ZS128" s="384"/>
      <c r="ZT128" s="384"/>
      <c r="ZU128" s="348"/>
      <c r="ZV128" s="349"/>
      <c r="ZW128" s="370"/>
      <c r="ZX128" s="371"/>
      <c r="ZY128" s="386"/>
      <c r="ZZ128" s="375" t="s">
        <v>604</v>
      </c>
      <c r="AAA128" s="376"/>
      <c r="AAB128" s="379"/>
    </row>
    <row r="129" spans="153:704" ht="48" customHeight="1" thickBot="1" x14ac:dyDescent="0.35">
      <c r="EW129" s="286"/>
      <c r="EX129" s="286"/>
      <c r="EY129" s="286"/>
      <c r="EZ129" s="286"/>
      <c r="FA129" s="286"/>
      <c r="FB129" s="286"/>
      <c r="FC129" s="286"/>
      <c r="FD129" s="286"/>
      <c r="FE129" s="286"/>
      <c r="FF129" s="286"/>
      <c r="FG129" s="286"/>
      <c r="FH129" s="286"/>
      <c r="FI129" s="286"/>
      <c r="FJ129" s="286"/>
      <c r="FK129" s="286"/>
      <c r="FL129" s="286"/>
      <c r="FM129" s="286"/>
      <c r="FN129" s="286"/>
      <c r="FO129" s="286"/>
      <c r="FW129" s="358"/>
      <c r="FX129" s="346"/>
      <c r="FY129" s="347"/>
      <c r="FZ129" s="347"/>
      <c r="GA129" s="347"/>
      <c r="GB129" s="347"/>
      <c r="GC129" s="347"/>
      <c r="GD129" s="347"/>
      <c r="GE129" s="347"/>
      <c r="GF129" s="347"/>
      <c r="GG129" s="347"/>
      <c r="GH129" s="347"/>
      <c r="GI129" s="347"/>
      <c r="GJ129" s="347"/>
      <c r="GK129" s="389"/>
      <c r="GL129" s="372"/>
      <c r="GM129" s="409"/>
      <c r="GN129" s="411"/>
      <c r="GO129" s="387"/>
      <c r="GP129" s="377"/>
      <c r="GQ129" s="378"/>
      <c r="GR129" s="380"/>
      <c r="GZ129" s="291"/>
      <c r="HA129" s="291"/>
      <c r="HB129" s="291"/>
      <c r="HC129" s="291"/>
      <c r="HD129" s="291"/>
      <c r="HE129" s="291"/>
      <c r="HF129" s="291"/>
      <c r="HG129" s="291"/>
      <c r="HH129" s="291"/>
      <c r="HI129" s="291"/>
      <c r="HV129" s="291"/>
      <c r="HW129" s="291"/>
      <c r="HX129" s="291"/>
      <c r="HY129" s="291"/>
      <c r="HZ129" s="291"/>
      <c r="II129" s="897" t="s">
        <v>135</v>
      </c>
      <c r="IJ129" s="898"/>
      <c r="IK129" s="898"/>
      <c r="IL129" s="898"/>
      <c r="IM129" s="898"/>
      <c r="IN129" s="898"/>
      <c r="IO129" s="898"/>
      <c r="IP129" s="898"/>
      <c r="IQ129" s="898"/>
      <c r="IR129" s="898"/>
      <c r="IS129" s="898"/>
      <c r="IT129" s="898"/>
      <c r="IU129" s="898"/>
      <c r="IV129" s="348">
        <f>EH12</f>
        <v>1.5</v>
      </c>
      <c r="IW129" s="349"/>
      <c r="IX129" s="352"/>
      <c r="IY129" s="353"/>
      <c r="LP129" s="358"/>
      <c r="LQ129" s="346"/>
      <c r="LR129" s="347"/>
      <c r="LS129" s="347"/>
      <c r="LT129" s="347"/>
      <c r="LU129" s="347"/>
      <c r="LV129" s="347"/>
      <c r="LW129" s="347"/>
      <c r="LX129" s="347"/>
      <c r="LY129" s="347"/>
      <c r="LZ129" s="347"/>
      <c r="MA129" s="347"/>
      <c r="MB129" s="347"/>
      <c r="MC129" s="347"/>
      <c r="MD129" s="350"/>
      <c r="ME129" s="351"/>
      <c r="MF129" s="347"/>
      <c r="MG129" s="372"/>
      <c r="MH129" s="374"/>
      <c r="MI129" s="377"/>
      <c r="MJ129" s="378"/>
      <c r="MK129" s="380"/>
      <c r="MY129" s="8"/>
      <c r="MZ129" s="10"/>
      <c r="NA129" s="6"/>
      <c r="NB129" s="6"/>
      <c r="NE129" s="12"/>
      <c r="NF129" s="3"/>
      <c r="NG129" s="3"/>
      <c r="TT129" s="8"/>
      <c r="TU129" s="11" t="s">
        <v>548</v>
      </c>
      <c r="TV129" s="4">
        <v>1.3</v>
      </c>
      <c r="TW129" s="6"/>
      <c r="TZ129" s="12"/>
      <c r="UA129" s="3"/>
      <c r="UB129" s="3"/>
      <c r="VL129" s="358"/>
      <c r="VM129" s="385"/>
      <c r="VN129" s="385"/>
      <c r="VO129" s="385"/>
      <c r="VP129" s="385"/>
      <c r="VQ129" s="385"/>
      <c r="VR129" s="385"/>
      <c r="VS129" s="385"/>
      <c r="VT129" s="385"/>
      <c r="VU129" s="385"/>
      <c r="VV129" s="385"/>
      <c r="VW129" s="385"/>
      <c r="VX129" s="385"/>
      <c r="VY129" s="385"/>
      <c r="VZ129" s="350"/>
      <c r="WA129" s="351"/>
      <c r="WB129" s="346"/>
      <c r="WC129" s="372"/>
      <c r="WD129" s="387"/>
      <c r="WE129" s="377"/>
      <c r="WF129" s="378"/>
      <c r="WG129" s="380"/>
      <c r="WW129" s="8"/>
      <c r="WX129" s="10"/>
      <c r="WY129" s="6" t="e">
        <f>WY128*WY130*2*MD16/MD20</f>
        <v>#REF!</v>
      </c>
      <c r="WZ129" s="6"/>
      <c r="XC129" s="12"/>
      <c r="XD129" s="3"/>
      <c r="XE129" s="3"/>
      <c r="ZG129" s="358"/>
      <c r="ZH129" s="385"/>
      <c r="ZI129" s="385"/>
      <c r="ZJ129" s="385"/>
      <c r="ZK129" s="385"/>
      <c r="ZL129" s="385"/>
      <c r="ZM129" s="385"/>
      <c r="ZN129" s="385"/>
      <c r="ZO129" s="385"/>
      <c r="ZP129" s="385"/>
      <c r="ZQ129" s="385"/>
      <c r="ZR129" s="385"/>
      <c r="ZS129" s="385"/>
      <c r="ZT129" s="385"/>
      <c r="ZU129" s="350"/>
      <c r="ZV129" s="351"/>
      <c r="ZW129" s="346"/>
      <c r="ZX129" s="372"/>
      <c r="ZY129" s="387"/>
      <c r="ZZ129" s="377"/>
      <c r="AAA129" s="378"/>
      <c r="AAB129" s="380"/>
    </row>
    <row r="130" spans="153:704" ht="48" customHeight="1" thickBot="1" x14ac:dyDescent="0.35">
      <c r="GZ130" s="291"/>
      <c r="HA130" s="291"/>
      <c r="HB130" s="291"/>
      <c r="HC130" s="291"/>
      <c r="HD130" s="291"/>
      <c r="HE130" s="291"/>
      <c r="HF130" s="291"/>
      <c r="HG130" s="291"/>
      <c r="HH130" s="291"/>
      <c r="HI130" s="291"/>
      <c r="HV130" s="291"/>
      <c r="HW130" s="291"/>
      <c r="HX130" s="291"/>
      <c r="HY130" s="291"/>
      <c r="HZ130" s="291"/>
      <c r="II130" s="899"/>
      <c r="IJ130" s="900"/>
      <c r="IK130" s="900"/>
      <c r="IL130" s="900"/>
      <c r="IM130" s="900"/>
      <c r="IN130" s="900"/>
      <c r="IO130" s="900"/>
      <c r="IP130" s="900"/>
      <c r="IQ130" s="900"/>
      <c r="IR130" s="900"/>
      <c r="IS130" s="900"/>
      <c r="IT130" s="900"/>
      <c r="IU130" s="900"/>
      <c r="IV130" s="350"/>
      <c r="IW130" s="351"/>
      <c r="IX130" s="354"/>
      <c r="IY130" s="355"/>
      <c r="MY130" s="8"/>
      <c r="MZ130" s="10"/>
      <c r="NA130" s="6"/>
      <c r="NB130" s="6"/>
      <c r="NE130" s="12"/>
      <c r="NF130" s="3"/>
      <c r="NG130" s="3"/>
      <c r="TT130" s="8"/>
      <c r="TU130" s="10"/>
      <c r="TV130" s="6"/>
      <c r="TW130" s="6"/>
      <c r="TZ130" s="12"/>
      <c r="UA130" s="3"/>
      <c r="UB130" s="3"/>
      <c r="WW130" s="8"/>
      <c r="WX130" s="10"/>
      <c r="WY130" s="6" t="e">
        <f>#REF!*CC48*MD12</f>
        <v>#REF!</v>
      </c>
      <c r="WZ130" s="6"/>
      <c r="XC130" s="12"/>
      <c r="XD130" s="3"/>
      <c r="XE130" s="3"/>
    </row>
    <row r="131" spans="153:704" ht="48" customHeight="1" thickBot="1" x14ac:dyDescent="0.35">
      <c r="FW131" s="173" t="s">
        <v>1050</v>
      </c>
      <c r="FX131" s="297" t="s">
        <v>604</v>
      </c>
      <c r="FY131" s="298"/>
      <c r="FZ131" s="315"/>
      <c r="GA131" s="175"/>
      <c r="GB131" s="175"/>
      <c r="GC131" s="175"/>
      <c r="GD131" s="175"/>
      <c r="GE131" s="175"/>
      <c r="GF131" s="175"/>
      <c r="GG131" s="315"/>
      <c r="GH131" s="173" t="s">
        <v>629</v>
      </c>
      <c r="GI131" s="359" t="s">
        <v>623</v>
      </c>
      <c r="GJ131" s="381"/>
      <c r="GK131" s="382" t="s">
        <v>189</v>
      </c>
      <c r="GL131" s="383"/>
      <c r="GM131" s="363" t="s">
        <v>910</v>
      </c>
      <c r="GN131" s="364"/>
      <c r="GO131" s="365" t="s">
        <v>638</v>
      </c>
      <c r="GP131" s="366"/>
      <c r="GQ131" s="366"/>
      <c r="GR131" s="367"/>
      <c r="GZ131" s="291"/>
      <c r="HA131" s="291"/>
      <c r="HB131" s="291"/>
      <c r="HC131" s="291"/>
      <c r="HD131" s="291"/>
      <c r="HE131" s="291"/>
      <c r="HF131" s="291"/>
      <c r="HG131" s="291"/>
      <c r="HH131" s="291"/>
      <c r="HI131" s="291"/>
      <c r="HV131" s="291"/>
      <c r="HW131" s="291"/>
      <c r="HX131" s="291"/>
      <c r="HY131" s="291"/>
      <c r="HZ131" s="291"/>
      <c r="II131" s="897" t="s">
        <v>131</v>
      </c>
      <c r="IJ131" s="898"/>
      <c r="IK131" s="898"/>
      <c r="IL131" s="898"/>
      <c r="IM131" s="898"/>
      <c r="IN131" s="898"/>
      <c r="IO131" s="898"/>
      <c r="IP131" s="898"/>
      <c r="IQ131" s="898"/>
      <c r="IR131" s="898"/>
      <c r="IS131" s="898"/>
      <c r="IT131" s="898"/>
      <c r="IU131" s="898"/>
      <c r="IV131" s="348">
        <f>EE24</f>
        <v>1.45</v>
      </c>
      <c r="IW131" s="349"/>
      <c r="IX131" s="352"/>
      <c r="IY131" s="353"/>
      <c r="LP131" s="356"/>
      <c r="LQ131" s="297" t="s">
        <v>604</v>
      </c>
      <c r="LR131" s="298"/>
      <c r="LS131" s="331"/>
      <c r="LT131" s="175"/>
      <c r="LU131" s="175"/>
      <c r="LV131" s="175"/>
      <c r="LW131" s="175"/>
      <c r="LX131" s="175"/>
      <c r="LY131" s="175"/>
      <c r="LZ131" s="331"/>
      <c r="MA131" s="173" t="s">
        <v>629</v>
      </c>
      <c r="MB131" s="359" t="s">
        <v>623</v>
      </c>
      <c r="MC131" s="360"/>
      <c r="MD131" s="361" t="s">
        <v>189</v>
      </c>
      <c r="ME131" s="362"/>
      <c r="MF131" s="363" t="s">
        <v>910</v>
      </c>
      <c r="MG131" s="364"/>
      <c r="MH131" s="365" t="s">
        <v>638</v>
      </c>
      <c r="MI131" s="366"/>
      <c r="MJ131" s="366"/>
      <c r="MK131" s="367"/>
      <c r="MY131" s="8"/>
      <c r="MZ131" s="10"/>
      <c r="NA131" s="6"/>
      <c r="NB131" s="6"/>
      <c r="NE131" s="12"/>
      <c r="NF131" s="3"/>
      <c r="NG131" s="3"/>
      <c r="TT131" s="8"/>
      <c r="TU131" s="10"/>
      <c r="TV131" s="6"/>
      <c r="TW131" s="6"/>
      <c r="TZ131" s="12"/>
      <c r="UA131" s="3"/>
      <c r="UB131" s="3"/>
      <c r="VL131" s="356"/>
      <c r="VM131" s="297" t="s">
        <v>604</v>
      </c>
      <c r="VN131" s="298"/>
      <c r="VO131" s="321"/>
      <c r="VP131" s="175"/>
      <c r="VQ131" s="175"/>
      <c r="VR131" s="175"/>
      <c r="VS131" s="175"/>
      <c r="VT131" s="175"/>
      <c r="VU131" s="175"/>
      <c r="VV131" s="321"/>
      <c r="VW131" s="173" t="s">
        <v>629</v>
      </c>
      <c r="VX131" s="359" t="s">
        <v>623</v>
      </c>
      <c r="VY131" s="360"/>
      <c r="VZ131" s="361" t="s">
        <v>189</v>
      </c>
      <c r="WA131" s="362"/>
      <c r="WB131" s="363" t="s">
        <v>910</v>
      </c>
      <c r="WC131" s="364"/>
      <c r="WD131" s="365" t="s">
        <v>638</v>
      </c>
      <c r="WE131" s="366"/>
      <c r="WF131" s="366"/>
      <c r="WG131" s="367"/>
      <c r="WW131" s="8"/>
      <c r="WX131" s="10"/>
      <c r="WY131" s="6"/>
      <c r="WZ131" s="6"/>
      <c r="XC131" s="12"/>
      <c r="XD131" s="3"/>
      <c r="XE131" s="3"/>
      <c r="ZG131" s="356"/>
      <c r="ZH131" s="297" t="s">
        <v>604</v>
      </c>
      <c r="ZI131" s="298"/>
      <c r="ZJ131" s="321"/>
      <c r="ZK131" s="175"/>
      <c r="ZL131" s="175"/>
      <c r="ZM131" s="175"/>
      <c r="ZN131" s="175"/>
      <c r="ZO131" s="175"/>
      <c r="ZP131" s="175"/>
      <c r="ZQ131" s="321"/>
      <c r="ZR131" s="173" t="s">
        <v>629</v>
      </c>
      <c r="ZS131" s="359" t="s">
        <v>623</v>
      </c>
      <c r="ZT131" s="381"/>
      <c r="ZU131" s="382" t="s">
        <v>189</v>
      </c>
      <c r="ZV131" s="383"/>
      <c r="ZW131" s="363" t="s">
        <v>910</v>
      </c>
      <c r="ZX131" s="364"/>
      <c r="ZY131" s="365" t="s">
        <v>638</v>
      </c>
      <c r="ZZ131" s="366"/>
      <c r="AAA131" s="366"/>
      <c r="AAB131" s="367"/>
    </row>
    <row r="132" spans="153:704" ht="48" customHeight="1" thickBot="1" x14ac:dyDescent="0.35">
      <c r="FW132" s="356"/>
      <c r="FX132" s="344" t="s">
        <v>83</v>
      </c>
      <c r="FY132" s="345"/>
      <c r="FZ132" s="345"/>
      <c r="GA132" s="345"/>
      <c r="GB132" s="345"/>
      <c r="GC132" s="345"/>
      <c r="GD132" s="345"/>
      <c r="GE132" s="345"/>
      <c r="GF132" s="345"/>
      <c r="GG132" s="345"/>
      <c r="GH132" s="345"/>
      <c r="GI132" s="345"/>
      <c r="GJ132" s="345"/>
      <c r="GK132" s="388">
        <f>GK28*1000-GK124</f>
        <v>142.1819467927713</v>
      </c>
      <c r="GL132" s="371"/>
      <c r="GM132" s="406" t="s">
        <v>53</v>
      </c>
      <c r="GN132" s="408"/>
      <c r="GO132" s="386"/>
      <c r="GP132" s="375" t="s">
        <v>604</v>
      </c>
      <c r="GQ132" s="376"/>
      <c r="GR132" s="379"/>
      <c r="GZ132" s="291"/>
      <c r="HA132" s="291"/>
      <c r="HB132" s="291"/>
      <c r="HC132" s="291"/>
      <c r="HD132" s="291"/>
      <c r="HE132" s="291"/>
      <c r="HF132" s="291"/>
      <c r="HG132" s="291"/>
      <c r="HH132" s="291"/>
      <c r="HI132" s="291"/>
      <c r="HV132" s="291"/>
      <c r="HW132" s="291"/>
      <c r="HX132" s="291"/>
      <c r="HY132" s="291"/>
      <c r="HZ132" s="291"/>
      <c r="II132" s="899"/>
      <c r="IJ132" s="900"/>
      <c r="IK132" s="900"/>
      <c r="IL132" s="900"/>
      <c r="IM132" s="900"/>
      <c r="IN132" s="900"/>
      <c r="IO132" s="900"/>
      <c r="IP132" s="900"/>
      <c r="IQ132" s="900"/>
      <c r="IR132" s="900"/>
      <c r="IS132" s="900"/>
      <c r="IT132" s="900"/>
      <c r="IU132" s="900"/>
      <c r="IV132" s="350"/>
      <c r="IW132" s="351"/>
      <c r="IX132" s="354"/>
      <c r="IY132" s="355"/>
      <c r="LP132" s="357"/>
      <c r="LQ132" s="344" t="s">
        <v>162</v>
      </c>
      <c r="LR132" s="345"/>
      <c r="LS132" s="345"/>
      <c r="LT132" s="345"/>
      <c r="LU132" s="345"/>
      <c r="LV132" s="345"/>
      <c r="LW132" s="345"/>
      <c r="LX132" s="345"/>
      <c r="LY132" s="345"/>
      <c r="LZ132" s="345"/>
      <c r="MA132" s="345"/>
      <c r="MB132" s="345"/>
      <c r="MC132" s="345"/>
      <c r="MD132" s="348">
        <v>0.7</v>
      </c>
      <c r="ME132" s="349"/>
      <c r="MF132" s="390"/>
      <c r="MG132" s="371"/>
      <c r="MH132" s="373"/>
      <c r="MI132" s="375" t="s">
        <v>604</v>
      </c>
      <c r="MJ132" s="376"/>
      <c r="MK132" s="379"/>
      <c r="MY132" s="8" t="s">
        <v>215</v>
      </c>
      <c r="MZ132" s="10" t="s">
        <v>222</v>
      </c>
      <c r="NA132" s="6">
        <f>0.005*(AH4/AQ44)</f>
        <v>142.04545454545453</v>
      </c>
      <c r="NB132" s="6"/>
      <c r="NE132" s="12"/>
      <c r="NF132" s="3"/>
      <c r="NG132" s="3"/>
      <c r="TT132" s="8" t="s">
        <v>242</v>
      </c>
      <c r="TU132" s="10" t="s">
        <v>282</v>
      </c>
      <c r="TV132" s="6">
        <f>(TV128/(1.6*GK12*TV133))/(10^3)</f>
        <v>0.57418415471065898</v>
      </c>
      <c r="TW132" s="6"/>
      <c r="TZ132" s="12"/>
      <c r="UA132" s="3"/>
      <c r="UB132" s="3"/>
      <c r="VL132" s="357"/>
      <c r="VM132" s="344"/>
      <c r="VN132" s="345"/>
      <c r="VO132" s="345"/>
      <c r="VP132" s="345"/>
      <c r="VQ132" s="345"/>
      <c r="VR132" s="345"/>
      <c r="VS132" s="345"/>
      <c r="VT132" s="345"/>
      <c r="VU132" s="345"/>
      <c r="VV132" s="345"/>
      <c r="VW132" s="345"/>
      <c r="VX132" s="345"/>
      <c r="VY132" s="368"/>
      <c r="VZ132" s="348"/>
      <c r="WA132" s="349"/>
      <c r="WB132" s="370"/>
      <c r="WC132" s="371"/>
      <c r="WD132" s="373"/>
      <c r="WE132" s="375" t="s">
        <v>604</v>
      </c>
      <c r="WF132" s="376"/>
      <c r="WG132" s="379"/>
      <c r="WW132" s="8"/>
      <c r="WX132" s="10"/>
      <c r="WY132" s="6"/>
      <c r="WZ132" s="6"/>
      <c r="XC132" s="12"/>
      <c r="XD132" s="3"/>
      <c r="XE132" s="3"/>
      <c r="ZG132" s="357"/>
      <c r="ZH132" s="384"/>
      <c r="ZI132" s="384"/>
      <c r="ZJ132" s="384"/>
      <c r="ZK132" s="384"/>
      <c r="ZL132" s="384"/>
      <c r="ZM132" s="384"/>
      <c r="ZN132" s="384"/>
      <c r="ZO132" s="384"/>
      <c r="ZP132" s="384"/>
      <c r="ZQ132" s="384"/>
      <c r="ZR132" s="384"/>
      <c r="ZS132" s="384"/>
      <c r="ZT132" s="384"/>
      <c r="ZU132" s="348"/>
      <c r="ZV132" s="349"/>
      <c r="ZW132" s="370"/>
      <c r="ZX132" s="371"/>
      <c r="ZY132" s="386"/>
      <c r="ZZ132" s="375" t="s">
        <v>604</v>
      </c>
      <c r="AAA132" s="376"/>
      <c r="AAB132" s="379"/>
    </row>
    <row r="133" spans="153:704" ht="48" customHeight="1" thickBot="1" x14ac:dyDescent="0.35">
      <c r="FW133" s="358"/>
      <c r="FX133" s="346"/>
      <c r="FY133" s="347"/>
      <c r="FZ133" s="347"/>
      <c r="GA133" s="347"/>
      <c r="GB133" s="347"/>
      <c r="GC133" s="347"/>
      <c r="GD133" s="347"/>
      <c r="GE133" s="347"/>
      <c r="GF133" s="347"/>
      <c r="GG133" s="347"/>
      <c r="GH133" s="347"/>
      <c r="GI133" s="347"/>
      <c r="GJ133" s="347"/>
      <c r="GK133" s="389"/>
      <c r="GL133" s="372"/>
      <c r="GM133" s="409"/>
      <c r="GN133" s="411"/>
      <c r="GO133" s="387"/>
      <c r="GP133" s="377"/>
      <c r="GQ133" s="378"/>
      <c r="GR133" s="380"/>
      <c r="GZ133" s="291"/>
      <c r="HA133" s="291"/>
      <c r="HB133" s="291"/>
      <c r="HC133" s="291"/>
      <c r="HD133" s="291"/>
      <c r="HE133" s="291"/>
      <c r="HF133" s="291"/>
      <c r="HG133" s="291"/>
      <c r="HH133" s="291"/>
      <c r="HI133" s="291"/>
      <c r="HV133" s="291"/>
      <c r="HW133" s="291"/>
      <c r="HX133" s="291"/>
      <c r="HY133" s="291"/>
      <c r="HZ133" s="291"/>
      <c r="IA133" s="3"/>
      <c r="IB133" s="3"/>
      <c r="LP133" s="358"/>
      <c r="LQ133" s="346"/>
      <c r="LR133" s="347"/>
      <c r="LS133" s="347"/>
      <c r="LT133" s="347"/>
      <c r="LU133" s="347"/>
      <c r="LV133" s="347"/>
      <c r="LW133" s="347"/>
      <c r="LX133" s="347"/>
      <c r="LY133" s="347"/>
      <c r="LZ133" s="347"/>
      <c r="MA133" s="347"/>
      <c r="MB133" s="347"/>
      <c r="MC133" s="347"/>
      <c r="MD133" s="350"/>
      <c r="ME133" s="351"/>
      <c r="MF133" s="347"/>
      <c r="MG133" s="372"/>
      <c r="MH133" s="374"/>
      <c r="MI133" s="377"/>
      <c r="MJ133" s="378"/>
      <c r="MK133" s="380"/>
      <c r="MY133" s="8" t="s">
        <v>216</v>
      </c>
      <c r="MZ133" s="10" t="s">
        <v>223</v>
      </c>
      <c r="NA133" s="6" t="e">
        <f>(NA134^2+IV116^2)^0.5</f>
        <v>#REF!</v>
      </c>
      <c r="NB133" s="6"/>
      <c r="NE133" s="12"/>
      <c r="NF133" s="3"/>
      <c r="NG133" s="3"/>
      <c r="TT133" s="8"/>
      <c r="TU133" s="10"/>
      <c r="TV133" s="6">
        <f>0.64+2.5*(GK12/((CC40+GK32)*1000))^0.5</f>
        <v>1.029765529908369</v>
      </c>
      <c r="TW133" s="6"/>
      <c r="TZ133" s="12"/>
      <c r="UA133" s="3"/>
      <c r="UB133" s="3"/>
      <c r="VL133" s="358"/>
      <c r="VM133" s="346"/>
      <c r="VN133" s="347"/>
      <c r="VO133" s="347"/>
      <c r="VP133" s="347"/>
      <c r="VQ133" s="347"/>
      <c r="VR133" s="347"/>
      <c r="VS133" s="347"/>
      <c r="VT133" s="347"/>
      <c r="VU133" s="347"/>
      <c r="VV133" s="347"/>
      <c r="VW133" s="347"/>
      <c r="VX133" s="347"/>
      <c r="VY133" s="369"/>
      <c r="VZ133" s="350"/>
      <c r="WA133" s="351"/>
      <c r="WB133" s="346"/>
      <c r="WC133" s="372"/>
      <c r="WD133" s="374"/>
      <c r="WE133" s="377"/>
      <c r="WF133" s="378"/>
      <c r="WG133" s="380"/>
      <c r="WW133" s="8"/>
      <c r="WX133" s="10"/>
      <c r="WY133" s="6"/>
      <c r="WZ133" s="6"/>
      <c r="XC133" s="12"/>
      <c r="XD133" s="3"/>
      <c r="XE133" s="3"/>
      <c r="ZG133" s="358"/>
      <c r="ZH133" s="385"/>
      <c r="ZI133" s="385"/>
      <c r="ZJ133" s="385"/>
      <c r="ZK133" s="385"/>
      <c r="ZL133" s="385"/>
      <c r="ZM133" s="385"/>
      <c r="ZN133" s="385"/>
      <c r="ZO133" s="385"/>
      <c r="ZP133" s="385"/>
      <c r="ZQ133" s="385"/>
      <c r="ZR133" s="385"/>
      <c r="ZS133" s="385"/>
      <c r="ZT133" s="385"/>
      <c r="ZU133" s="350"/>
      <c r="ZV133" s="351"/>
      <c r="ZW133" s="346"/>
      <c r="ZX133" s="372"/>
      <c r="ZY133" s="387"/>
      <c r="ZZ133" s="377"/>
      <c r="AAA133" s="378"/>
      <c r="AAB133" s="380"/>
    </row>
    <row r="134" spans="153:704" ht="48" customHeight="1" x14ac:dyDescent="0.3">
      <c r="GZ134" s="291"/>
      <c r="HA134" s="291"/>
      <c r="HB134" s="291"/>
      <c r="HC134" s="291"/>
      <c r="HD134" s="291"/>
      <c r="HE134" s="291"/>
      <c r="HF134" s="291"/>
      <c r="HG134" s="291"/>
      <c r="HH134" s="291"/>
      <c r="HI134" s="291"/>
      <c r="HV134" s="291"/>
      <c r="HW134" s="291"/>
      <c r="HX134" s="291"/>
      <c r="HY134" s="291"/>
      <c r="HZ134" s="291"/>
      <c r="IA134" s="3"/>
      <c r="IB134" s="3"/>
      <c r="MY134" s="8"/>
      <c r="MZ134" s="10" t="s">
        <v>316</v>
      </c>
      <c r="NA134" s="6" t="e">
        <f>((NA125+NA127+NA135)/(#REF!*AH6))</f>
        <v>#REF!</v>
      </c>
      <c r="NB134" s="6"/>
      <c r="NE134" s="12"/>
      <c r="NF134" s="3"/>
      <c r="NG134" s="3"/>
      <c r="TT134" s="8" t="s">
        <v>243</v>
      </c>
      <c r="TU134" s="11" t="s">
        <v>283</v>
      </c>
      <c r="TV134" s="4">
        <v>0.45</v>
      </c>
      <c r="TW134" s="6"/>
      <c r="TZ134" s="12"/>
      <c r="UA134" s="3"/>
      <c r="UB134" s="3"/>
      <c r="WW134" s="8"/>
      <c r="WX134" s="10"/>
      <c r="WY134" s="6"/>
      <c r="WZ134" s="6"/>
      <c r="XC134" s="12"/>
      <c r="XD134" s="3"/>
      <c r="XE134" s="3"/>
    </row>
    <row r="135" spans="153:704" ht="48" customHeight="1" thickBot="1" x14ac:dyDescent="0.35">
      <c r="GZ135" s="291"/>
      <c r="HA135" s="291"/>
      <c r="HB135" s="291"/>
      <c r="HC135" s="291"/>
      <c r="HD135" s="291"/>
      <c r="HE135" s="291"/>
      <c r="HF135" s="291"/>
      <c r="HG135" s="291"/>
      <c r="HH135" s="291"/>
      <c r="HI135" s="291"/>
      <c r="HV135" s="291"/>
      <c r="HW135" s="291"/>
      <c r="HX135" s="291"/>
      <c r="HY135" s="291"/>
      <c r="HZ135" s="291"/>
      <c r="IA135" s="3"/>
      <c r="IB135" s="3"/>
      <c r="LP135" s="356"/>
      <c r="LQ135" s="297" t="s">
        <v>604</v>
      </c>
      <c r="LR135" s="298"/>
      <c r="LS135" s="331"/>
      <c r="LT135" s="175"/>
      <c r="LU135" s="175"/>
      <c r="LV135" s="175"/>
      <c r="LW135" s="175"/>
      <c r="LX135" s="175"/>
      <c r="LY135" s="175"/>
      <c r="LZ135" s="331"/>
      <c r="MA135" s="173" t="s">
        <v>629</v>
      </c>
      <c r="MB135" s="359" t="s">
        <v>623</v>
      </c>
      <c r="MC135" s="360"/>
      <c r="MD135" s="382" t="s">
        <v>189</v>
      </c>
      <c r="ME135" s="383"/>
      <c r="MF135" s="363" t="s">
        <v>910</v>
      </c>
      <c r="MG135" s="364"/>
      <c r="MH135" s="365" t="s">
        <v>638</v>
      </c>
      <c r="MI135" s="366"/>
      <c r="MJ135" s="366"/>
      <c r="MK135" s="367"/>
      <c r="MY135" s="8"/>
      <c r="MZ135" s="10" t="s">
        <v>317</v>
      </c>
      <c r="NA135" s="6" t="e">
        <f>#REF!*(IV116^2)*MD12</f>
        <v>#REF!</v>
      </c>
      <c r="NB135" s="6"/>
      <c r="NE135" s="12"/>
      <c r="NF135" s="3"/>
      <c r="NG135" s="3"/>
      <c r="TT135" s="8"/>
      <c r="TU135" s="10"/>
      <c r="TV135" s="6"/>
      <c r="TW135" s="6"/>
      <c r="TZ135" s="12"/>
      <c r="UA135" s="3"/>
      <c r="UB135" s="3"/>
      <c r="VL135" s="356"/>
      <c r="VM135" s="297" t="s">
        <v>604</v>
      </c>
      <c r="VN135" s="298"/>
      <c r="VO135" s="321"/>
      <c r="VP135" s="175"/>
      <c r="VQ135" s="175"/>
      <c r="VR135" s="175"/>
      <c r="VS135" s="175"/>
      <c r="VT135" s="175"/>
      <c r="VU135" s="175"/>
      <c r="VV135" s="321"/>
      <c r="VW135" s="173" t="s">
        <v>629</v>
      </c>
      <c r="VX135" s="359" t="s">
        <v>623</v>
      </c>
      <c r="VY135" s="360"/>
      <c r="VZ135" s="361" t="s">
        <v>189</v>
      </c>
      <c r="WA135" s="362"/>
      <c r="WB135" s="363" t="s">
        <v>910</v>
      </c>
      <c r="WC135" s="364"/>
      <c r="WD135" s="365" t="s">
        <v>638</v>
      </c>
      <c r="WE135" s="366"/>
      <c r="WF135" s="366"/>
      <c r="WG135" s="367"/>
      <c r="WW135" s="8" t="s">
        <v>256</v>
      </c>
      <c r="WX135" s="10" t="s">
        <v>296</v>
      </c>
      <c r="WY135" s="6" t="e">
        <f>WY129/(CC28*AN77*WY136)*((EE64/1000)/WY137+(EE68+EE72)/1000/(16*WY137))</f>
        <v>#REF!</v>
      </c>
      <c r="WZ135" s="6"/>
      <c r="XC135" s="12"/>
      <c r="XD135" s="3"/>
      <c r="XE135" s="3"/>
      <c r="ZG135" s="356"/>
      <c r="ZH135" s="297" t="s">
        <v>604</v>
      </c>
      <c r="ZI135" s="298"/>
      <c r="ZJ135" s="321"/>
      <c r="ZK135" s="175"/>
      <c r="ZL135" s="175"/>
      <c r="ZM135" s="175"/>
      <c r="ZN135" s="175"/>
      <c r="ZO135" s="175"/>
      <c r="ZP135" s="175"/>
      <c r="ZQ135" s="321"/>
      <c r="ZR135" s="173" t="s">
        <v>629</v>
      </c>
      <c r="ZS135" s="359" t="s">
        <v>623</v>
      </c>
      <c r="ZT135" s="360"/>
      <c r="ZU135" s="361" t="s">
        <v>189</v>
      </c>
      <c r="ZV135" s="362"/>
      <c r="ZW135" s="363" t="s">
        <v>910</v>
      </c>
      <c r="ZX135" s="364"/>
      <c r="ZY135" s="365" t="s">
        <v>638</v>
      </c>
      <c r="ZZ135" s="366"/>
      <c r="AAA135" s="366"/>
      <c r="AAB135" s="367"/>
    </row>
    <row r="136" spans="153:704" ht="48" customHeight="1" x14ac:dyDescent="0.3">
      <c r="GZ136" s="291"/>
      <c r="HA136" s="291"/>
      <c r="HB136" s="291"/>
      <c r="HC136" s="291"/>
      <c r="HD136" s="291"/>
      <c r="HE136" s="291"/>
      <c r="HF136" s="291"/>
      <c r="HG136" s="291"/>
      <c r="HH136" s="291"/>
      <c r="HI136" s="291"/>
      <c r="HV136" s="291"/>
      <c r="HW136" s="291"/>
      <c r="HX136" s="291"/>
      <c r="HY136" s="291"/>
      <c r="HZ136" s="291"/>
      <c r="IA136" s="3"/>
      <c r="IB136" s="3"/>
      <c r="LP136" s="357"/>
      <c r="LQ136" s="344" t="s">
        <v>158</v>
      </c>
      <c r="LR136" s="345"/>
      <c r="LS136" s="345"/>
      <c r="LT136" s="345"/>
      <c r="LU136" s="345"/>
      <c r="LV136" s="345"/>
      <c r="LW136" s="345"/>
      <c r="LX136" s="345"/>
      <c r="LY136" s="345"/>
      <c r="LZ136" s="345"/>
      <c r="MA136" s="345"/>
      <c r="MB136" s="345"/>
      <c r="MC136" s="345"/>
      <c r="MD136" s="348">
        <v>1</v>
      </c>
      <c r="ME136" s="349"/>
      <c r="MF136" s="390"/>
      <c r="MG136" s="371"/>
      <c r="MH136" s="373"/>
      <c r="MI136" s="375" t="s">
        <v>604</v>
      </c>
      <c r="MJ136" s="376"/>
      <c r="MK136" s="379"/>
      <c r="MY136" s="8" t="s">
        <v>217</v>
      </c>
      <c r="MZ136" s="10" t="s">
        <v>224</v>
      </c>
      <c r="NA136" s="6" t="e">
        <f>NA134/NA133</f>
        <v>#REF!</v>
      </c>
      <c r="NB136" s="6"/>
      <c r="NE136" s="12"/>
      <c r="NF136" s="3"/>
      <c r="NG136" s="3"/>
      <c r="TT136" s="8" t="s">
        <v>244</v>
      </c>
      <c r="TU136" s="10" t="s">
        <v>285</v>
      </c>
      <c r="TV136" s="6">
        <f>MD112-TV137</f>
        <v>0.83843979938410729</v>
      </c>
      <c r="TW136" s="6"/>
      <c r="TZ136" s="12"/>
      <c r="UA136" s="3"/>
      <c r="UB136" s="3"/>
      <c r="VL136" s="357"/>
      <c r="VM136" s="344"/>
      <c r="VN136" s="345"/>
      <c r="VO136" s="345"/>
      <c r="VP136" s="345"/>
      <c r="VQ136" s="345"/>
      <c r="VR136" s="345"/>
      <c r="VS136" s="345"/>
      <c r="VT136" s="345"/>
      <c r="VU136" s="345"/>
      <c r="VV136" s="345"/>
      <c r="VW136" s="345"/>
      <c r="VX136" s="345"/>
      <c r="VY136" s="368"/>
      <c r="VZ136" s="348"/>
      <c r="WA136" s="349"/>
      <c r="WB136" s="370"/>
      <c r="WC136" s="371"/>
      <c r="WD136" s="373"/>
      <c r="WE136" s="375" t="s">
        <v>604</v>
      </c>
      <c r="WF136" s="376"/>
      <c r="WG136" s="379"/>
      <c r="WW136" s="8"/>
      <c r="WX136" s="10"/>
      <c r="WY136" s="6">
        <f>(2*EE52+EE68+EE72)/1000</f>
        <v>6.3236290048056684E-2</v>
      </c>
      <c r="WZ136" s="6"/>
      <c r="XC136" s="12"/>
      <c r="XD136" s="3"/>
      <c r="XE136" s="3"/>
      <c r="ZG136" s="357"/>
      <c r="ZH136" s="344"/>
      <c r="ZI136" s="345"/>
      <c r="ZJ136" s="345"/>
      <c r="ZK136" s="345"/>
      <c r="ZL136" s="345"/>
      <c r="ZM136" s="345"/>
      <c r="ZN136" s="345"/>
      <c r="ZO136" s="345"/>
      <c r="ZP136" s="345"/>
      <c r="ZQ136" s="345"/>
      <c r="ZR136" s="345"/>
      <c r="ZS136" s="345"/>
      <c r="ZT136" s="368"/>
      <c r="ZU136" s="348"/>
      <c r="ZV136" s="349"/>
      <c r="ZW136" s="370"/>
      <c r="ZX136" s="371"/>
      <c r="ZY136" s="373"/>
      <c r="ZZ136" s="375" t="s">
        <v>604</v>
      </c>
      <c r="AAA136" s="376"/>
      <c r="AAB136" s="379"/>
    </row>
    <row r="137" spans="153:704" ht="48" customHeight="1" thickBot="1" x14ac:dyDescent="0.35">
      <c r="GZ137" s="291"/>
      <c r="HA137" s="291"/>
      <c r="HB137" s="291"/>
      <c r="HC137" s="291"/>
      <c r="HD137" s="291"/>
      <c r="HE137" s="291"/>
      <c r="HF137" s="291"/>
      <c r="HG137" s="291"/>
      <c r="HH137" s="291"/>
      <c r="HI137" s="291"/>
      <c r="HV137" s="291"/>
      <c r="HW137" s="291"/>
      <c r="HX137" s="291"/>
      <c r="HY137" s="291"/>
      <c r="HZ137" s="291"/>
      <c r="IA137" s="3"/>
      <c r="IB137" s="3"/>
      <c r="LP137" s="358"/>
      <c r="LQ137" s="346"/>
      <c r="LR137" s="347"/>
      <c r="LS137" s="347"/>
      <c r="LT137" s="347"/>
      <c r="LU137" s="347"/>
      <c r="LV137" s="347"/>
      <c r="LW137" s="347"/>
      <c r="LX137" s="347"/>
      <c r="LY137" s="347"/>
      <c r="LZ137" s="347"/>
      <c r="MA137" s="347"/>
      <c r="MB137" s="347"/>
      <c r="MC137" s="347"/>
      <c r="MD137" s="350"/>
      <c r="ME137" s="351"/>
      <c r="MF137" s="347"/>
      <c r="MG137" s="372"/>
      <c r="MH137" s="374"/>
      <c r="MI137" s="377"/>
      <c r="MJ137" s="378"/>
      <c r="MK137" s="380"/>
      <c r="MY137" s="7"/>
      <c r="MZ137" s="12"/>
      <c r="NA137" s="3"/>
      <c r="NB137" s="3"/>
      <c r="NE137" s="12"/>
      <c r="NF137" s="3"/>
      <c r="NG137" s="3"/>
      <c r="TT137" s="8"/>
      <c r="TU137" s="10"/>
      <c r="TV137" s="6">
        <f>((GK68+0.58*GK72)/GK64)*(TV139/(TV139+1.5*GK64))</f>
        <v>0.34224865764794093</v>
      </c>
      <c r="TW137" s="6"/>
      <c r="TZ137" s="12"/>
      <c r="UA137" s="3"/>
      <c r="UB137" s="3"/>
      <c r="VL137" s="358"/>
      <c r="VM137" s="346"/>
      <c r="VN137" s="347"/>
      <c r="VO137" s="347"/>
      <c r="VP137" s="347"/>
      <c r="VQ137" s="347"/>
      <c r="VR137" s="347"/>
      <c r="VS137" s="347"/>
      <c r="VT137" s="347"/>
      <c r="VU137" s="347"/>
      <c r="VV137" s="347"/>
      <c r="VW137" s="347"/>
      <c r="VX137" s="347"/>
      <c r="VY137" s="369"/>
      <c r="VZ137" s="350"/>
      <c r="WA137" s="351"/>
      <c r="WB137" s="346"/>
      <c r="WC137" s="372"/>
      <c r="WD137" s="374"/>
      <c r="WE137" s="377"/>
      <c r="WF137" s="378"/>
      <c r="WG137" s="380"/>
      <c r="WW137" s="8"/>
      <c r="WX137" s="11" t="s">
        <v>554</v>
      </c>
      <c r="WY137" s="4">
        <v>0.11</v>
      </c>
      <c r="WZ137" s="6"/>
      <c r="XC137" s="12"/>
      <c r="XD137" s="3"/>
      <c r="XE137" s="3"/>
      <c r="ZG137" s="358"/>
      <c r="ZH137" s="346"/>
      <c r="ZI137" s="347"/>
      <c r="ZJ137" s="347"/>
      <c r="ZK137" s="347"/>
      <c r="ZL137" s="347"/>
      <c r="ZM137" s="347"/>
      <c r="ZN137" s="347"/>
      <c r="ZO137" s="347"/>
      <c r="ZP137" s="347"/>
      <c r="ZQ137" s="347"/>
      <c r="ZR137" s="347"/>
      <c r="ZS137" s="347"/>
      <c r="ZT137" s="369"/>
      <c r="ZU137" s="350"/>
      <c r="ZV137" s="351"/>
      <c r="ZW137" s="346"/>
      <c r="ZX137" s="372"/>
      <c r="ZY137" s="374"/>
      <c r="ZZ137" s="377"/>
      <c r="AAA137" s="378"/>
      <c r="AAB137" s="380"/>
    </row>
    <row r="138" spans="153:704" ht="48" customHeight="1" x14ac:dyDescent="0.3">
      <c r="GZ138" s="291"/>
      <c r="HA138" s="291"/>
      <c r="HB138" s="291"/>
      <c r="HC138" s="291"/>
      <c r="HD138" s="291"/>
      <c r="HE138" s="291"/>
      <c r="HF138" s="291"/>
      <c r="HG138" s="291"/>
      <c r="HH138" s="291"/>
      <c r="HI138" s="291"/>
      <c r="HV138" s="291"/>
      <c r="HW138" s="291"/>
      <c r="HX138" s="291"/>
      <c r="HY138" s="291"/>
      <c r="HZ138" s="291"/>
      <c r="IA138" s="3"/>
      <c r="IB138" s="3"/>
      <c r="TT138" s="8" t="s">
        <v>245</v>
      </c>
      <c r="TU138" s="10" t="s">
        <v>286</v>
      </c>
      <c r="TV138" s="6">
        <f>MD108*TV134</f>
        <v>-8.8093164526934928E-2</v>
      </c>
      <c r="TW138" s="10"/>
      <c r="TZ138" s="12"/>
      <c r="UA138" s="3"/>
      <c r="UB138" s="3"/>
      <c r="WW138" s="8"/>
      <c r="WX138" s="10"/>
      <c r="WY138" s="6"/>
      <c r="WZ138" s="6"/>
      <c r="XC138" s="12"/>
      <c r="XD138" s="3"/>
      <c r="XE138" s="3"/>
    </row>
    <row r="139" spans="153:704" ht="48" customHeight="1" thickBot="1" x14ac:dyDescent="0.35">
      <c r="GZ139" s="291"/>
      <c r="HA139" s="291"/>
      <c r="HB139" s="291"/>
      <c r="HC139" s="291"/>
      <c r="HD139" s="291"/>
      <c r="HE139" s="291"/>
      <c r="HF139" s="291"/>
      <c r="HG139" s="291"/>
      <c r="HH139" s="291"/>
      <c r="HI139" s="291"/>
      <c r="HV139" s="291"/>
      <c r="HW139" s="291"/>
      <c r="HX139" s="291"/>
      <c r="HY139" s="291"/>
      <c r="HZ139" s="291"/>
      <c r="IA139" s="3"/>
      <c r="IB139" s="3"/>
      <c r="LP139" s="356"/>
      <c r="LQ139" s="297" t="s">
        <v>604</v>
      </c>
      <c r="LR139" s="298"/>
      <c r="LS139" s="331"/>
      <c r="LT139" s="175"/>
      <c r="LU139" s="175"/>
      <c r="LV139" s="175"/>
      <c r="LW139" s="175"/>
      <c r="LX139" s="175"/>
      <c r="LY139" s="175"/>
      <c r="LZ139" s="331"/>
      <c r="MA139" s="173" t="s">
        <v>629</v>
      </c>
      <c r="MB139" s="359" t="s">
        <v>623</v>
      </c>
      <c r="MC139" s="360"/>
      <c r="MD139" s="361" t="s">
        <v>189</v>
      </c>
      <c r="ME139" s="362"/>
      <c r="MF139" s="363" t="s">
        <v>910</v>
      </c>
      <c r="MG139" s="364"/>
      <c r="MH139" s="365" t="s">
        <v>638</v>
      </c>
      <c r="MI139" s="366"/>
      <c r="MJ139" s="366"/>
      <c r="MK139" s="367"/>
      <c r="TT139" s="8"/>
      <c r="TU139" s="10"/>
      <c r="TV139" s="6">
        <f>(CC40*1000-GK64)*(1-TV134)</f>
        <v>6.1892927380952401</v>
      </c>
      <c r="TW139" s="10"/>
      <c r="TZ139" s="12"/>
      <c r="UA139" s="3"/>
      <c r="UB139" s="3"/>
      <c r="VL139" s="356"/>
      <c r="VM139" s="297" t="s">
        <v>604</v>
      </c>
      <c r="VN139" s="298"/>
      <c r="VO139" s="321"/>
      <c r="VP139" s="175"/>
      <c r="VQ139" s="175"/>
      <c r="VR139" s="175"/>
      <c r="VS139" s="175"/>
      <c r="VT139" s="175"/>
      <c r="VU139" s="175"/>
      <c r="VV139" s="321"/>
      <c r="VW139" s="173" t="s">
        <v>629</v>
      </c>
      <c r="VX139" s="359" t="s">
        <v>623</v>
      </c>
      <c r="VY139" s="381"/>
      <c r="VZ139" s="382" t="s">
        <v>189</v>
      </c>
      <c r="WA139" s="383"/>
      <c r="WB139" s="363" t="s">
        <v>910</v>
      </c>
      <c r="WC139" s="364"/>
      <c r="WD139" s="365" t="s">
        <v>638</v>
      </c>
      <c r="WE139" s="366"/>
      <c r="WF139" s="366"/>
      <c r="WG139" s="367"/>
      <c r="WW139" s="8"/>
      <c r="WX139" s="10"/>
      <c r="WY139" s="6"/>
      <c r="WZ139" s="6"/>
      <c r="XC139" s="12"/>
      <c r="XD139" s="3"/>
      <c r="XE139" s="3"/>
      <c r="ZG139" s="356"/>
      <c r="ZH139" s="297" t="s">
        <v>604</v>
      </c>
      <c r="ZI139" s="298"/>
      <c r="ZJ139" s="321"/>
      <c r="ZK139" s="175"/>
      <c r="ZL139" s="175"/>
      <c r="ZM139" s="175"/>
      <c r="ZN139" s="175"/>
      <c r="ZO139" s="175"/>
      <c r="ZP139" s="175"/>
      <c r="ZQ139" s="321"/>
      <c r="ZR139" s="173" t="s">
        <v>629</v>
      </c>
      <c r="ZS139" s="359" t="s">
        <v>623</v>
      </c>
      <c r="ZT139" s="360"/>
      <c r="ZU139" s="361" t="s">
        <v>189</v>
      </c>
      <c r="ZV139" s="362"/>
      <c r="ZW139" s="363" t="s">
        <v>910</v>
      </c>
      <c r="ZX139" s="364"/>
      <c r="ZY139" s="365" t="s">
        <v>638</v>
      </c>
      <c r="ZZ139" s="366"/>
      <c r="AAA139" s="366"/>
      <c r="AAB139" s="367"/>
    </row>
    <row r="140" spans="153:704" ht="48" customHeight="1" x14ac:dyDescent="0.3">
      <c r="GZ140" s="291"/>
      <c r="HA140" s="291"/>
      <c r="HB140" s="291"/>
      <c r="HC140" s="291"/>
      <c r="HD140" s="291"/>
      <c r="HE140" s="291"/>
      <c r="HF140" s="291"/>
      <c r="HG140" s="291"/>
      <c r="HH140" s="291"/>
      <c r="HI140" s="291"/>
      <c r="HV140" s="291"/>
      <c r="HW140" s="291"/>
      <c r="HX140" s="291"/>
      <c r="HY140" s="291"/>
      <c r="HZ140" s="291"/>
      <c r="IA140" s="3"/>
      <c r="IB140" s="3"/>
      <c r="LP140" s="357"/>
      <c r="LQ140" s="344" t="s">
        <v>164</v>
      </c>
      <c r="LR140" s="345"/>
      <c r="LS140" s="345"/>
      <c r="LT140" s="345"/>
      <c r="LU140" s="345"/>
      <c r="LV140" s="345"/>
      <c r="LW140" s="345"/>
      <c r="LX140" s="345"/>
      <c r="LY140" s="345"/>
      <c r="LZ140" s="345"/>
      <c r="MA140" s="345"/>
      <c r="MB140" s="345"/>
      <c r="MC140" s="345"/>
      <c r="MD140" s="348">
        <v>0.04</v>
      </c>
      <c r="ME140" s="349"/>
      <c r="MF140" s="390"/>
      <c r="MG140" s="371"/>
      <c r="MH140" s="373"/>
      <c r="MI140" s="375" t="s">
        <v>604</v>
      </c>
      <c r="MJ140" s="376"/>
      <c r="MK140" s="379"/>
      <c r="TT140" s="8" t="s">
        <v>246</v>
      </c>
      <c r="TU140" s="10" t="s">
        <v>287</v>
      </c>
      <c r="TV140" s="6">
        <f>MD64*(TV137+TV138+MD104)/(MD112+MD108+MD104)</f>
        <v>4.1072228589689772E-2</v>
      </c>
      <c r="TW140" s="6"/>
      <c r="TZ140" s="12"/>
      <c r="UA140" s="3"/>
      <c r="UB140" s="3"/>
      <c r="VL140" s="357"/>
      <c r="VM140" s="384"/>
      <c r="VN140" s="384"/>
      <c r="VO140" s="384"/>
      <c r="VP140" s="384"/>
      <c r="VQ140" s="384"/>
      <c r="VR140" s="384"/>
      <c r="VS140" s="384"/>
      <c r="VT140" s="384"/>
      <c r="VU140" s="384"/>
      <c r="VV140" s="384"/>
      <c r="VW140" s="384"/>
      <c r="VX140" s="384"/>
      <c r="VY140" s="384"/>
      <c r="VZ140" s="348"/>
      <c r="WA140" s="349"/>
      <c r="WB140" s="370"/>
      <c r="WC140" s="371"/>
      <c r="WD140" s="386"/>
      <c r="WE140" s="375" t="s">
        <v>604</v>
      </c>
      <c r="WF140" s="376"/>
      <c r="WG140" s="379"/>
      <c r="WW140" s="8"/>
      <c r="WX140" s="10"/>
      <c r="WY140" s="6"/>
      <c r="WZ140" s="6"/>
      <c r="XC140" s="12"/>
      <c r="XD140" s="3"/>
      <c r="XE140" s="3"/>
      <c r="ZG140" s="357"/>
      <c r="ZH140" s="344"/>
      <c r="ZI140" s="345"/>
      <c r="ZJ140" s="345"/>
      <c r="ZK140" s="345"/>
      <c r="ZL140" s="345"/>
      <c r="ZM140" s="345"/>
      <c r="ZN140" s="345"/>
      <c r="ZO140" s="345"/>
      <c r="ZP140" s="345"/>
      <c r="ZQ140" s="345"/>
      <c r="ZR140" s="345"/>
      <c r="ZS140" s="345"/>
      <c r="ZT140" s="368"/>
      <c r="ZU140" s="348"/>
      <c r="ZV140" s="349"/>
      <c r="ZW140" s="370"/>
      <c r="ZX140" s="371"/>
      <c r="ZY140" s="373"/>
      <c r="ZZ140" s="375" t="s">
        <v>604</v>
      </c>
      <c r="AAA140" s="376"/>
      <c r="AAB140" s="379"/>
    </row>
    <row r="141" spans="153:704" ht="48" customHeight="1" thickBot="1" x14ac:dyDescent="0.35">
      <c r="GZ141" s="291"/>
      <c r="HA141" s="291"/>
      <c r="HB141" s="291"/>
      <c r="HC141" s="291"/>
      <c r="HD141" s="291"/>
      <c r="HE141" s="291"/>
      <c r="HF141" s="291"/>
      <c r="HG141" s="291"/>
      <c r="HH141" s="291"/>
      <c r="HI141" s="291"/>
      <c r="HV141" s="291"/>
      <c r="HW141" s="291"/>
      <c r="HX141" s="291"/>
      <c r="HY141" s="291"/>
      <c r="HZ141" s="291"/>
      <c r="IA141" s="3"/>
      <c r="IB141" s="3"/>
      <c r="LP141" s="358"/>
      <c r="LQ141" s="346"/>
      <c r="LR141" s="347"/>
      <c r="LS141" s="347"/>
      <c r="LT141" s="347"/>
      <c r="LU141" s="347"/>
      <c r="LV141" s="347"/>
      <c r="LW141" s="347"/>
      <c r="LX141" s="347"/>
      <c r="LY141" s="347"/>
      <c r="LZ141" s="347"/>
      <c r="MA141" s="347"/>
      <c r="MB141" s="347"/>
      <c r="MC141" s="347"/>
      <c r="MD141" s="350"/>
      <c r="ME141" s="351"/>
      <c r="MF141" s="347"/>
      <c r="MG141" s="372"/>
      <c r="MH141" s="374"/>
      <c r="MI141" s="377"/>
      <c r="MJ141" s="378"/>
      <c r="MK141" s="380"/>
      <c r="TT141" s="8" t="s">
        <v>247</v>
      </c>
      <c r="TU141" s="10" t="s">
        <v>288</v>
      </c>
      <c r="TV141" s="6">
        <f>MD152-TV142</f>
        <v>1.0801280114856779</v>
      </c>
      <c r="TW141" s="6"/>
      <c r="TZ141" s="12"/>
      <c r="UA141" s="3"/>
      <c r="UB141" s="3"/>
      <c r="VL141" s="358"/>
      <c r="VM141" s="385"/>
      <c r="VN141" s="385"/>
      <c r="VO141" s="385"/>
      <c r="VP141" s="385"/>
      <c r="VQ141" s="385"/>
      <c r="VR141" s="385"/>
      <c r="VS141" s="385"/>
      <c r="VT141" s="385"/>
      <c r="VU141" s="385"/>
      <c r="VV141" s="385"/>
      <c r="VW141" s="385"/>
      <c r="VX141" s="385"/>
      <c r="VY141" s="385"/>
      <c r="VZ141" s="350"/>
      <c r="WA141" s="351"/>
      <c r="WB141" s="346"/>
      <c r="WC141" s="372"/>
      <c r="WD141" s="387"/>
      <c r="WE141" s="377"/>
      <c r="WF141" s="378"/>
      <c r="WG141" s="380"/>
      <c r="WW141" s="8"/>
      <c r="WX141" s="38" t="s">
        <v>555</v>
      </c>
      <c r="WY141" s="37">
        <f>CR90</f>
        <v>1.26</v>
      </c>
      <c r="WZ141" s="6"/>
      <c r="XC141" s="12"/>
      <c r="XD141" s="3"/>
      <c r="XE141" s="3"/>
      <c r="ZG141" s="358"/>
      <c r="ZH141" s="346"/>
      <c r="ZI141" s="347"/>
      <c r="ZJ141" s="347"/>
      <c r="ZK141" s="347"/>
      <c r="ZL141" s="347"/>
      <c r="ZM141" s="347"/>
      <c r="ZN141" s="347"/>
      <c r="ZO141" s="347"/>
      <c r="ZP141" s="347"/>
      <c r="ZQ141" s="347"/>
      <c r="ZR141" s="347"/>
      <c r="ZS141" s="347"/>
      <c r="ZT141" s="369"/>
      <c r="ZU141" s="350"/>
      <c r="ZV141" s="351"/>
      <c r="ZW141" s="346"/>
      <c r="ZX141" s="372"/>
      <c r="ZY141" s="374"/>
      <c r="ZZ141" s="377"/>
      <c r="AAA141" s="378"/>
      <c r="AAB141" s="380"/>
    </row>
    <row r="142" spans="153:704" ht="48" customHeight="1" x14ac:dyDescent="0.3">
      <c r="GZ142" s="291"/>
      <c r="HA142" s="291"/>
      <c r="HB142" s="291"/>
      <c r="HC142" s="291"/>
      <c r="HD142" s="291"/>
      <c r="HE142" s="291"/>
      <c r="HF142" s="291"/>
      <c r="HG142" s="291"/>
      <c r="HH142" s="291"/>
      <c r="HI142" s="291"/>
      <c r="HV142" s="291"/>
      <c r="HW142" s="291"/>
      <c r="HX142" s="291"/>
      <c r="HY142" s="291"/>
      <c r="HZ142" s="291"/>
      <c r="IA142" s="3"/>
      <c r="IB142" s="3"/>
      <c r="TT142" s="8"/>
      <c r="TU142" s="10"/>
      <c r="TV142" s="6">
        <f>(GK68/GK64)*(TV143/(GK64+TV143))</f>
        <v>0.3830202344126275</v>
      </c>
      <c r="TW142" s="6"/>
      <c r="TZ142" s="12"/>
      <c r="UA142" s="3"/>
      <c r="UB142" s="3"/>
      <c r="WW142" s="8"/>
      <c r="WX142" s="38" t="s">
        <v>556</v>
      </c>
      <c r="WY142" s="37">
        <f>CR91</f>
        <v>1.18</v>
      </c>
      <c r="WZ142" s="6"/>
      <c r="XC142" s="12"/>
      <c r="XD142" s="3"/>
      <c r="XE142" s="3"/>
    </row>
    <row r="143" spans="153:704" ht="48" customHeight="1" thickBot="1" x14ac:dyDescent="0.35">
      <c r="GZ143" s="291"/>
      <c r="HA143" s="291"/>
      <c r="HB143" s="291"/>
      <c r="HC143" s="291"/>
      <c r="HD143" s="291"/>
      <c r="HE143" s="291"/>
      <c r="HF143" s="291"/>
      <c r="HG143" s="291"/>
      <c r="HH143" s="291"/>
      <c r="HI143" s="291"/>
      <c r="HS143" s="12"/>
      <c r="HT143" s="3"/>
      <c r="HU143" s="3"/>
      <c r="HV143" s="291"/>
      <c r="HW143" s="291"/>
      <c r="HX143" s="291"/>
      <c r="HY143" s="291"/>
      <c r="HZ143" s="291"/>
      <c r="LP143" s="356"/>
      <c r="LQ143" s="297" t="s">
        <v>604</v>
      </c>
      <c r="LR143" s="298"/>
      <c r="LS143" s="331"/>
      <c r="LT143" s="175"/>
      <c r="LU143" s="175"/>
      <c r="LV143" s="175"/>
      <c r="LW143" s="175"/>
      <c r="LX143" s="175"/>
      <c r="LY143" s="175"/>
      <c r="LZ143" s="331"/>
      <c r="MA143" s="173" t="s">
        <v>629</v>
      </c>
      <c r="MB143" s="359" t="s">
        <v>623</v>
      </c>
      <c r="MC143" s="360"/>
      <c r="MD143" s="382" t="s">
        <v>189</v>
      </c>
      <c r="ME143" s="383"/>
      <c r="MF143" s="363" t="s">
        <v>910</v>
      </c>
      <c r="MG143" s="364"/>
      <c r="MH143" s="365" t="s">
        <v>638</v>
      </c>
      <c r="MI143" s="366"/>
      <c r="MJ143" s="366"/>
      <c r="MK143" s="367"/>
      <c r="TT143" s="8"/>
      <c r="TU143" s="10"/>
      <c r="TV143" s="6">
        <f>(GK32*1000-GK64)*(1-TV134)</f>
        <v>6.8685577631578942</v>
      </c>
      <c r="TW143" s="6"/>
      <c r="TZ143" s="12"/>
      <c r="UA143" s="3"/>
      <c r="UB143" s="3"/>
      <c r="VL143" s="356"/>
      <c r="VM143" s="297" t="s">
        <v>604</v>
      </c>
      <c r="VN143" s="298"/>
      <c r="VO143" s="321"/>
      <c r="VP143" s="175"/>
      <c r="VQ143" s="175"/>
      <c r="VR143" s="175"/>
      <c r="VS143" s="175"/>
      <c r="VT143" s="175"/>
      <c r="VU143" s="175"/>
      <c r="VV143" s="321"/>
      <c r="VW143" s="173" t="s">
        <v>629</v>
      </c>
      <c r="VX143" s="359" t="s">
        <v>623</v>
      </c>
      <c r="VY143" s="381"/>
      <c r="VZ143" s="382" t="s">
        <v>189</v>
      </c>
      <c r="WA143" s="383"/>
      <c r="WB143" s="363" t="s">
        <v>910</v>
      </c>
      <c r="WC143" s="364"/>
      <c r="WD143" s="365" t="s">
        <v>638</v>
      </c>
      <c r="WE143" s="366"/>
      <c r="WF143" s="366"/>
      <c r="WG143" s="367"/>
      <c r="WW143" s="8"/>
      <c r="WX143" s="10" t="s">
        <v>557</v>
      </c>
      <c r="WY143" s="6">
        <f>WY142/WY141</f>
        <v>0.9365079365079364</v>
      </c>
      <c r="WZ143" s="6"/>
      <c r="XC143" s="12"/>
      <c r="XD143" s="3"/>
      <c r="XE143" s="3"/>
    </row>
    <row r="144" spans="153:704" ht="48" customHeight="1" x14ac:dyDescent="0.3">
      <c r="GZ144" s="291"/>
      <c r="HA144" s="291"/>
      <c r="HB144" s="291"/>
      <c r="HC144" s="291"/>
      <c r="HD144" s="291"/>
      <c r="HE144" s="291"/>
      <c r="HF144" s="291"/>
      <c r="HG144" s="291"/>
      <c r="HH144" s="291"/>
      <c r="HI144" s="291"/>
      <c r="HV144" s="291"/>
      <c r="HW144" s="291"/>
      <c r="HX144" s="291"/>
      <c r="HY144" s="291"/>
      <c r="HZ144" s="291"/>
      <c r="LP144" s="357"/>
      <c r="LQ144" s="344" t="s">
        <v>149</v>
      </c>
      <c r="LR144" s="345"/>
      <c r="LS144" s="345"/>
      <c r="LT144" s="345"/>
      <c r="LU144" s="345"/>
      <c r="LV144" s="345"/>
      <c r="LW144" s="345"/>
      <c r="LX144" s="345"/>
      <c r="LY144" s="345"/>
      <c r="LZ144" s="345"/>
      <c r="MA144" s="345"/>
      <c r="MB144" s="345"/>
      <c r="MC144" s="345"/>
      <c r="MD144" s="348">
        <f>MD64*(CC48/AH6)</f>
        <v>1.1338988423034027E-2</v>
      </c>
      <c r="ME144" s="349"/>
      <c r="MF144" s="390"/>
      <c r="MG144" s="371"/>
      <c r="MH144" s="373"/>
      <c r="MI144" s="375" t="s">
        <v>604</v>
      </c>
      <c r="MJ144" s="376"/>
      <c r="MK144" s="379"/>
      <c r="TT144" s="8" t="s">
        <v>248</v>
      </c>
      <c r="TU144" s="10" t="s">
        <v>289</v>
      </c>
      <c r="TV144" s="6">
        <f>MD156*TV134</f>
        <v>0.204374862530981</v>
      </c>
      <c r="TW144" s="6"/>
      <c r="TZ144" s="12"/>
      <c r="UA144" s="3"/>
      <c r="UB144" s="3"/>
      <c r="VL144" s="357"/>
      <c r="VM144" s="384"/>
      <c r="VN144" s="384"/>
      <c r="VO144" s="384"/>
      <c r="VP144" s="384"/>
      <c r="VQ144" s="384"/>
      <c r="VR144" s="384"/>
      <c r="VS144" s="384"/>
      <c r="VT144" s="384"/>
      <c r="VU144" s="384"/>
      <c r="VV144" s="384"/>
      <c r="VW144" s="384"/>
      <c r="VX144" s="384"/>
      <c r="VY144" s="384"/>
      <c r="VZ144" s="348"/>
      <c r="WA144" s="349"/>
      <c r="WB144" s="370"/>
      <c r="WC144" s="371"/>
      <c r="WD144" s="386"/>
      <c r="WE144" s="375" t="s">
        <v>604</v>
      </c>
      <c r="WF144" s="376"/>
      <c r="WG144" s="379"/>
      <c r="WW144" s="8"/>
      <c r="WX144" s="10"/>
      <c r="WY144" s="6"/>
      <c r="WZ144" s="6"/>
      <c r="XC144" s="12"/>
      <c r="XD144" s="3"/>
      <c r="XE144" s="3"/>
    </row>
    <row r="145" spans="208:629" ht="48" customHeight="1" thickBot="1" x14ac:dyDescent="0.35">
      <c r="GZ145" s="291"/>
      <c r="HA145" s="291"/>
      <c r="HB145" s="291"/>
      <c r="HC145" s="291"/>
      <c r="HD145" s="291"/>
      <c r="HE145" s="291"/>
      <c r="HF145" s="291"/>
      <c r="HG145" s="291"/>
      <c r="HH145" s="291"/>
      <c r="HI145" s="291"/>
      <c r="HV145" s="291"/>
      <c r="HW145" s="291"/>
      <c r="HX145" s="291"/>
      <c r="HY145" s="291"/>
      <c r="HZ145" s="291"/>
      <c r="LP145" s="358"/>
      <c r="LQ145" s="346"/>
      <c r="LR145" s="347"/>
      <c r="LS145" s="347"/>
      <c r="LT145" s="347"/>
      <c r="LU145" s="347"/>
      <c r="LV145" s="347"/>
      <c r="LW145" s="347"/>
      <c r="LX145" s="347"/>
      <c r="LY145" s="347"/>
      <c r="LZ145" s="347"/>
      <c r="MA145" s="347"/>
      <c r="MB145" s="347"/>
      <c r="MC145" s="347"/>
      <c r="MD145" s="350"/>
      <c r="ME145" s="351"/>
      <c r="MF145" s="347"/>
      <c r="MG145" s="372"/>
      <c r="MH145" s="374"/>
      <c r="MI145" s="377"/>
      <c r="MJ145" s="378"/>
      <c r="MK145" s="380"/>
      <c r="TT145" s="8" t="s">
        <v>249</v>
      </c>
      <c r="TU145" s="10" t="s">
        <v>279</v>
      </c>
      <c r="TV145" s="6" t="e">
        <f>MD168*(TV142+TV144+MD164)/(MD152+MD156+MD164)</f>
        <v>#REF!</v>
      </c>
      <c r="TW145" s="6"/>
      <c r="TZ145" s="12"/>
      <c r="UA145" s="3"/>
      <c r="UB145" s="3"/>
      <c r="VL145" s="358"/>
      <c r="VM145" s="385"/>
      <c r="VN145" s="385"/>
      <c r="VO145" s="385"/>
      <c r="VP145" s="385"/>
      <c r="VQ145" s="385"/>
      <c r="VR145" s="385"/>
      <c r="VS145" s="385"/>
      <c r="VT145" s="385"/>
      <c r="VU145" s="385"/>
      <c r="VV145" s="385"/>
      <c r="VW145" s="385"/>
      <c r="VX145" s="385"/>
      <c r="VY145" s="385"/>
      <c r="VZ145" s="350"/>
      <c r="WA145" s="351"/>
      <c r="WB145" s="346"/>
      <c r="WC145" s="372"/>
      <c r="WD145" s="387"/>
      <c r="WE145" s="377"/>
      <c r="WF145" s="378"/>
      <c r="WG145" s="380"/>
      <c r="WW145" s="8"/>
      <c r="WX145" s="10"/>
      <c r="WY145" s="6"/>
      <c r="WZ145" s="6"/>
      <c r="XC145" s="12"/>
      <c r="XD145" s="3"/>
      <c r="XE145" s="3"/>
    </row>
    <row r="146" spans="208:629" ht="48" customHeight="1" x14ac:dyDescent="0.3">
      <c r="GZ146" s="291"/>
      <c r="HA146" s="291"/>
      <c r="HB146" s="291"/>
      <c r="HC146" s="291"/>
      <c r="HD146" s="291"/>
      <c r="HE146" s="291"/>
      <c r="HF146" s="291"/>
      <c r="HG146" s="291"/>
      <c r="HH146" s="291"/>
      <c r="HI146" s="291"/>
      <c r="HV146" s="291"/>
      <c r="HW146" s="291"/>
      <c r="HX146" s="291"/>
      <c r="HY146" s="291"/>
      <c r="HZ146" s="291"/>
      <c r="TT146" s="8" t="s">
        <v>250</v>
      </c>
      <c r="TU146" s="10" t="s">
        <v>290</v>
      </c>
      <c r="TV146" s="6">
        <f>RB74*IV112</f>
        <v>124.24268135869028</v>
      </c>
      <c r="TW146" s="6"/>
      <c r="TZ146" s="12"/>
      <c r="UA146" s="3"/>
      <c r="UB146" s="3"/>
      <c r="WW146" s="8" t="s">
        <v>257</v>
      </c>
      <c r="WX146" s="10" t="s">
        <v>297</v>
      </c>
      <c r="WY146" s="6" t="e">
        <f>WY129/(2*CC28*MD16*WY136)*(EE64/WY137+EE52/(12*WY137))</f>
        <v>#REF!</v>
      </c>
      <c r="WZ146" s="6"/>
      <c r="XC146" s="12"/>
      <c r="XD146" s="3"/>
      <c r="XE146" s="3"/>
    </row>
    <row r="147" spans="208:629" ht="48" customHeight="1" thickBot="1" x14ac:dyDescent="0.35">
      <c r="GZ147" s="291"/>
      <c r="HA147" s="291"/>
      <c r="HB147" s="291"/>
      <c r="HC147" s="291"/>
      <c r="HD147" s="291"/>
      <c r="HE147" s="291"/>
      <c r="HF147" s="291"/>
      <c r="HG147" s="291"/>
      <c r="HH147" s="291"/>
      <c r="HI147" s="291"/>
      <c r="HV147" s="291"/>
      <c r="HW147" s="291"/>
      <c r="HX147" s="291"/>
      <c r="HY147" s="291"/>
      <c r="HZ147" s="291"/>
      <c r="LP147" s="356"/>
      <c r="LQ147" s="297" t="s">
        <v>604</v>
      </c>
      <c r="LR147" s="298"/>
      <c r="LS147" s="331"/>
      <c r="LT147" s="175"/>
      <c r="LU147" s="175"/>
      <c r="LV147" s="175"/>
      <c r="LW147" s="175"/>
      <c r="LX147" s="175"/>
      <c r="LY147" s="175"/>
      <c r="LZ147" s="331"/>
      <c r="MA147" s="173" t="s">
        <v>629</v>
      </c>
      <c r="MB147" s="359" t="s">
        <v>623</v>
      </c>
      <c r="MC147" s="360"/>
      <c r="MD147" s="361" t="s">
        <v>189</v>
      </c>
      <c r="ME147" s="362"/>
      <c r="MF147" s="363" t="s">
        <v>910</v>
      </c>
      <c r="MG147" s="364"/>
      <c r="MH147" s="365" t="s">
        <v>638</v>
      </c>
      <c r="MI147" s="366"/>
      <c r="MJ147" s="366"/>
      <c r="MK147" s="367"/>
      <c r="TT147" s="42" t="s">
        <v>251</v>
      </c>
      <c r="TU147" s="41" t="s">
        <v>291</v>
      </c>
      <c r="TV147" s="43" t="e">
        <f>AH6/((TV150^2+TV151^2)^0.5)</f>
        <v>#REF!</v>
      </c>
      <c r="TW147" s="43"/>
      <c r="TZ147" s="12"/>
      <c r="UA147" s="3"/>
      <c r="UB147" s="3"/>
      <c r="VL147" s="356"/>
      <c r="VM147" s="297" t="s">
        <v>604</v>
      </c>
      <c r="VN147" s="298"/>
      <c r="VO147" s="321"/>
      <c r="VP147" s="175"/>
      <c r="VQ147" s="175"/>
      <c r="VR147" s="175"/>
      <c r="VS147" s="175"/>
      <c r="VT147" s="175"/>
      <c r="VU147" s="175"/>
      <c r="VV147" s="321"/>
      <c r="VW147" s="173" t="s">
        <v>629</v>
      </c>
      <c r="VX147" s="359" t="s">
        <v>623</v>
      </c>
      <c r="VY147" s="381"/>
      <c r="VZ147" s="382" t="s">
        <v>189</v>
      </c>
      <c r="WA147" s="383"/>
      <c r="WB147" s="363" t="s">
        <v>910</v>
      </c>
      <c r="WC147" s="364"/>
      <c r="WD147" s="365" t="s">
        <v>638</v>
      </c>
      <c r="WE147" s="366"/>
      <c r="WF147" s="366"/>
      <c r="WG147" s="367"/>
      <c r="WW147" s="8"/>
      <c r="WX147" s="10"/>
      <c r="WY147" s="6" t="e">
        <f>WY128*WY130*2*MD24/MD20</f>
        <v>#REF!</v>
      </c>
      <c r="WZ147" s="6"/>
      <c r="XC147" s="12"/>
      <c r="XD147" s="3"/>
      <c r="XE147" s="3"/>
    </row>
    <row r="148" spans="208:629" ht="48" customHeight="1" x14ac:dyDescent="0.3">
      <c r="GZ148" s="291"/>
      <c r="HA148" s="291"/>
      <c r="HB148" s="291"/>
      <c r="HC148" s="291"/>
      <c r="HD148" s="291"/>
      <c r="HE148" s="291"/>
      <c r="HF148" s="291"/>
      <c r="HG148" s="291"/>
      <c r="HH148" s="291"/>
      <c r="HI148" s="291"/>
      <c r="HV148" s="291"/>
      <c r="HW148" s="291"/>
      <c r="HX148" s="291"/>
      <c r="HY148" s="291"/>
      <c r="HZ148" s="291"/>
      <c r="LP148" s="357"/>
      <c r="LQ148" s="344" t="s">
        <v>150</v>
      </c>
      <c r="LR148" s="345"/>
      <c r="LS148" s="345"/>
      <c r="LT148" s="345"/>
      <c r="LU148" s="345"/>
      <c r="LV148" s="345"/>
      <c r="LW148" s="345"/>
      <c r="LX148" s="345"/>
      <c r="LY148" s="345"/>
      <c r="LZ148" s="345"/>
      <c r="MA148" s="345"/>
      <c r="MB148" s="345"/>
      <c r="MC148" s="345"/>
      <c r="MD148" s="348">
        <f>7.9*AH7*AN77*10^(-6)*(MD152+MD164+MD156)</f>
        <v>3.3825545227780384E-4</v>
      </c>
      <c r="ME148" s="349"/>
      <c r="MF148" s="390"/>
      <c r="MG148" s="371"/>
      <c r="MH148" s="373"/>
      <c r="MI148" s="375" t="s">
        <v>604</v>
      </c>
      <c r="MJ148" s="376"/>
      <c r="MK148" s="379"/>
      <c r="TT148" s="44"/>
      <c r="TU148" s="45"/>
      <c r="TV148" s="35" t="e">
        <f>TV147*((TV150^2+(TV151+TV146)^2)^0.5)/(TV149*TV146)</f>
        <v>#REF!</v>
      </c>
      <c r="TW148" s="35"/>
      <c r="TZ148" s="12"/>
      <c r="UA148" s="3"/>
      <c r="UB148" s="3"/>
      <c r="VL148" s="357"/>
      <c r="VM148" s="384"/>
      <c r="VN148" s="384"/>
      <c r="VO148" s="384"/>
      <c r="VP148" s="384"/>
      <c r="VQ148" s="384"/>
      <c r="VR148" s="384"/>
      <c r="VS148" s="384"/>
      <c r="VT148" s="384"/>
      <c r="VU148" s="384"/>
      <c r="VV148" s="384"/>
      <c r="VW148" s="384"/>
      <c r="VX148" s="384"/>
      <c r="VY148" s="384"/>
      <c r="VZ148" s="348"/>
      <c r="WA148" s="349"/>
      <c r="WB148" s="370"/>
      <c r="WC148" s="371"/>
      <c r="WD148" s="386"/>
      <c r="WE148" s="375" t="s">
        <v>604</v>
      </c>
      <c r="WF148" s="376"/>
      <c r="WG148" s="379"/>
      <c r="WW148" s="8" t="s">
        <v>258</v>
      </c>
      <c r="WX148" s="10" t="s">
        <v>298</v>
      </c>
      <c r="WY148" s="6" t="e">
        <f>(WY123*WY147)/(2*3.14*AN32*WY149)</f>
        <v>#REF!</v>
      </c>
      <c r="WZ148" s="6"/>
      <c r="XC148" s="12"/>
      <c r="XD148" s="3"/>
      <c r="XE148" s="3"/>
    </row>
    <row r="149" spans="208:629" ht="48" customHeight="1" thickBot="1" x14ac:dyDescent="0.35">
      <c r="GZ149" s="291"/>
      <c r="HA149" s="291"/>
      <c r="HB149" s="291"/>
      <c r="HC149" s="291"/>
      <c r="HD149" s="291"/>
      <c r="HE149" s="291"/>
      <c r="HF149" s="291"/>
      <c r="HG149" s="291"/>
      <c r="HH149" s="291"/>
      <c r="HI149" s="291"/>
      <c r="HV149" s="291"/>
      <c r="HW149" s="291"/>
      <c r="HX149" s="291"/>
      <c r="HY149" s="291"/>
      <c r="HZ149" s="291"/>
      <c r="LP149" s="358"/>
      <c r="LQ149" s="346"/>
      <c r="LR149" s="347"/>
      <c r="LS149" s="347"/>
      <c r="LT149" s="347"/>
      <c r="LU149" s="347"/>
      <c r="LV149" s="347"/>
      <c r="LW149" s="347"/>
      <c r="LX149" s="347"/>
      <c r="LY149" s="347"/>
      <c r="LZ149" s="347"/>
      <c r="MA149" s="347"/>
      <c r="MB149" s="347"/>
      <c r="MC149" s="347"/>
      <c r="MD149" s="350"/>
      <c r="ME149" s="351"/>
      <c r="MF149" s="347"/>
      <c r="MG149" s="372"/>
      <c r="MH149" s="374"/>
      <c r="MI149" s="377"/>
      <c r="MJ149" s="378"/>
      <c r="MK149" s="380"/>
      <c r="TT149" s="8"/>
      <c r="TU149" s="10"/>
      <c r="TV149" s="6">
        <f>1+TV140/TV146</f>
        <v>1.0003305806679359</v>
      </c>
      <c r="TW149" s="6"/>
      <c r="TZ149" s="12"/>
      <c r="UA149" s="3"/>
      <c r="UB149" s="3"/>
      <c r="VL149" s="358"/>
      <c r="VM149" s="385"/>
      <c r="VN149" s="385"/>
      <c r="VO149" s="385"/>
      <c r="VP149" s="385"/>
      <c r="VQ149" s="385"/>
      <c r="VR149" s="385"/>
      <c r="VS149" s="385"/>
      <c r="VT149" s="385"/>
      <c r="VU149" s="385"/>
      <c r="VV149" s="385"/>
      <c r="VW149" s="385"/>
      <c r="VX149" s="385"/>
      <c r="VY149" s="385"/>
      <c r="VZ149" s="350"/>
      <c r="WA149" s="351"/>
      <c r="WB149" s="346"/>
      <c r="WC149" s="372"/>
      <c r="WD149" s="387"/>
      <c r="WE149" s="377"/>
      <c r="WF149" s="378"/>
      <c r="WG149" s="380"/>
      <c r="WW149" s="8"/>
      <c r="WX149" s="10"/>
      <c r="WY149" s="6">
        <f>WY151*MD28+WY150</f>
        <v>19.170885784499681</v>
      </c>
      <c r="WZ149" s="6"/>
      <c r="XC149" s="12"/>
      <c r="XD149" s="3"/>
      <c r="XE149" s="3"/>
    </row>
    <row r="150" spans="208:629" ht="48" customHeight="1" x14ac:dyDescent="0.3">
      <c r="GZ150" s="291"/>
      <c r="HA150" s="291"/>
      <c r="HB150" s="291"/>
      <c r="HC150" s="291"/>
      <c r="HD150" s="291"/>
      <c r="HE150" s="291"/>
      <c r="HF150" s="291"/>
      <c r="HG150" s="291"/>
      <c r="HH150" s="291"/>
      <c r="HI150" s="291"/>
      <c r="HV150" s="291"/>
      <c r="HW150" s="291"/>
      <c r="HX150" s="291"/>
      <c r="HY150" s="291"/>
      <c r="HZ150" s="291"/>
      <c r="TT150" s="8"/>
      <c r="TU150" s="10"/>
      <c r="TV150" s="6" t="e">
        <f>MD12+(TV149*TV121)/TV99</f>
        <v>#REF!</v>
      </c>
      <c r="TW150" s="6"/>
      <c r="TZ150" s="12"/>
      <c r="UA150" s="3"/>
      <c r="UB150" s="3"/>
      <c r="WW150" s="8"/>
      <c r="WX150" s="11" t="s">
        <v>559</v>
      </c>
      <c r="WY150" s="4">
        <f>0.01*1000</f>
        <v>10</v>
      </c>
      <c r="WZ150" s="6"/>
      <c r="XC150" s="12"/>
      <c r="XD150" s="3"/>
      <c r="XE150" s="3"/>
    </row>
    <row r="151" spans="208:629" ht="48" customHeight="1" thickBot="1" x14ac:dyDescent="0.35">
      <c r="GZ151" s="291"/>
      <c r="HA151" s="291"/>
      <c r="HB151" s="291"/>
      <c r="HC151" s="291"/>
      <c r="HD151" s="291"/>
      <c r="HE151" s="291"/>
      <c r="HF151" s="291"/>
      <c r="HG151" s="291"/>
      <c r="HH151" s="291"/>
      <c r="HI151" s="291"/>
      <c r="HV151" s="291"/>
      <c r="HW151" s="291"/>
      <c r="HX151" s="291"/>
      <c r="HY151" s="291"/>
      <c r="HZ151" s="291"/>
      <c r="LP151" s="356"/>
      <c r="LQ151" s="297" t="s">
        <v>604</v>
      </c>
      <c r="LR151" s="298"/>
      <c r="LS151" s="331"/>
      <c r="LT151" s="175"/>
      <c r="LU151" s="175"/>
      <c r="LV151" s="175"/>
      <c r="LW151" s="175"/>
      <c r="LX151" s="175"/>
      <c r="LY151" s="175"/>
      <c r="LZ151" s="331"/>
      <c r="MA151" s="173" t="s">
        <v>629</v>
      </c>
      <c r="MB151" s="359" t="s">
        <v>623</v>
      </c>
      <c r="MC151" s="360"/>
      <c r="MD151" s="382" t="s">
        <v>189</v>
      </c>
      <c r="ME151" s="383"/>
      <c r="MF151" s="363" t="s">
        <v>910</v>
      </c>
      <c r="MG151" s="364"/>
      <c r="MH151" s="365" t="s">
        <v>638</v>
      </c>
      <c r="MI151" s="366"/>
      <c r="MJ151" s="366"/>
      <c r="MK151" s="367"/>
      <c r="TT151" s="8"/>
      <c r="TU151" s="10"/>
      <c r="TV151" s="6" t="e">
        <f>TV140+TV149*TV145</f>
        <v>#REF!</v>
      </c>
      <c r="TW151" s="6"/>
      <c r="TZ151" s="12"/>
      <c r="UA151" s="3"/>
      <c r="UB151" s="3"/>
      <c r="VL151" s="356"/>
      <c r="VM151" s="297" t="s">
        <v>604</v>
      </c>
      <c r="VN151" s="298"/>
      <c r="VO151" s="321"/>
      <c r="VP151" s="175"/>
      <c r="VQ151" s="175"/>
      <c r="VR151" s="175"/>
      <c r="VS151" s="175"/>
      <c r="VT151" s="175"/>
      <c r="VU151" s="175"/>
      <c r="VV151" s="321"/>
      <c r="VW151" s="173" t="s">
        <v>629</v>
      </c>
      <c r="VX151" s="359" t="s">
        <v>623</v>
      </c>
      <c r="VY151" s="381"/>
      <c r="VZ151" s="382" t="s">
        <v>189</v>
      </c>
      <c r="WA151" s="383"/>
      <c r="WB151" s="363" t="s">
        <v>910</v>
      </c>
      <c r="WC151" s="364"/>
      <c r="WD151" s="365" t="s">
        <v>638</v>
      </c>
      <c r="WE151" s="366"/>
      <c r="WF151" s="366"/>
      <c r="WG151" s="367"/>
      <c r="WW151" s="8"/>
      <c r="WX151" s="11" t="s">
        <v>558</v>
      </c>
      <c r="WY151" s="4">
        <f>0.26</f>
        <v>0.26</v>
      </c>
      <c r="WZ151" s="6"/>
      <c r="XC151" s="12"/>
      <c r="XD151" s="3"/>
      <c r="XE151" s="3"/>
    </row>
    <row r="152" spans="208:629" ht="48" customHeight="1" x14ac:dyDescent="0.3">
      <c r="GZ152" s="291"/>
      <c r="HA152" s="291"/>
      <c r="HB152" s="291"/>
      <c r="HC152" s="291"/>
      <c r="HD152" s="291"/>
      <c r="HE152" s="291"/>
      <c r="HF152" s="291"/>
      <c r="HG152" s="291"/>
      <c r="HH152" s="291"/>
      <c r="HI152" s="291"/>
      <c r="HV152" s="291"/>
      <c r="HW152" s="291"/>
      <c r="HX152" s="291"/>
      <c r="HY152" s="291"/>
      <c r="HZ152" s="291"/>
      <c r="LP152" s="357"/>
      <c r="LQ152" s="344" t="s">
        <v>196</v>
      </c>
      <c r="LR152" s="345"/>
      <c r="LS152" s="345"/>
      <c r="LT152" s="345"/>
      <c r="LU152" s="345"/>
      <c r="LV152" s="345"/>
      <c r="LW152" s="345"/>
      <c r="LX152" s="345"/>
      <c r="LY152" s="345"/>
      <c r="LZ152" s="345"/>
      <c r="MA152" s="345"/>
      <c r="MB152" s="345"/>
      <c r="MC152" s="345"/>
      <c r="MD152" s="348">
        <f>'Расчет пазов'!D169</f>
        <v>1.4631482458983054</v>
      </c>
      <c r="ME152" s="349"/>
      <c r="MF152" s="390"/>
      <c r="MG152" s="371"/>
      <c r="MH152" s="373"/>
      <c r="MI152" s="375" t="s">
        <v>604</v>
      </c>
      <c r="MJ152" s="376"/>
      <c r="MK152" s="379"/>
      <c r="TT152" s="8" t="s">
        <v>252</v>
      </c>
      <c r="TU152" s="10" t="s">
        <v>292</v>
      </c>
      <c r="TV152" s="34" t="e">
        <f>TV148/CC48</f>
        <v>#REF!</v>
      </c>
      <c r="TW152" s="6"/>
      <c r="TZ152" s="12"/>
      <c r="UA152" s="3"/>
      <c r="UB152" s="3"/>
      <c r="VL152" s="357"/>
      <c r="VM152" s="384"/>
      <c r="VN152" s="384"/>
      <c r="VO152" s="384"/>
      <c r="VP152" s="384"/>
      <c r="VQ152" s="384"/>
      <c r="VR152" s="384"/>
      <c r="VS152" s="384"/>
      <c r="VT152" s="384"/>
      <c r="VU152" s="384"/>
      <c r="VV152" s="384"/>
      <c r="VW152" s="384"/>
      <c r="VX152" s="384"/>
      <c r="VY152" s="384"/>
      <c r="VZ152" s="348"/>
      <c r="WA152" s="349"/>
      <c r="WB152" s="370"/>
      <c r="WC152" s="371"/>
      <c r="WD152" s="386"/>
      <c r="WE152" s="375" t="s">
        <v>604</v>
      </c>
      <c r="WF152" s="376"/>
      <c r="WG152" s="379"/>
      <c r="WW152" s="8"/>
      <c r="WX152" s="10"/>
      <c r="WY152" s="34"/>
      <c r="WZ152" s="6"/>
      <c r="XC152" s="12"/>
      <c r="XD152" s="3"/>
      <c r="XE152" s="3"/>
    </row>
    <row r="153" spans="208:629" ht="48" customHeight="1" thickBot="1" x14ac:dyDescent="0.35">
      <c r="GZ153" s="291"/>
      <c r="HA153" s="291"/>
      <c r="HB153" s="291"/>
      <c r="HC153" s="291"/>
      <c r="HD153" s="291"/>
      <c r="HE153" s="291"/>
      <c r="HF153" s="291"/>
      <c r="HG153" s="291"/>
      <c r="HH153" s="291"/>
      <c r="HI153" s="291"/>
      <c r="HV153" s="291"/>
      <c r="HW153" s="291"/>
      <c r="HX153" s="291"/>
      <c r="HY153" s="291"/>
      <c r="HZ153" s="291"/>
      <c r="LP153" s="358"/>
      <c r="LQ153" s="346"/>
      <c r="LR153" s="347"/>
      <c r="LS153" s="347"/>
      <c r="LT153" s="347"/>
      <c r="LU153" s="347"/>
      <c r="LV153" s="347"/>
      <c r="LW153" s="347"/>
      <c r="LX153" s="347"/>
      <c r="LY153" s="347"/>
      <c r="LZ153" s="347"/>
      <c r="MA153" s="347"/>
      <c r="MB153" s="347"/>
      <c r="MC153" s="347"/>
      <c r="MD153" s="350"/>
      <c r="ME153" s="351"/>
      <c r="MF153" s="347"/>
      <c r="MG153" s="372"/>
      <c r="MH153" s="374"/>
      <c r="MI153" s="377"/>
      <c r="MJ153" s="378"/>
      <c r="MK153" s="380"/>
      <c r="TT153" s="8" t="s">
        <v>253</v>
      </c>
      <c r="TU153" s="10" t="s">
        <v>293</v>
      </c>
      <c r="TV153" s="6" t="e">
        <f>((TV147/(CC48^2))^2)*TV120</f>
        <v>#REF!</v>
      </c>
      <c r="TW153" s="6"/>
      <c r="TZ153" s="12"/>
      <c r="UA153" s="3"/>
      <c r="UB153" s="3"/>
      <c r="VL153" s="358"/>
      <c r="VM153" s="385"/>
      <c r="VN153" s="385"/>
      <c r="VO153" s="385"/>
      <c r="VP153" s="385"/>
      <c r="VQ153" s="385"/>
      <c r="VR153" s="385"/>
      <c r="VS153" s="385"/>
      <c r="VT153" s="385"/>
      <c r="VU153" s="385"/>
      <c r="VV153" s="385"/>
      <c r="VW153" s="385"/>
      <c r="VX153" s="385"/>
      <c r="VY153" s="385"/>
      <c r="VZ153" s="350"/>
      <c r="WA153" s="351"/>
      <c r="WB153" s="346"/>
      <c r="WC153" s="372"/>
      <c r="WD153" s="387"/>
      <c r="WE153" s="377"/>
      <c r="WF153" s="378"/>
      <c r="WG153" s="380"/>
      <c r="WW153" s="8"/>
      <c r="WX153" s="10"/>
      <c r="WY153" s="6"/>
      <c r="WZ153" s="6"/>
      <c r="XC153" s="12"/>
      <c r="XD153" s="3"/>
      <c r="XE153" s="3"/>
    </row>
    <row r="154" spans="208:629" ht="48" customHeight="1" x14ac:dyDescent="0.3">
      <c r="GZ154" s="291"/>
      <c r="HA154" s="291"/>
      <c r="HB154" s="291"/>
      <c r="HC154" s="291"/>
      <c r="HD154" s="291"/>
      <c r="HE154" s="291"/>
      <c r="HF154" s="291"/>
      <c r="HG154" s="291"/>
      <c r="HH154" s="291"/>
      <c r="HI154" s="291"/>
      <c r="HV154" s="291"/>
      <c r="HW154" s="291"/>
      <c r="HX154" s="291"/>
      <c r="HY154" s="291"/>
      <c r="HZ154" s="291"/>
      <c r="TT154" s="8"/>
      <c r="TU154" s="10"/>
      <c r="TV154" s="6" t="e">
        <f>((TV147/(CC48))^2)*TV120</f>
        <v>#REF!</v>
      </c>
      <c r="TW154" s="6"/>
      <c r="TZ154" s="12"/>
      <c r="UA154" s="3"/>
      <c r="UB154" s="3"/>
      <c r="WW154" s="8"/>
      <c r="WX154" s="10"/>
      <c r="WY154" s="6"/>
      <c r="WZ154" s="6"/>
      <c r="XC154" s="12"/>
      <c r="XD154" s="3"/>
      <c r="XE154" s="3"/>
    </row>
    <row r="155" spans="208:629" ht="48" customHeight="1" thickBot="1" x14ac:dyDescent="0.35">
      <c r="GZ155" s="291"/>
      <c r="HA155" s="291"/>
      <c r="HB155" s="291"/>
      <c r="HC155" s="291"/>
      <c r="HD155" s="291"/>
      <c r="HE155" s="291"/>
      <c r="HF155" s="291"/>
      <c r="HG155" s="291"/>
      <c r="HH155" s="291"/>
      <c r="HI155" s="291"/>
      <c r="HV155" s="291"/>
      <c r="HW155" s="291"/>
      <c r="HX155" s="291"/>
      <c r="HY155" s="291"/>
      <c r="HZ155" s="291"/>
      <c r="LP155" s="356"/>
      <c r="LQ155" s="297" t="s">
        <v>604</v>
      </c>
      <c r="LR155" s="298"/>
      <c r="LS155" s="331"/>
      <c r="LT155" s="175"/>
      <c r="LU155" s="175"/>
      <c r="LV155" s="175"/>
      <c r="LW155" s="175"/>
      <c r="LX155" s="175"/>
      <c r="LY155" s="175"/>
      <c r="LZ155" s="331"/>
      <c r="MA155" s="173" t="s">
        <v>629</v>
      </c>
      <c r="MB155" s="359" t="s">
        <v>623</v>
      </c>
      <c r="MC155" s="360"/>
      <c r="MD155" s="361" t="s">
        <v>189</v>
      </c>
      <c r="ME155" s="362"/>
      <c r="MF155" s="363" t="s">
        <v>910</v>
      </c>
      <c r="MG155" s="364"/>
      <c r="MH155" s="365" t="s">
        <v>638</v>
      </c>
      <c r="MI155" s="366"/>
      <c r="MJ155" s="366"/>
      <c r="MK155" s="367"/>
      <c r="TT155" s="8"/>
      <c r="TU155" s="10"/>
      <c r="TV155" s="6"/>
      <c r="TW155" s="6"/>
      <c r="TZ155" s="12"/>
      <c r="UA155" s="3"/>
      <c r="UB155" s="3"/>
      <c r="VL155" s="356"/>
      <c r="VM155" s="297" t="s">
        <v>604</v>
      </c>
      <c r="VN155" s="298"/>
      <c r="VO155" s="321"/>
      <c r="VP155" s="175"/>
      <c r="VQ155" s="175"/>
      <c r="VR155" s="175"/>
      <c r="VS155" s="175"/>
      <c r="VT155" s="175"/>
      <c r="VU155" s="175"/>
      <c r="VV155" s="321"/>
      <c r="VW155" s="173" t="s">
        <v>629</v>
      </c>
      <c r="VX155" s="359" t="s">
        <v>623</v>
      </c>
      <c r="VY155" s="381"/>
      <c r="VZ155" s="382" t="s">
        <v>189</v>
      </c>
      <c r="WA155" s="383"/>
      <c r="WB155" s="363" t="s">
        <v>910</v>
      </c>
      <c r="WC155" s="364"/>
      <c r="WD155" s="365" t="s">
        <v>638</v>
      </c>
      <c r="WE155" s="366"/>
      <c r="WF155" s="366"/>
      <c r="WG155" s="367"/>
      <c r="WW155" s="8"/>
      <c r="WX155" s="10"/>
      <c r="WY155" s="6"/>
      <c r="WZ155" s="6"/>
      <c r="XC155" s="12"/>
      <c r="XD155" s="3"/>
      <c r="XE155" s="3"/>
    </row>
    <row r="156" spans="208:629" ht="48" customHeight="1" x14ac:dyDescent="0.3">
      <c r="GZ156" s="291"/>
      <c r="HA156" s="291"/>
      <c r="HB156" s="291"/>
      <c r="HC156" s="291"/>
      <c r="HD156" s="291"/>
      <c r="HE156" s="291"/>
      <c r="HF156" s="291"/>
      <c r="HG156" s="291"/>
      <c r="HH156" s="291"/>
      <c r="HI156" s="291"/>
      <c r="HV156" s="291"/>
      <c r="HW156" s="291"/>
      <c r="HX156" s="291"/>
      <c r="HY156" s="291"/>
      <c r="HZ156" s="291"/>
      <c r="LP156" s="357"/>
      <c r="LQ156" s="344" t="s">
        <v>195</v>
      </c>
      <c r="LR156" s="345"/>
      <c r="LS156" s="345"/>
      <c r="LT156" s="345"/>
      <c r="LU156" s="345"/>
      <c r="LV156" s="345"/>
      <c r="LW156" s="345"/>
      <c r="LX156" s="345"/>
      <c r="LY156" s="345"/>
      <c r="LZ156" s="345"/>
      <c r="MA156" s="345"/>
      <c r="MB156" s="345"/>
      <c r="MC156" s="345"/>
      <c r="MD156" s="348">
        <f>(KX86*1000/(12*KX89*IV40))*MD160</f>
        <v>0.45416636117995779</v>
      </c>
      <c r="ME156" s="349"/>
      <c r="MF156" s="390"/>
      <c r="MG156" s="371"/>
      <c r="MH156" s="373"/>
      <c r="MI156" s="375" t="s">
        <v>604</v>
      </c>
      <c r="MJ156" s="376"/>
      <c r="MK156" s="379"/>
      <c r="TT156" s="8"/>
      <c r="TU156" s="10"/>
      <c r="TV156" s="6"/>
      <c r="TW156" s="6"/>
      <c r="TZ156" s="12"/>
      <c r="UA156" s="3"/>
      <c r="UB156" s="3"/>
      <c r="VL156" s="357"/>
      <c r="VM156" s="384"/>
      <c r="VN156" s="384"/>
      <c r="VO156" s="384"/>
      <c r="VP156" s="384"/>
      <c r="VQ156" s="384"/>
      <c r="VR156" s="384"/>
      <c r="VS156" s="384"/>
      <c r="VT156" s="384"/>
      <c r="VU156" s="384"/>
      <c r="VV156" s="384"/>
      <c r="VW156" s="384"/>
      <c r="VX156" s="384"/>
      <c r="VY156" s="384"/>
      <c r="VZ156" s="348"/>
      <c r="WA156" s="349"/>
      <c r="WB156" s="370"/>
      <c r="WC156" s="371"/>
      <c r="WD156" s="386"/>
      <c r="WE156" s="375" t="s">
        <v>604</v>
      </c>
      <c r="WF156" s="376"/>
      <c r="WG156" s="379"/>
      <c r="WW156" s="8"/>
      <c r="WX156" s="11" t="s">
        <v>560</v>
      </c>
      <c r="WY156" s="4">
        <v>155</v>
      </c>
      <c r="WZ156" s="6"/>
      <c r="XC156" s="12"/>
      <c r="XD156" s="3"/>
      <c r="XE156" s="3"/>
    </row>
    <row r="157" spans="208:629" ht="48" customHeight="1" thickBot="1" x14ac:dyDescent="0.35">
      <c r="GZ157" s="291"/>
      <c r="HA157" s="291"/>
      <c r="HB157" s="291"/>
      <c r="HC157" s="291"/>
      <c r="HD157" s="291"/>
      <c r="HE157" s="291"/>
      <c r="HF157" s="291"/>
      <c r="HG157" s="291"/>
      <c r="HH157" s="291"/>
      <c r="HI157" s="291"/>
      <c r="HV157" s="291"/>
      <c r="HW157" s="291"/>
      <c r="HX157" s="291"/>
      <c r="HY157" s="291"/>
      <c r="HZ157" s="291"/>
      <c r="LP157" s="358"/>
      <c r="LQ157" s="346"/>
      <c r="LR157" s="347"/>
      <c r="LS157" s="347"/>
      <c r="LT157" s="347"/>
      <c r="LU157" s="347"/>
      <c r="LV157" s="347"/>
      <c r="LW157" s="347"/>
      <c r="LX157" s="347"/>
      <c r="LY157" s="347"/>
      <c r="LZ157" s="347"/>
      <c r="MA157" s="347"/>
      <c r="MB157" s="347"/>
      <c r="MC157" s="347"/>
      <c r="MD157" s="350"/>
      <c r="ME157" s="351"/>
      <c r="MF157" s="347"/>
      <c r="MG157" s="372"/>
      <c r="MH157" s="374"/>
      <c r="MI157" s="377"/>
      <c r="MJ157" s="378"/>
      <c r="MK157" s="380"/>
      <c r="TT157" s="8" t="s">
        <v>254</v>
      </c>
      <c r="TU157" s="10" t="s">
        <v>294</v>
      </c>
      <c r="TV157" s="6" t="e">
        <f>MD56/((TV140/TV149)+TV145)</f>
        <v>#REF!</v>
      </c>
      <c r="TW157" s="6"/>
      <c r="TZ157" s="12"/>
      <c r="UA157" s="3"/>
      <c r="UB157" s="3"/>
      <c r="VL157" s="358"/>
      <c r="VM157" s="385"/>
      <c r="VN157" s="385"/>
      <c r="VO157" s="385"/>
      <c r="VP157" s="385"/>
      <c r="VQ157" s="385"/>
      <c r="VR157" s="385"/>
      <c r="VS157" s="385"/>
      <c r="VT157" s="385"/>
      <c r="VU157" s="385"/>
      <c r="VV157" s="385"/>
      <c r="VW157" s="385"/>
      <c r="VX157" s="385"/>
      <c r="VY157" s="385"/>
      <c r="VZ157" s="350"/>
      <c r="WA157" s="351"/>
      <c r="WB157" s="346"/>
      <c r="WC157" s="372"/>
      <c r="WD157" s="387"/>
      <c r="WE157" s="377"/>
      <c r="WF157" s="378"/>
      <c r="WG157" s="380"/>
      <c r="WW157" s="8"/>
      <c r="WX157" s="11" t="s">
        <v>561</v>
      </c>
      <c r="WY157" s="4">
        <v>20</v>
      </c>
      <c r="WZ157" s="6"/>
      <c r="XC157" s="12"/>
      <c r="XD157" s="3"/>
      <c r="XE157" s="3"/>
    </row>
    <row r="158" spans="208:629" ht="48" customHeight="1" x14ac:dyDescent="0.3">
      <c r="GZ158" s="291"/>
      <c r="HA158" s="291"/>
      <c r="HB158" s="291"/>
      <c r="HC158" s="291"/>
      <c r="HD158" s="291"/>
      <c r="HE158" s="291"/>
      <c r="HF158" s="291"/>
      <c r="HG158" s="291"/>
      <c r="HH158" s="291"/>
      <c r="HI158" s="291"/>
      <c r="HV158" s="291"/>
      <c r="HW158" s="291"/>
      <c r="HX158" s="291"/>
      <c r="HY158" s="291"/>
      <c r="HZ158" s="291"/>
      <c r="KX158" s="16"/>
      <c r="KY158" s="3"/>
      <c r="KZ158" s="3"/>
      <c r="TT158" s="7"/>
      <c r="TU158" s="12"/>
      <c r="TV158" s="3"/>
      <c r="TW158" s="3"/>
      <c r="TZ158" s="12"/>
      <c r="UA158" s="3"/>
      <c r="UB158" s="3"/>
      <c r="WW158" s="8"/>
      <c r="WX158" s="10"/>
      <c r="WY158" s="6"/>
      <c r="WZ158" s="6"/>
      <c r="XC158" s="12"/>
      <c r="XD158" s="3"/>
      <c r="XE158" s="3"/>
    </row>
    <row r="159" spans="208:629" ht="48" customHeight="1" thickBot="1" x14ac:dyDescent="0.35">
      <c r="GZ159" s="291"/>
      <c r="HA159" s="291"/>
      <c r="HB159" s="291"/>
      <c r="HC159" s="291"/>
      <c r="HD159" s="291"/>
      <c r="HE159" s="291"/>
      <c r="HF159" s="291"/>
      <c r="HG159" s="291"/>
      <c r="HH159" s="291"/>
      <c r="HI159" s="291"/>
      <c r="HV159" s="291"/>
      <c r="HW159" s="291"/>
      <c r="HX159" s="291"/>
      <c r="HY159" s="291"/>
      <c r="HZ159" s="291"/>
      <c r="KX159" s="16"/>
      <c r="KY159" s="3"/>
      <c r="KZ159" s="3"/>
      <c r="LP159" s="356"/>
      <c r="LQ159" s="297" t="s">
        <v>604</v>
      </c>
      <c r="LR159" s="298"/>
      <c r="LS159" s="331"/>
      <c r="LT159" s="175"/>
      <c r="LU159" s="175"/>
      <c r="LV159" s="175"/>
      <c r="LW159" s="175"/>
      <c r="LX159" s="175"/>
      <c r="LY159" s="175"/>
      <c r="LZ159" s="331"/>
      <c r="MA159" s="173" t="s">
        <v>629</v>
      </c>
      <c r="MB159" s="359" t="s">
        <v>623</v>
      </c>
      <c r="MC159" s="360"/>
      <c r="MD159" s="382" t="s">
        <v>189</v>
      </c>
      <c r="ME159" s="383"/>
      <c r="MF159" s="363" t="s">
        <v>910</v>
      </c>
      <c r="MG159" s="364"/>
      <c r="MH159" s="365" t="s">
        <v>638</v>
      </c>
      <c r="MI159" s="366"/>
      <c r="MJ159" s="366"/>
      <c r="MK159" s="367"/>
      <c r="TT159" s="7"/>
      <c r="TU159" s="12"/>
      <c r="TV159" s="3"/>
      <c r="TW159" s="3"/>
      <c r="TZ159" s="12"/>
      <c r="UA159" s="3"/>
      <c r="UB159" s="3"/>
      <c r="VL159" s="356"/>
      <c r="VM159" s="297" t="s">
        <v>604</v>
      </c>
      <c r="VN159" s="298"/>
      <c r="VO159" s="321"/>
      <c r="VP159" s="175"/>
      <c r="VQ159" s="175"/>
      <c r="VR159" s="175"/>
      <c r="VS159" s="175"/>
      <c r="VT159" s="175"/>
      <c r="VU159" s="175"/>
      <c r="VV159" s="321"/>
      <c r="VW159" s="173" t="s">
        <v>629</v>
      </c>
      <c r="VX159" s="359" t="s">
        <v>623</v>
      </c>
      <c r="VY159" s="381"/>
      <c r="VZ159" s="382" t="s">
        <v>189</v>
      </c>
      <c r="WA159" s="383"/>
      <c r="WB159" s="363" t="s">
        <v>910</v>
      </c>
      <c r="WC159" s="364"/>
      <c r="WD159" s="365" t="s">
        <v>638</v>
      </c>
      <c r="WE159" s="366"/>
      <c r="WF159" s="366"/>
      <c r="WG159" s="367"/>
      <c r="WW159" s="8"/>
      <c r="WX159" s="10"/>
      <c r="WY159" s="6"/>
      <c r="WZ159" s="6"/>
      <c r="XC159" s="12"/>
      <c r="XD159" s="3"/>
      <c r="XE159" s="3"/>
    </row>
    <row r="160" spans="208:629" ht="48" customHeight="1" x14ac:dyDescent="0.3">
      <c r="GZ160" s="291"/>
      <c r="HA160" s="291"/>
      <c r="HB160" s="291"/>
      <c r="HC160" s="291"/>
      <c r="HD160" s="291"/>
      <c r="HE160" s="291"/>
      <c r="HF160" s="291"/>
      <c r="HG160" s="291"/>
      <c r="HH160" s="291"/>
      <c r="HI160" s="291"/>
      <c r="HV160" s="291"/>
      <c r="HW160" s="291"/>
      <c r="HX160" s="291"/>
      <c r="HY160" s="291"/>
      <c r="HZ160" s="291"/>
      <c r="KX160" s="12"/>
      <c r="KY160" s="3"/>
      <c r="KZ160" s="3"/>
      <c r="LP160" s="357"/>
      <c r="LQ160" s="344" t="s">
        <v>197</v>
      </c>
      <c r="LR160" s="345"/>
      <c r="LS160" s="345"/>
      <c r="LT160" s="345"/>
      <c r="LU160" s="345"/>
      <c r="LV160" s="345"/>
      <c r="LW160" s="345"/>
      <c r="LX160" s="345"/>
      <c r="LY160" s="345"/>
      <c r="LZ160" s="345"/>
      <c r="MA160" s="345"/>
      <c r="MB160" s="345"/>
      <c r="MC160" s="345"/>
      <c r="MD160" s="348">
        <f>1+1/5*((3.14*AN12/GK24)^2)-MD132/((1-(AN12/GK24))^2)</f>
        <v>0.26301643559708565</v>
      </c>
      <c r="ME160" s="349"/>
      <c r="MF160" s="390"/>
      <c r="MG160" s="371"/>
      <c r="MH160" s="373"/>
      <c r="MI160" s="375" t="s">
        <v>604</v>
      </c>
      <c r="MJ160" s="376"/>
      <c r="MK160" s="379"/>
      <c r="VL160" s="357"/>
      <c r="VM160" s="384"/>
      <c r="VN160" s="384"/>
      <c r="VO160" s="384"/>
      <c r="VP160" s="384"/>
      <c r="VQ160" s="384"/>
      <c r="VR160" s="384"/>
      <c r="VS160" s="384"/>
      <c r="VT160" s="384"/>
      <c r="VU160" s="384"/>
      <c r="VV160" s="384"/>
      <c r="VW160" s="384"/>
      <c r="VX160" s="384"/>
      <c r="VY160" s="384"/>
      <c r="VZ160" s="348"/>
      <c r="WA160" s="349"/>
      <c r="WB160" s="370"/>
      <c r="WC160" s="371"/>
      <c r="WD160" s="386"/>
      <c r="WE160" s="375" t="s">
        <v>604</v>
      </c>
      <c r="WF160" s="376"/>
      <c r="WG160" s="379"/>
      <c r="WW160" s="8"/>
      <c r="WX160" s="10"/>
      <c r="WY160" s="6"/>
      <c r="WZ160" s="6"/>
      <c r="XC160" s="12"/>
      <c r="XD160" s="3"/>
      <c r="XE160" s="3"/>
    </row>
    <row r="161" spans="208:629" ht="48" customHeight="1" thickBot="1" x14ac:dyDescent="0.35">
      <c r="GZ161" s="291"/>
      <c r="HA161" s="291"/>
      <c r="HB161" s="291"/>
      <c r="HC161" s="291"/>
      <c r="HD161" s="291"/>
      <c r="HE161" s="291"/>
      <c r="HF161" s="291"/>
      <c r="HG161" s="291"/>
      <c r="HH161" s="291"/>
      <c r="HI161" s="291"/>
      <c r="HV161" s="291"/>
      <c r="HW161" s="291"/>
      <c r="HX161" s="291"/>
      <c r="HY161" s="291"/>
      <c r="HZ161" s="291"/>
      <c r="KX161" s="12"/>
      <c r="KY161" s="3"/>
      <c r="KZ161" s="3"/>
      <c r="LP161" s="358"/>
      <c r="LQ161" s="346"/>
      <c r="LR161" s="347"/>
      <c r="LS161" s="347"/>
      <c r="LT161" s="347"/>
      <c r="LU161" s="347"/>
      <c r="LV161" s="347"/>
      <c r="LW161" s="347"/>
      <c r="LX161" s="347"/>
      <c r="LY161" s="347"/>
      <c r="LZ161" s="347"/>
      <c r="MA161" s="347"/>
      <c r="MB161" s="347"/>
      <c r="MC161" s="347"/>
      <c r="MD161" s="350"/>
      <c r="ME161" s="351"/>
      <c r="MF161" s="347"/>
      <c r="MG161" s="372"/>
      <c r="MH161" s="374"/>
      <c r="MI161" s="377"/>
      <c r="MJ161" s="378"/>
      <c r="MK161" s="380"/>
      <c r="VL161" s="358"/>
      <c r="VM161" s="385"/>
      <c r="VN161" s="385"/>
      <c r="VO161" s="385"/>
      <c r="VP161" s="385"/>
      <c r="VQ161" s="385"/>
      <c r="VR161" s="385"/>
      <c r="VS161" s="385"/>
      <c r="VT161" s="385"/>
      <c r="VU161" s="385"/>
      <c r="VV161" s="385"/>
      <c r="VW161" s="385"/>
      <c r="VX161" s="385"/>
      <c r="VY161" s="385"/>
      <c r="VZ161" s="350"/>
      <c r="WA161" s="351"/>
      <c r="WB161" s="346"/>
      <c r="WC161" s="372"/>
      <c r="WD161" s="387"/>
      <c r="WE161" s="377"/>
      <c r="WF161" s="378"/>
      <c r="WG161" s="380"/>
      <c r="WW161" s="8" t="s">
        <v>259</v>
      </c>
      <c r="WX161" s="10" t="s">
        <v>299</v>
      </c>
      <c r="WY161" s="6" t="e">
        <f>((WY122+WY135)*2*AN77)/MD20/1000+((WY146+WY148)*2*MD16)/MD20/1000</f>
        <v>#REF!</v>
      </c>
      <c r="WZ161" s="6"/>
      <c r="XC161" s="12"/>
      <c r="XD161" s="3"/>
      <c r="XE161" s="3"/>
    </row>
    <row r="162" spans="208:629" ht="48" customHeight="1" x14ac:dyDescent="0.3">
      <c r="GZ162" s="291"/>
      <c r="HA162" s="291"/>
      <c r="HB162" s="291"/>
      <c r="HC162" s="291"/>
      <c r="HD162" s="291"/>
      <c r="HE162" s="291"/>
      <c r="HF162" s="291"/>
      <c r="HG162" s="291"/>
      <c r="HH162" s="291"/>
      <c r="HI162" s="291"/>
      <c r="HV162" s="291"/>
      <c r="HW162" s="291"/>
      <c r="HX162" s="291"/>
      <c r="HY162" s="291"/>
      <c r="HZ162" s="291"/>
      <c r="KX162" s="12"/>
      <c r="KY162" s="3"/>
      <c r="KZ162" s="3"/>
      <c r="WW162" s="8" t="s">
        <v>260</v>
      </c>
      <c r="WX162" s="10" t="s">
        <v>300</v>
      </c>
      <c r="WY162" s="6" t="e">
        <f>(WY164/(WY168*WY157))/1000</f>
        <v>#REF!</v>
      </c>
      <c r="WZ162" s="6"/>
      <c r="XC162" s="12"/>
      <c r="XD162" s="3"/>
      <c r="XE162" s="3"/>
    </row>
    <row r="163" spans="208:629" ht="48" customHeight="1" thickBot="1" x14ac:dyDescent="0.35">
      <c r="GZ163" s="291"/>
      <c r="HA163" s="291"/>
      <c r="HB163" s="291"/>
      <c r="HC163" s="291"/>
      <c r="HD163" s="291"/>
      <c r="HE163" s="291"/>
      <c r="HF163" s="291"/>
      <c r="HG163" s="291"/>
      <c r="HH163" s="291"/>
      <c r="HI163" s="291"/>
      <c r="HV163" s="291"/>
      <c r="HW163" s="291"/>
      <c r="HX163" s="291"/>
      <c r="HY163" s="291"/>
      <c r="HZ163" s="291"/>
      <c r="KX163" s="12"/>
      <c r="KY163" s="3"/>
      <c r="KZ163" s="3"/>
      <c r="LP163" s="356"/>
      <c r="LQ163" s="297" t="s">
        <v>604</v>
      </c>
      <c r="LR163" s="298"/>
      <c r="LS163" s="331"/>
      <c r="LT163" s="175"/>
      <c r="LU163" s="175"/>
      <c r="LV163" s="175"/>
      <c r="LW163" s="175"/>
      <c r="LX163" s="175"/>
      <c r="LY163" s="175"/>
      <c r="LZ163" s="331"/>
      <c r="MA163" s="173" t="s">
        <v>629</v>
      </c>
      <c r="MB163" s="359" t="s">
        <v>623</v>
      </c>
      <c r="MC163" s="360"/>
      <c r="MD163" s="361" t="s">
        <v>189</v>
      </c>
      <c r="ME163" s="362"/>
      <c r="MF163" s="363" t="s">
        <v>910</v>
      </c>
      <c r="MG163" s="364"/>
      <c r="MH163" s="365" t="s">
        <v>638</v>
      </c>
      <c r="MI163" s="366"/>
      <c r="MJ163" s="366"/>
      <c r="MK163" s="367"/>
      <c r="VL163" s="356"/>
      <c r="VM163" s="297" t="s">
        <v>604</v>
      </c>
      <c r="VN163" s="298"/>
      <c r="VO163" s="321"/>
      <c r="VP163" s="175"/>
      <c r="VQ163" s="175"/>
      <c r="VR163" s="175"/>
      <c r="VS163" s="175"/>
      <c r="VT163" s="175"/>
      <c r="VU163" s="175"/>
      <c r="VV163" s="321"/>
      <c r="VW163" s="173" t="s">
        <v>629</v>
      </c>
      <c r="VX163" s="359" t="s">
        <v>623</v>
      </c>
      <c r="VY163" s="360"/>
      <c r="VZ163" s="361" t="s">
        <v>189</v>
      </c>
      <c r="WA163" s="362"/>
      <c r="WB163" s="363" t="s">
        <v>910</v>
      </c>
      <c r="WC163" s="364"/>
      <c r="WD163" s="365" t="s">
        <v>638</v>
      </c>
      <c r="WE163" s="366"/>
      <c r="WF163" s="366"/>
      <c r="WG163" s="367"/>
      <c r="WW163" s="8"/>
      <c r="WX163" s="10"/>
      <c r="WY163" s="6"/>
      <c r="WZ163" s="6"/>
      <c r="XC163" s="12"/>
      <c r="XD163" s="3"/>
      <c r="XE163" s="3"/>
    </row>
    <row r="164" spans="208:629" ht="48" customHeight="1" x14ac:dyDescent="0.3">
      <c r="GZ164" s="291"/>
      <c r="HA164" s="291"/>
      <c r="HB164" s="291"/>
      <c r="HC164" s="291"/>
      <c r="HD164" s="291"/>
      <c r="HE164" s="291"/>
      <c r="HF164" s="291"/>
      <c r="HG164" s="291"/>
      <c r="HH164" s="291"/>
      <c r="HI164" s="291"/>
      <c r="HV164" s="291"/>
      <c r="HW164" s="291"/>
      <c r="HX164" s="291"/>
      <c r="HY164" s="291"/>
      <c r="HZ164" s="291"/>
      <c r="KX164" s="12"/>
      <c r="KY164" s="3"/>
      <c r="KZ164" s="3"/>
      <c r="LP164" s="357"/>
      <c r="LQ164" s="344" t="s">
        <v>198</v>
      </c>
      <c r="LR164" s="345"/>
      <c r="LS164" s="345"/>
      <c r="LT164" s="345"/>
      <c r="LU164" s="345"/>
      <c r="LV164" s="345"/>
      <c r="LW164" s="345"/>
      <c r="LX164" s="345"/>
      <c r="LY164" s="345"/>
      <c r="LZ164" s="345"/>
      <c r="MA164" s="345"/>
      <c r="MB164" s="345"/>
      <c r="MC164" s="345"/>
      <c r="MD164" s="348">
        <f>(2.3*MD52)/(GK24*AN77*1000*(GK116^2))*LOG((4.7*MD52)/(2*GK128+GK124),EXP(1))</f>
        <v>5.0921852169730943</v>
      </c>
      <c r="ME164" s="349"/>
      <c r="MF164" s="390"/>
      <c r="MG164" s="371"/>
      <c r="MH164" s="373"/>
      <c r="MI164" s="375" t="s">
        <v>604</v>
      </c>
      <c r="MJ164" s="376"/>
      <c r="MK164" s="379"/>
      <c r="VL164" s="357"/>
      <c r="VM164" s="344"/>
      <c r="VN164" s="345"/>
      <c r="VO164" s="345"/>
      <c r="VP164" s="345"/>
      <c r="VQ164" s="345"/>
      <c r="VR164" s="345"/>
      <c r="VS164" s="345"/>
      <c r="VT164" s="345"/>
      <c r="VU164" s="345"/>
      <c r="VV164" s="345"/>
      <c r="VW164" s="345"/>
      <c r="VX164" s="345"/>
      <c r="VY164" s="368"/>
      <c r="VZ164" s="348"/>
      <c r="WA164" s="349"/>
      <c r="WB164" s="370"/>
      <c r="WC164" s="371"/>
      <c r="WD164" s="373"/>
      <c r="WE164" s="375" t="s">
        <v>604</v>
      </c>
      <c r="WF164" s="376"/>
      <c r="WG164" s="379"/>
      <c r="WW164" s="8"/>
      <c r="WX164" s="10" t="s">
        <v>570</v>
      </c>
      <c r="WY164" s="6" t="e">
        <f>WY166-(1-WY123)*(WY147+NA92)</f>
        <v>#REF!</v>
      </c>
      <c r="WZ164" s="6"/>
      <c r="XC164" s="12"/>
      <c r="XD164" s="3"/>
      <c r="XE164" s="3"/>
    </row>
    <row r="165" spans="208:629" ht="48" customHeight="1" thickBot="1" x14ac:dyDescent="0.35">
      <c r="GZ165" s="291"/>
      <c r="HA165" s="291"/>
      <c r="HB165" s="291"/>
      <c r="HC165" s="291"/>
      <c r="HD165" s="291"/>
      <c r="HE165" s="291"/>
      <c r="HF165" s="291"/>
      <c r="HG165" s="291"/>
      <c r="HH165" s="291"/>
      <c r="HI165" s="291"/>
      <c r="HV165" s="291"/>
      <c r="HW165" s="291"/>
      <c r="HX165" s="291"/>
      <c r="HY165" s="291"/>
      <c r="HZ165" s="291"/>
      <c r="KX165" s="12"/>
      <c r="KY165" s="3"/>
      <c r="KZ165" s="3"/>
      <c r="LP165" s="358"/>
      <c r="LQ165" s="346"/>
      <c r="LR165" s="347"/>
      <c r="LS165" s="347"/>
      <c r="LT165" s="347"/>
      <c r="LU165" s="347"/>
      <c r="LV165" s="347"/>
      <c r="LW165" s="347"/>
      <c r="LX165" s="347"/>
      <c r="LY165" s="347"/>
      <c r="LZ165" s="347"/>
      <c r="MA165" s="347"/>
      <c r="MB165" s="347"/>
      <c r="MC165" s="347"/>
      <c r="MD165" s="350"/>
      <c r="ME165" s="351"/>
      <c r="MF165" s="347"/>
      <c r="MG165" s="372"/>
      <c r="MH165" s="374"/>
      <c r="MI165" s="377"/>
      <c r="MJ165" s="378"/>
      <c r="MK165" s="380"/>
      <c r="VL165" s="358"/>
      <c r="VM165" s="346"/>
      <c r="VN165" s="347"/>
      <c r="VO165" s="347"/>
      <c r="VP165" s="347"/>
      <c r="VQ165" s="347"/>
      <c r="VR165" s="347"/>
      <c r="VS165" s="347"/>
      <c r="VT165" s="347"/>
      <c r="VU165" s="347"/>
      <c r="VV165" s="347"/>
      <c r="VW165" s="347"/>
      <c r="VX165" s="347"/>
      <c r="VY165" s="369"/>
      <c r="VZ165" s="350"/>
      <c r="WA165" s="351"/>
      <c r="WB165" s="346"/>
      <c r="WC165" s="372"/>
      <c r="WD165" s="374"/>
      <c r="WE165" s="377"/>
      <c r="WF165" s="378"/>
      <c r="WG165" s="380"/>
      <c r="WW165" s="8"/>
      <c r="WX165" s="10" t="s">
        <v>569</v>
      </c>
      <c r="WY165" s="6" t="e">
        <f>WY166-(1-WY128)*(WY129+NA92)</f>
        <v>#REF!</v>
      </c>
      <c r="WZ165" s="6"/>
      <c r="XC165" s="12"/>
      <c r="XD165" s="3"/>
      <c r="XE165" s="3"/>
    </row>
    <row r="166" spans="208:629" ht="48" customHeight="1" x14ac:dyDescent="0.3">
      <c r="GZ166" s="291"/>
      <c r="HA166" s="291"/>
      <c r="HB166" s="291"/>
      <c r="HC166" s="291"/>
      <c r="HD166" s="291"/>
      <c r="HE166" s="291"/>
      <c r="HF166" s="291"/>
      <c r="HG166" s="291"/>
      <c r="HH166" s="291"/>
      <c r="HI166" s="291"/>
      <c r="HV166" s="291"/>
      <c r="HW166" s="291"/>
      <c r="HX166" s="291"/>
      <c r="HY166" s="291"/>
      <c r="HZ166" s="291"/>
      <c r="KX166" s="12"/>
      <c r="KY166" s="3"/>
      <c r="KZ166" s="3"/>
      <c r="WW166" s="8"/>
      <c r="WX166" s="10" t="s">
        <v>571</v>
      </c>
      <c r="WY166" s="6" t="e">
        <f>'Рабочие и пусковые'!R60+(WY128-1)*('Рабочие и пусковые'!R57+'Рабочие и пусковые'!R58)</f>
        <v>#REF!</v>
      </c>
      <c r="WZ166" s="6"/>
      <c r="XC166" s="12"/>
      <c r="XD166" s="3"/>
      <c r="XE166" s="3"/>
    </row>
    <row r="167" spans="208:629" ht="48" customHeight="1" thickBot="1" x14ac:dyDescent="0.35">
      <c r="GZ167" s="291"/>
      <c r="HA167" s="291"/>
      <c r="HB167" s="291"/>
      <c r="HC167" s="291"/>
      <c r="HD167" s="291"/>
      <c r="HE167" s="291"/>
      <c r="HF167" s="291"/>
      <c r="HG167" s="291"/>
      <c r="HH167" s="291"/>
      <c r="HI167" s="291"/>
      <c r="HV167" s="291"/>
      <c r="HW167" s="291"/>
      <c r="HX167" s="291"/>
      <c r="HY167" s="291"/>
      <c r="HZ167" s="291"/>
      <c r="KX167" s="12"/>
      <c r="KY167" s="3"/>
      <c r="KZ167" s="3"/>
      <c r="LP167" s="356"/>
      <c r="LQ167" s="297" t="s">
        <v>604</v>
      </c>
      <c r="LR167" s="298"/>
      <c r="LS167" s="331"/>
      <c r="LT167" s="175"/>
      <c r="LU167" s="175"/>
      <c r="LV167" s="175"/>
      <c r="LW167" s="175"/>
      <c r="LX167" s="175"/>
      <c r="LY167" s="175"/>
      <c r="LZ167" s="331"/>
      <c r="MA167" s="173" t="s">
        <v>629</v>
      </c>
      <c r="MB167" s="359" t="s">
        <v>623</v>
      </c>
      <c r="MC167" s="360"/>
      <c r="MD167" s="382" t="s">
        <v>189</v>
      </c>
      <c r="ME167" s="383"/>
      <c r="MF167" s="363" t="s">
        <v>910</v>
      </c>
      <c r="MG167" s="364"/>
      <c r="MH167" s="365" t="s">
        <v>638</v>
      </c>
      <c r="MI167" s="366"/>
      <c r="MJ167" s="366"/>
      <c r="MK167" s="367"/>
      <c r="VL167" s="356"/>
      <c r="VM167" s="297" t="s">
        <v>604</v>
      </c>
      <c r="VN167" s="298"/>
      <c r="VO167" s="321"/>
      <c r="VP167" s="175"/>
      <c r="VQ167" s="175"/>
      <c r="VR167" s="175"/>
      <c r="VS167" s="175"/>
      <c r="VT167" s="175"/>
      <c r="VU167" s="175"/>
      <c r="VV167" s="321"/>
      <c r="VW167" s="173" t="s">
        <v>629</v>
      </c>
      <c r="VX167" s="359" t="s">
        <v>623</v>
      </c>
      <c r="VY167" s="360"/>
      <c r="VZ167" s="361" t="s">
        <v>189</v>
      </c>
      <c r="WA167" s="362"/>
      <c r="WB167" s="363" t="s">
        <v>910</v>
      </c>
      <c r="WC167" s="364"/>
      <c r="WD167" s="365" t="s">
        <v>638</v>
      </c>
      <c r="WE167" s="366"/>
      <c r="WF167" s="366"/>
      <c r="WG167" s="367"/>
      <c r="WW167" s="8"/>
      <c r="WX167" s="10"/>
      <c r="WY167" s="6"/>
      <c r="WZ167" s="6"/>
      <c r="XC167" s="12"/>
      <c r="XD167" s="3"/>
      <c r="XE167" s="3"/>
    </row>
    <row r="168" spans="208:629" ht="48" customHeight="1" x14ac:dyDescent="0.3">
      <c r="GZ168" s="291"/>
      <c r="HA168" s="291"/>
      <c r="HB168" s="291"/>
      <c r="HC168" s="291"/>
      <c r="HD168" s="291"/>
      <c r="HE168" s="291"/>
      <c r="HF168" s="291"/>
      <c r="HG168" s="291"/>
      <c r="HH168" s="291"/>
      <c r="HI168" s="291"/>
      <c r="HV168" s="291"/>
      <c r="HW168" s="291"/>
      <c r="HX168" s="291"/>
      <c r="HY168" s="291"/>
      <c r="HZ168" s="291"/>
      <c r="KX168" s="12"/>
      <c r="KY168" s="3"/>
      <c r="KZ168" s="3"/>
      <c r="LP168" s="357"/>
      <c r="LQ168" s="344" t="s">
        <v>199</v>
      </c>
      <c r="LR168" s="345"/>
      <c r="LS168" s="345"/>
      <c r="LT168" s="345"/>
      <c r="LU168" s="345"/>
      <c r="LV168" s="345"/>
      <c r="LW168" s="345"/>
      <c r="LX168" s="345"/>
      <c r="LY168" s="345"/>
      <c r="LZ168" s="345"/>
      <c r="MA168" s="345"/>
      <c r="MB168" s="345"/>
      <c r="MC168" s="345"/>
      <c r="MD168" s="348" t="e">
        <f>(MD148*4*#REF!*(CC64*CC72)^2)/GK24</f>
        <v>#REF!</v>
      </c>
      <c r="ME168" s="349"/>
      <c r="MF168" s="390"/>
      <c r="MG168" s="371"/>
      <c r="MH168" s="373"/>
      <c r="MI168" s="375" t="s">
        <v>604</v>
      </c>
      <c r="MJ168" s="376"/>
      <c r="MK168" s="379"/>
      <c r="VL168" s="357"/>
      <c r="VM168" s="344"/>
      <c r="VN168" s="345"/>
      <c r="VO168" s="345"/>
      <c r="VP168" s="345"/>
      <c r="VQ168" s="345"/>
      <c r="VR168" s="345"/>
      <c r="VS168" s="345"/>
      <c r="VT168" s="345"/>
      <c r="VU168" s="345"/>
      <c r="VV168" s="345"/>
      <c r="VW168" s="345"/>
      <c r="VX168" s="345"/>
      <c r="VY168" s="368"/>
      <c r="VZ168" s="348"/>
      <c r="WA168" s="349"/>
      <c r="WB168" s="370"/>
      <c r="WC168" s="371"/>
      <c r="WD168" s="373"/>
      <c r="WE168" s="375" t="s">
        <v>604</v>
      </c>
      <c r="WF168" s="376"/>
      <c r="WG168" s="379"/>
      <c r="WW168" s="8"/>
      <c r="WX168" s="14" t="s">
        <v>570</v>
      </c>
      <c r="WY168" s="6">
        <f>3.14*AN20*(AN77+2*WY149/1000)</f>
        <v>0.15775310301331652</v>
      </c>
      <c r="WZ168" s="6"/>
      <c r="XC168" s="12"/>
      <c r="XD168" s="3"/>
      <c r="XE168" s="3"/>
    </row>
    <row r="169" spans="208:629" ht="48" customHeight="1" thickBot="1" x14ac:dyDescent="0.35">
      <c r="HV169" s="291"/>
      <c r="HW169" s="291"/>
      <c r="HX169" s="291"/>
      <c r="HY169" s="291"/>
      <c r="HZ169" s="291"/>
      <c r="KX169" s="12"/>
      <c r="KY169" s="3"/>
      <c r="KZ169" s="3"/>
      <c r="LP169" s="358"/>
      <c r="LQ169" s="346"/>
      <c r="LR169" s="347"/>
      <c r="LS169" s="347"/>
      <c r="LT169" s="347"/>
      <c r="LU169" s="347"/>
      <c r="LV169" s="347"/>
      <c r="LW169" s="347"/>
      <c r="LX169" s="347"/>
      <c r="LY169" s="347"/>
      <c r="LZ169" s="347"/>
      <c r="MA169" s="347"/>
      <c r="MB169" s="347"/>
      <c r="MC169" s="347"/>
      <c r="MD169" s="350"/>
      <c r="ME169" s="351"/>
      <c r="MF169" s="347"/>
      <c r="MG169" s="372"/>
      <c r="MH169" s="374"/>
      <c r="MI169" s="377"/>
      <c r="MJ169" s="378"/>
      <c r="MK169" s="380"/>
      <c r="VL169" s="358"/>
      <c r="VM169" s="346"/>
      <c r="VN169" s="347"/>
      <c r="VO169" s="347"/>
      <c r="VP169" s="347"/>
      <c r="VQ169" s="347"/>
      <c r="VR169" s="347"/>
      <c r="VS169" s="347"/>
      <c r="VT169" s="347"/>
      <c r="VU169" s="347"/>
      <c r="VV169" s="347"/>
      <c r="VW169" s="347"/>
      <c r="VX169" s="347"/>
      <c r="VY169" s="369"/>
      <c r="VZ169" s="350"/>
      <c r="WA169" s="351"/>
      <c r="WB169" s="346"/>
      <c r="WC169" s="372"/>
      <c r="WD169" s="374"/>
      <c r="WE169" s="377"/>
      <c r="WF169" s="378"/>
      <c r="WG169" s="380"/>
      <c r="WW169" s="8"/>
      <c r="WX169" s="10" t="s">
        <v>569</v>
      </c>
      <c r="WY169" s="6">
        <f>(3.14*AN20+8*0.32)*(AN77+2*WY149/1000)</f>
        <v>0.56866043468553551</v>
      </c>
      <c r="WZ169" s="6"/>
      <c r="XC169" s="12"/>
      <c r="XD169" s="3"/>
      <c r="XE169" s="3"/>
    </row>
    <row r="170" spans="208:629" ht="48" customHeight="1" x14ac:dyDescent="0.3">
      <c r="HV170" s="291"/>
      <c r="HW170" s="291"/>
      <c r="HX170" s="291"/>
      <c r="HY170" s="291"/>
      <c r="HZ170" s="291"/>
      <c r="WW170" s="8"/>
      <c r="WX170" s="10"/>
      <c r="WY170" s="6"/>
      <c r="WZ170" s="6"/>
      <c r="XB170" s="3"/>
      <c r="XC170" s="12"/>
      <c r="XD170" s="3"/>
      <c r="XE170" s="3"/>
    </row>
    <row r="171" spans="208:629" ht="48" customHeight="1" thickBot="1" x14ac:dyDescent="0.35">
      <c r="HV171" s="291"/>
      <c r="HW171" s="291"/>
      <c r="HX171" s="291"/>
      <c r="HY171" s="291"/>
      <c r="HZ171" s="291"/>
      <c r="LP171" s="356"/>
      <c r="LQ171" s="297" t="s">
        <v>604</v>
      </c>
      <c r="LR171" s="298"/>
      <c r="LS171" s="331"/>
      <c r="LT171" s="175"/>
      <c r="LU171" s="175"/>
      <c r="LV171" s="175"/>
      <c r="LW171" s="175"/>
      <c r="LX171" s="175"/>
      <c r="LY171" s="175"/>
      <c r="LZ171" s="331"/>
      <c r="MA171" s="173" t="s">
        <v>629</v>
      </c>
      <c r="MB171" s="359" t="s">
        <v>623</v>
      </c>
      <c r="MC171" s="360"/>
      <c r="MD171" s="361" t="s">
        <v>189</v>
      </c>
      <c r="ME171" s="362"/>
      <c r="MF171" s="363" t="s">
        <v>910</v>
      </c>
      <c r="MG171" s="364"/>
      <c r="MH171" s="365" t="s">
        <v>638</v>
      </c>
      <c r="MI171" s="366"/>
      <c r="MJ171" s="366"/>
      <c r="MK171" s="367"/>
      <c r="VL171" s="356"/>
      <c r="VM171" s="297" t="s">
        <v>604</v>
      </c>
      <c r="VN171" s="298"/>
      <c r="VO171" s="321"/>
      <c r="VP171" s="175"/>
      <c r="VQ171" s="175"/>
      <c r="VR171" s="175"/>
      <c r="VS171" s="175"/>
      <c r="VT171" s="175"/>
      <c r="VU171" s="175"/>
      <c r="VV171" s="321"/>
      <c r="VW171" s="173" t="s">
        <v>629</v>
      </c>
      <c r="VX171" s="359" t="s">
        <v>623</v>
      </c>
      <c r="VY171" s="381"/>
      <c r="VZ171" s="382" t="s">
        <v>189</v>
      </c>
      <c r="WA171" s="383"/>
      <c r="WB171" s="363" t="s">
        <v>910</v>
      </c>
      <c r="WC171" s="364"/>
      <c r="WD171" s="365" t="s">
        <v>638</v>
      </c>
      <c r="WE171" s="366"/>
      <c r="WF171" s="366"/>
      <c r="WG171" s="367"/>
      <c r="WW171" s="8"/>
      <c r="WX171" s="10"/>
      <c r="WY171" s="6"/>
      <c r="WZ171" s="6"/>
      <c r="XC171" s="12"/>
      <c r="XD171" s="3"/>
      <c r="XE171" s="3"/>
    </row>
    <row r="172" spans="208:629" ht="48" customHeight="1" x14ac:dyDescent="0.3">
      <c r="HV172" s="291"/>
      <c r="HW172" s="291"/>
      <c r="HX172" s="291"/>
      <c r="HY172" s="291"/>
      <c r="HZ172" s="291"/>
      <c r="LP172" s="357"/>
      <c r="LQ172" s="344" t="s">
        <v>200</v>
      </c>
      <c r="LR172" s="345"/>
      <c r="LS172" s="345"/>
      <c r="LT172" s="345"/>
      <c r="LU172" s="345"/>
      <c r="LV172" s="345"/>
      <c r="LW172" s="345"/>
      <c r="LX172" s="345"/>
      <c r="LY172" s="345"/>
      <c r="LZ172" s="345"/>
      <c r="MA172" s="345"/>
      <c r="MB172" s="345"/>
      <c r="MC172" s="345"/>
      <c r="MD172" s="348" t="e">
        <f>MD168*(CC48/AH6)</f>
        <v>#REF!</v>
      </c>
      <c r="ME172" s="349"/>
      <c r="MF172" s="390"/>
      <c r="MG172" s="371"/>
      <c r="MH172" s="373"/>
      <c r="MI172" s="375" t="s">
        <v>604</v>
      </c>
      <c r="MJ172" s="376"/>
      <c r="MK172" s="379"/>
      <c r="VL172" s="357"/>
      <c r="VM172" s="384"/>
      <c r="VN172" s="384"/>
      <c r="VO172" s="384"/>
      <c r="VP172" s="384"/>
      <c r="VQ172" s="384"/>
      <c r="VR172" s="384"/>
      <c r="VS172" s="384"/>
      <c r="VT172" s="384"/>
      <c r="VU172" s="384"/>
      <c r="VV172" s="384"/>
      <c r="VW172" s="384"/>
      <c r="VX172" s="384"/>
      <c r="VY172" s="384"/>
      <c r="VZ172" s="348"/>
      <c r="WA172" s="349"/>
      <c r="WB172" s="370"/>
      <c r="WC172" s="371"/>
      <c r="WD172" s="386"/>
      <c r="WE172" s="375" t="s">
        <v>604</v>
      </c>
      <c r="WF172" s="376"/>
      <c r="WG172" s="379"/>
      <c r="WW172" s="8" t="s">
        <v>261</v>
      </c>
      <c r="WX172" s="10" t="s">
        <v>301</v>
      </c>
      <c r="WY172" s="6" t="e">
        <f>WY161+WY162</f>
        <v>#REF!</v>
      </c>
      <c r="WZ172" s="6"/>
      <c r="XC172" s="12"/>
      <c r="XD172" s="3"/>
      <c r="XE172" s="3"/>
    </row>
    <row r="173" spans="208:629" ht="48" customHeight="1" thickBot="1" x14ac:dyDescent="0.35">
      <c r="HV173" s="291"/>
      <c r="HW173" s="291"/>
      <c r="HX173" s="291"/>
      <c r="HY173" s="291"/>
      <c r="HZ173" s="291"/>
      <c r="LP173" s="358"/>
      <c r="LQ173" s="346"/>
      <c r="LR173" s="347"/>
      <c r="LS173" s="347"/>
      <c r="LT173" s="347"/>
      <c r="LU173" s="347"/>
      <c r="LV173" s="347"/>
      <c r="LW173" s="347"/>
      <c r="LX173" s="347"/>
      <c r="LY173" s="347"/>
      <c r="LZ173" s="347"/>
      <c r="MA173" s="347"/>
      <c r="MB173" s="347"/>
      <c r="MC173" s="347"/>
      <c r="MD173" s="350"/>
      <c r="ME173" s="351"/>
      <c r="MF173" s="347"/>
      <c r="MG173" s="372"/>
      <c r="MH173" s="374"/>
      <c r="MI173" s="377"/>
      <c r="MJ173" s="378"/>
      <c r="MK173" s="380"/>
      <c r="VL173" s="358"/>
      <c r="VM173" s="385"/>
      <c r="VN173" s="385"/>
      <c r="VO173" s="385"/>
      <c r="VP173" s="385"/>
      <c r="VQ173" s="385"/>
      <c r="VR173" s="385"/>
      <c r="VS173" s="385"/>
      <c r="VT173" s="385"/>
      <c r="VU173" s="385"/>
      <c r="VV173" s="385"/>
      <c r="VW173" s="385"/>
      <c r="VX173" s="385"/>
      <c r="VY173" s="385"/>
      <c r="VZ173" s="350"/>
      <c r="WA173" s="351"/>
      <c r="WB173" s="346"/>
      <c r="WC173" s="372"/>
      <c r="WD173" s="387"/>
      <c r="WE173" s="377"/>
      <c r="WF173" s="378"/>
      <c r="WG173" s="380"/>
      <c r="WW173" s="8" t="s">
        <v>262</v>
      </c>
      <c r="WX173" s="14" t="s">
        <v>302</v>
      </c>
      <c r="WZ173" s="6"/>
      <c r="XC173" s="12"/>
      <c r="XD173" s="3"/>
      <c r="XE173" s="3"/>
    </row>
    <row r="174" spans="208:629" ht="48" customHeight="1" x14ac:dyDescent="0.3">
      <c r="HV174" s="291"/>
      <c r="HW174" s="291"/>
      <c r="HX174" s="291"/>
      <c r="HY174" s="291"/>
      <c r="HZ174" s="291"/>
      <c r="WW174" s="8"/>
      <c r="WX174" s="14" t="s">
        <v>570</v>
      </c>
      <c r="WY174" s="6" t="e">
        <f>WY165/(1100*WY162)</f>
        <v>#REF!</v>
      </c>
      <c r="WZ174" s="6"/>
      <c r="XC174" s="12"/>
      <c r="XD174" s="3"/>
      <c r="XE174" s="3"/>
    </row>
    <row r="175" spans="208:629" ht="48" customHeight="1" thickBot="1" x14ac:dyDescent="0.35">
      <c r="HV175" s="291"/>
      <c r="HW175" s="291"/>
      <c r="HX175" s="291"/>
      <c r="HY175" s="291"/>
      <c r="HZ175" s="291"/>
      <c r="VL175" s="356"/>
      <c r="VM175" s="297" t="s">
        <v>604</v>
      </c>
      <c r="VN175" s="298"/>
      <c r="VO175" s="321"/>
      <c r="VP175" s="175"/>
      <c r="VQ175" s="175"/>
      <c r="VR175" s="175"/>
      <c r="VS175" s="175"/>
      <c r="VT175" s="175"/>
      <c r="VU175" s="175"/>
      <c r="VV175" s="321"/>
      <c r="VW175" s="173" t="s">
        <v>629</v>
      </c>
      <c r="VX175" s="359" t="s">
        <v>623</v>
      </c>
      <c r="VY175" s="381"/>
      <c r="VZ175" s="382" t="s">
        <v>189</v>
      </c>
      <c r="WA175" s="383"/>
      <c r="WB175" s="363" t="s">
        <v>910</v>
      </c>
      <c r="WC175" s="364"/>
      <c r="WD175" s="365" t="s">
        <v>638</v>
      </c>
      <c r="WE175" s="366"/>
      <c r="WF175" s="366"/>
      <c r="WG175" s="367"/>
      <c r="WW175" s="8"/>
      <c r="WX175" s="14" t="s">
        <v>569</v>
      </c>
      <c r="WY175" s="6" t="e">
        <f>WY179*WY164/(1100*WY162)</f>
        <v>#REF!</v>
      </c>
      <c r="WZ175" s="6"/>
      <c r="XC175" s="12"/>
      <c r="XD175" s="3"/>
      <c r="XE175" s="3"/>
    </row>
    <row r="176" spans="208:629" ht="48" customHeight="1" x14ac:dyDescent="0.3">
      <c r="HV176" s="291"/>
      <c r="HW176" s="291"/>
      <c r="HX176" s="291"/>
      <c r="HY176" s="291"/>
      <c r="HZ176" s="291"/>
      <c r="VL176" s="357"/>
      <c r="VM176" s="384"/>
      <c r="VN176" s="384"/>
      <c r="VO176" s="384"/>
      <c r="VP176" s="384"/>
      <c r="VQ176" s="384"/>
      <c r="VR176" s="384"/>
      <c r="VS176" s="384"/>
      <c r="VT176" s="384"/>
      <c r="VU176" s="384"/>
      <c r="VV176" s="384"/>
      <c r="VW176" s="384"/>
      <c r="VX176" s="384"/>
      <c r="VY176" s="384"/>
      <c r="VZ176" s="348"/>
      <c r="WA176" s="349"/>
      <c r="WB176" s="370"/>
      <c r="WC176" s="371"/>
      <c r="WD176" s="386"/>
      <c r="WE176" s="375" t="s">
        <v>604</v>
      </c>
      <c r="WF176" s="376"/>
      <c r="WG176" s="379"/>
      <c r="WW176" s="8"/>
      <c r="WX176" s="14"/>
      <c r="WY176" s="6"/>
      <c r="WZ176" s="6"/>
      <c r="XC176" s="12"/>
      <c r="XD176" s="3"/>
      <c r="XE176" s="3"/>
    </row>
    <row r="177" spans="230:629" ht="48" customHeight="1" thickBot="1" x14ac:dyDescent="0.35">
      <c r="HV177" s="291"/>
      <c r="HW177" s="291"/>
      <c r="HX177" s="291"/>
      <c r="HY177" s="291"/>
      <c r="HZ177" s="291"/>
      <c r="VL177" s="358"/>
      <c r="VM177" s="385"/>
      <c r="VN177" s="385"/>
      <c r="VO177" s="385"/>
      <c r="VP177" s="385"/>
      <c r="VQ177" s="385"/>
      <c r="VR177" s="385"/>
      <c r="VS177" s="385"/>
      <c r="VT177" s="385"/>
      <c r="VU177" s="385"/>
      <c r="VV177" s="385"/>
      <c r="VW177" s="385"/>
      <c r="VX177" s="385"/>
      <c r="VY177" s="385"/>
      <c r="VZ177" s="350"/>
      <c r="WA177" s="351"/>
      <c r="WB177" s="346"/>
      <c r="WC177" s="372"/>
      <c r="WD177" s="387"/>
      <c r="WE177" s="377"/>
      <c r="WF177" s="378"/>
      <c r="WG177" s="380"/>
      <c r="WW177" s="8"/>
      <c r="WX177" s="14"/>
      <c r="WY177" s="6"/>
      <c r="WZ177" s="6"/>
      <c r="XC177" s="12"/>
      <c r="XD177" s="3"/>
      <c r="XE177" s="3"/>
    </row>
    <row r="178" spans="230:629" ht="48" customHeight="1" x14ac:dyDescent="0.3">
      <c r="HV178" s="291"/>
      <c r="HW178" s="291"/>
      <c r="HX178" s="291"/>
      <c r="HY178" s="291"/>
      <c r="HZ178" s="291"/>
      <c r="WW178" s="8"/>
      <c r="WX178" s="95" t="s">
        <v>562</v>
      </c>
      <c r="WY178" s="4">
        <v>2.5</v>
      </c>
      <c r="WZ178" s="6"/>
      <c r="XC178" s="12"/>
      <c r="XD178" s="3"/>
      <c r="XE178" s="3"/>
    </row>
    <row r="179" spans="230:629" ht="48" customHeight="1" thickBot="1" x14ac:dyDescent="0.35">
      <c r="HV179" s="291"/>
      <c r="HW179" s="291"/>
      <c r="HX179" s="291"/>
      <c r="HY179" s="291"/>
      <c r="HZ179" s="291"/>
      <c r="VL179" s="356"/>
      <c r="VM179" s="297" t="s">
        <v>604</v>
      </c>
      <c r="VN179" s="298"/>
      <c r="VO179" s="321"/>
      <c r="VP179" s="175"/>
      <c r="VQ179" s="175"/>
      <c r="VR179" s="175"/>
      <c r="VS179" s="175"/>
      <c r="VT179" s="175"/>
      <c r="VU179" s="175"/>
      <c r="VV179" s="321"/>
      <c r="VW179" s="173" t="s">
        <v>629</v>
      </c>
      <c r="VX179" s="359" t="s">
        <v>623</v>
      </c>
      <c r="VY179" s="381"/>
      <c r="VZ179" s="382" t="s">
        <v>189</v>
      </c>
      <c r="WA179" s="383"/>
      <c r="WB179" s="363" t="s">
        <v>910</v>
      </c>
      <c r="WC179" s="364"/>
      <c r="WD179" s="365" t="s">
        <v>638</v>
      </c>
      <c r="WE179" s="366"/>
      <c r="WF179" s="366"/>
      <c r="WG179" s="367"/>
      <c r="WW179" s="8"/>
      <c r="WX179" s="14"/>
      <c r="WY179" s="6">
        <f>WY178*((AH5/100)*AN20)^0.5</f>
        <v>8.3919604384196198</v>
      </c>
      <c r="WZ179" s="6"/>
      <c r="XC179" s="12"/>
      <c r="XD179" s="3"/>
      <c r="XE179" s="3"/>
    </row>
    <row r="180" spans="230:629" ht="48" customHeight="1" x14ac:dyDescent="0.3">
      <c r="HV180" s="291"/>
      <c r="HW180" s="291"/>
      <c r="HX180" s="291"/>
      <c r="HY180" s="291"/>
      <c r="HZ180" s="291"/>
      <c r="VL180" s="357"/>
      <c r="VM180" s="384"/>
      <c r="VN180" s="384"/>
      <c r="VO180" s="384"/>
      <c r="VP180" s="384"/>
      <c r="VQ180" s="384"/>
      <c r="VR180" s="384"/>
      <c r="VS180" s="384"/>
      <c r="VT180" s="384"/>
      <c r="VU180" s="384"/>
      <c r="VV180" s="384"/>
      <c r="VW180" s="384"/>
      <c r="VX180" s="384"/>
      <c r="VY180" s="384"/>
      <c r="VZ180" s="348"/>
      <c r="WA180" s="349"/>
      <c r="WB180" s="370"/>
      <c r="WC180" s="371"/>
      <c r="WD180" s="386"/>
      <c r="WE180" s="375" t="s">
        <v>604</v>
      </c>
      <c r="WF180" s="376"/>
      <c r="WG180" s="379"/>
      <c r="WW180" s="8" t="s">
        <v>263</v>
      </c>
      <c r="WX180" s="10" t="s">
        <v>303</v>
      </c>
      <c r="WY180" s="6"/>
      <c r="WZ180" s="6"/>
      <c r="XC180" s="12"/>
      <c r="XD180" s="3"/>
      <c r="XE180" s="3"/>
    </row>
    <row r="181" spans="230:629" ht="48" customHeight="1" thickBot="1" x14ac:dyDescent="0.35">
      <c r="HV181" s="291"/>
      <c r="HW181" s="291"/>
      <c r="HX181" s="291"/>
      <c r="HY181" s="291"/>
      <c r="HZ181" s="291"/>
      <c r="VL181" s="358"/>
      <c r="VM181" s="385"/>
      <c r="VN181" s="385"/>
      <c r="VO181" s="385"/>
      <c r="VP181" s="385"/>
      <c r="VQ181" s="385"/>
      <c r="VR181" s="385"/>
      <c r="VS181" s="385"/>
      <c r="VT181" s="385"/>
      <c r="VU181" s="385"/>
      <c r="VV181" s="385"/>
      <c r="VW181" s="385"/>
      <c r="VX181" s="385"/>
      <c r="VY181" s="385"/>
      <c r="VZ181" s="350"/>
      <c r="WA181" s="351"/>
      <c r="WB181" s="346"/>
      <c r="WC181" s="372"/>
      <c r="WD181" s="387"/>
      <c r="WE181" s="377"/>
      <c r="WF181" s="378"/>
      <c r="WG181" s="380"/>
      <c r="WW181" s="8"/>
      <c r="WX181" s="10" t="s">
        <v>570</v>
      </c>
      <c r="WY181" s="6">
        <f>WY183*(WY184*WY190+0.1)*((AH5/100)*AN20^2)</f>
        <v>2.317335396569431</v>
      </c>
      <c r="WZ181" s="6"/>
      <c r="XC181" s="12"/>
      <c r="XD181" s="3"/>
      <c r="XE181" s="3"/>
    </row>
    <row r="182" spans="230:629" ht="48" customHeight="1" x14ac:dyDescent="0.3">
      <c r="HV182" s="291"/>
      <c r="HW182" s="291"/>
      <c r="HX182" s="291"/>
      <c r="HY182" s="291"/>
      <c r="HZ182" s="291"/>
      <c r="WW182" s="8"/>
      <c r="WX182" s="10" t="s">
        <v>569</v>
      </c>
      <c r="WY182" s="6">
        <f>0.6*AN20^3*(AH5/100)</f>
        <v>0.66234881519999989</v>
      </c>
      <c r="WZ182" s="6"/>
      <c r="XC182" s="12"/>
      <c r="XD182" s="3"/>
      <c r="XE182" s="3"/>
    </row>
    <row r="183" spans="230:629" ht="48" customHeight="1" thickBot="1" x14ac:dyDescent="0.35">
      <c r="VL183" s="356"/>
      <c r="VM183" s="297" t="s">
        <v>604</v>
      </c>
      <c r="VN183" s="298"/>
      <c r="VO183" s="321"/>
      <c r="VP183" s="175"/>
      <c r="VQ183" s="175"/>
      <c r="VR183" s="175"/>
      <c r="VS183" s="175"/>
      <c r="VT183" s="175"/>
      <c r="VU183" s="175"/>
      <c r="VV183" s="321"/>
      <c r="VW183" s="173" t="s">
        <v>629</v>
      </c>
      <c r="VX183" s="359" t="s">
        <v>623</v>
      </c>
      <c r="VY183" s="381"/>
      <c r="VZ183" s="382" t="s">
        <v>189</v>
      </c>
      <c r="WA183" s="383"/>
      <c r="WB183" s="363" t="s">
        <v>910</v>
      </c>
      <c r="WC183" s="364"/>
      <c r="WD183" s="365" t="s">
        <v>638</v>
      </c>
      <c r="WE183" s="366"/>
      <c r="WF183" s="366"/>
      <c r="WG183" s="367"/>
      <c r="WW183" s="8"/>
      <c r="WX183" s="11" t="s">
        <v>565</v>
      </c>
      <c r="WY183" s="4">
        <v>2.6</v>
      </c>
      <c r="WZ183" s="6"/>
      <c r="XC183" s="12"/>
      <c r="XD183" s="3"/>
      <c r="XE183" s="3"/>
    </row>
    <row r="184" spans="230:629" ht="48" customHeight="1" x14ac:dyDescent="0.3">
      <c r="VL184" s="357"/>
      <c r="VM184" s="384"/>
      <c r="VN184" s="384"/>
      <c r="VO184" s="384"/>
      <c r="VP184" s="384"/>
      <c r="VQ184" s="384"/>
      <c r="VR184" s="384"/>
      <c r="VS184" s="384"/>
      <c r="VT184" s="384"/>
      <c r="VU184" s="384"/>
      <c r="VV184" s="384"/>
      <c r="VW184" s="384"/>
      <c r="VX184" s="384"/>
      <c r="VY184" s="384"/>
      <c r="VZ184" s="348"/>
      <c r="WA184" s="349"/>
      <c r="WB184" s="370"/>
      <c r="WC184" s="371"/>
      <c r="WD184" s="386"/>
      <c r="WE184" s="375" t="s">
        <v>604</v>
      </c>
      <c r="WF184" s="376"/>
      <c r="WG184" s="379"/>
      <c r="WW184" s="8"/>
      <c r="WX184" s="10" t="s">
        <v>566</v>
      </c>
      <c r="WY184" s="6">
        <f>WY185/WY191</f>
        <v>1.5271113108182646</v>
      </c>
      <c r="WZ184" s="6"/>
      <c r="XC184" s="12"/>
      <c r="XD184" s="3"/>
      <c r="XE184" s="3"/>
    </row>
    <row r="185" spans="230:629" ht="48" customHeight="1" thickBot="1" x14ac:dyDescent="0.35">
      <c r="VL185" s="358"/>
      <c r="VM185" s="385"/>
      <c r="VN185" s="385"/>
      <c r="VO185" s="385"/>
      <c r="VP185" s="385"/>
      <c r="VQ185" s="385"/>
      <c r="VR185" s="385"/>
      <c r="VS185" s="385"/>
      <c r="VT185" s="385"/>
      <c r="VU185" s="385"/>
      <c r="VV185" s="385"/>
      <c r="VW185" s="385"/>
      <c r="VX185" s="385"/>
      <c r="VY185" s="385"/>
      <c r="VZ185" s="350"/>
      <c r="WA185" s="351"/>
      <c r="WB185" s="346"/>
      <c r="WC185" s="372"/>
      <c r="WD185" s="387"/>
      <c r="WE185" s="377"/>
      <c r="WF185" s="378"/>
      <c r="WG185" s="380"/>
      <c r="WW185" s="8"/>
      <c r="WX185" s="38" t="s">
        <v>564</v>
      </c>
      <c r="WY185" s="37">
        <f>AN77</f>
        <v>0.12216890486546117</v>
      </c>
      <c r="WZ185" s="6"/>
      <c r="XC185" s="12"/>
      <c r="XD185" s="3"/>
      <c r="XE185" s="3"/>
    </row>
    <row r="186" spans="230:629" ht="48" customHeight="1" x14ac:dyDescent="0.3">
      <c r="WW186" s="8"/>
      <c r="WX186" s="10"/>
      <c r="WY186" s="6"/>
      <c r="WZ186" s="6"/>
      <c r="XC186" s="12"/>
      <c r="XD186" s="3"/>
      <c r="XE186" s="3"/>
    </row>
    <row r="187" spans="230:629" ht="48" customHeight="1" thickBot="1" x14ac:dyDescent="0.35">
      <c r="VL187" s="356"/>
      <c r="VM187" s="297" t="s">
        <v>604</v>
      </c>
      <c r="VN187" s="298"/>
      <c r="VO187" s="321"/>
      <c r="VP187" s="175"/>
      <c r="VQ187" s="175"/>
      <c r="VR187" s="175"/>
      <c r="VS187" s="175"/>
      <c r="VT187" s="175"/>
      <c r="VU187" s="175"/>
      <c r="VV187" s="321"/>
      <c r="VW187" s="173" t="s">
        <v>629</v>
      </c>
      <c r="VX187" s="359" t="s">
        <v>623</v>
      </c>
      <c r="VY187" s="381"/>
      <c r="VZ187" s="382" t="s">
        <v>189</v>
      </c>
      <c r="WA187" s="383"/>
      <c r="WB187" s="363" t="s">
        <v>910</v>
      </c>
      <c r="WC187" s="364"/>
      <c r="WD187" s="365" t="s">
        <v>638</v>
      </c>
      <c r="WE187" s="366"/>
      <c r="WF187" s="366"/>
      <c r="WG187" s="367"/>
      <c r="WW187" s="8"/>
      <c r="WX187" s="10"/>
      <c r="WY187" s="6"/>
      <c r="WZ187" s="6"/>
      <c r="XC187" s="12"/>
      <c r="XD187" s="3"/>
      <c r="XE187" s="3"/>
    </row>
    <row r="188" spans="230:629" ht="48" customHeight="1" x14ac:dyDescent="0.3">
      <c r="VL188" s="357"/>
      <c r="VM188" s="384"/>
      <c r="VN188" s="384"/>
      <c r="VO188" s="384"/>
      <c r="VP188" s="384"/>
      <c r="VQ188" s="384"/>
      <c r="VR188" s="384"/>
      <c r="VS188" s="384"/>
      <c r="VT188" s="384"/>
      <c r="VU188" s="384"/>
      <c r="VV188" s="384"/>
      <c r="VW188" s="384"/>
      <c r="VX188" s="384"/>
      <c r="VY188" s="384"/>
      <c r="VZ188" s="348"/>
      <c r="WA188" s="349"/>
      <c r="WB188" s="370"/>
      <c r="WC188" s="371"/>
      <c r="WD188" s="386"/>
      <c r="WE188" s="375" t="s">
        <v>604</v>
      </c>
      <c r="WF188" s="376"/>
      <c r="WG188" s="379"/>
      <c r="WW188" s="8"/>
      <c r="WX188" s="10"/>
      <c r="WY188" s="6"/>
      <c r="WZ188" s="6"/>
      <c r="XC188" s="12"/>
      <c r="XD188" s="3"/>
      <c r="XE188" s="3"/>
    </row>
    <row r="189" spans="230:629" ht="48" customHeight="1" thickBot="1" x14ac:dyDescent="0.35">
      <c r="VL189" s="358"/>
      <c r="VM189" s="385"/>
      <c r="VN189" s="385"/>
      <c r="VO189" s="385"/>
      <c r="VP189" s="385"/>
      <c r="VQ189" s="385"/>
      <c r="VR189" s="385"/>
      <c r="VS189" s="385"/>
      <c r="VT189" s="385"/>
      <c r="VU189" s="385"/>
      <c r="VV189" s="385"/>
      <c r="VW189" s="385"/>
      <c r="VX189" s="385"/>
      <c r="VY189" s="385"/>
      <c r="VZ189" s="350"/>
      <c r="WA189" s="351"/>
      <c r="WB189" s="346"/>
      <c r="WC189" s="372"/>
      <c r="WD189" s="387"/>
      <c r="WE189" s="377"/>
      <c r="WF189" s="378"/>
      <c r="WG189" s="380"/>
      <c r="WW189" s="8"/>
      <c r="WX189" s="10"/>
      <c r="WY189" s="6"/>
      <c r="WZ189" s="6"/>
      <c r="XC189" s="12"/>
      <c r="XD189" s="3"/>
      <c r="XE189" s="3"/>
    </row>
    <row r="190" spans="230:629" ht="48" customHeight="1" x14ac:dyDescent="0.3">
      <c r="WW190" s="8"/>
      <c r="WX190" s="11" t="s">
        <v>567</v>
      </c>
      <c r="WY190" s="4">
        <f>0.1</f>
        <v>0.1</v>
      </c>
      <c r="WZ190" s="6"/>
      <c r="XC190" s="12"/>
      <c r="XD190" s="3"/>
      <c r="XE190" s="3"/>
    </row>
    <row r="191" spans="230:629" ht="48" customHeight="1" thickBot="1" x14ac:dyDescent="0.35">
      <c r="VL191" s="356"/>
      <c r="VM191" s="297" t="s">
        <v>604</v>
      </c>
      <c r="VN191" s="298"/>
      <c r="VO191" s="321"/>
      <c r="VP191" s="175"/>
      <c r="VQ191" s="175"/>
      <c r="VR191" s="175"/>
      <c r="VS191" s="175"/>
      <c r="VT191" s="175"/>
      <c r="VU191" s="175"/>
      <c r="VV191" s="321"/>
      <c r="VW191" s="173" t="s">
        <v>629</v>
      </c>
      <c r="VX191" s="359" t="s">
        <v>623</v>
      </c>
      <c r="VY191" s="381"/>
      <c r="VZ191" s="382" t="s">
        <v>189</v>
      </c>
      <c r="WA191" s="383"/>
      <c r="WB191" s="363" t="s">
        <v>910</v>
      </c>
      <c r="WC191" s="364"/>
      <c r="WD191" s="365" t="s">
        <v>638</v>
      </c>
      <c r="WE191" s="366"/>
      <c r="WF191" s="366"/>
      <c r="WG191" s="367"/>
      <c r="WW191" s="8"/>
      <c r="WX191" s="11" t="s">
        <v>563</v>
      </c>
      <c r="WY191" s="4">
        <v>0.08</v>
      </c>
      <c r="WZ191" s="6"/>
      <c r="XC191" s="12"/>
      <c r="XD191" s="3"/>
      <c r="XE191" s="3"/>
    </row>
    <row r="192" spans="230:629" ht="48" customHeight="1" x14ac:dyDescent="0.3">
      <c r="VL192" s="357"/>
      <c r="VM192" s="384"/>
      <c r="VN192" s="384"/>
      <c r="VO192" s="384"/>
      <c r="VP192" s="384"/>
      <c r="VQ192" s="384"/>
      <c r="VR192" s="384"/>
      <c r="VS192" s="384"/>
      <c r="VT192" s="384"/>
      <c r="VU192" s="384"/>
      <c r="VV192" s="384"/>
      <c r="VW192" s="384"/>
      <c r="VX192" s="384"/>
      <c r="VY192" s="384"/>
      <c r="VZ192" s="348"/>
      <c r="WA192" s="349"/>
      <c r="WB192" s="370"/>
      <c r="WC192" s="371"/>
      <c r="WD192" s="386"/>
      <c r="WE192" s="375" t="s">
        <v>604</v>
      </c>
      <c r="WF192" s="376"/>
      <c r="WG192" s="379"/>
      <c r="WW192" s="8"/>
      <c r="WX192" s="38" t="s">
        <v>302</v>
      </c>
      <c r="WY192" s="37">
        <f>WY182</f>
        <v>0.66234881519999989</v>
      </c>
      <c r="WZ192" s="6"/>
      <c r="XC192" s="12"/>
      <c r="XD192" s="3"/>
      <c r="XE192" s="3"/>
    </row>
    <row r="193" spans="584:629" ht="48" customHeight="1" thickBot="1" x14ac:dyDescent="0.35">
      <c r="VL193" s="358"/>
      <c r="VM193" s="385"/>
      <c r="VN193" s="385"/>
      <c r="VO193" s="385"/>
      <c r="VP193" s="385"/>
      <c r="VQ193" s="385"/>
      <c r="VR193" s="385"/>
      <c r="VS193" s="385"/>
      <c r="VT193" s="385"/>
      <c r="VU193" s="385"/>
      <c r="VV193" s="385"/>
      <c r="VW193" s="385"/>
      <c r="VX193" s="385"/>
      <c r="VY193" s="385"/>
      <c r="VZ193" s="350"/>
      <c r="WA193" s="351"/>
      <c r="WB193" s="346"/>
      <c r="WC193" s="372"/>
      <c r="WD193" s="387"/>
      <c r="WE193" s="377"/>
      <c r="WF193" s="378"/>
      <c r="WG193" s="380"/>
      <c r="WW193" s="8"/>
      <c r="WX193" s="38" t="s">
        <v>568</v>
      </c>
      <c r="WY193" s="37" t="e">
        <f>WY175</f>
        <v>#REF!</v>
      </c>
      <c r="WZ193" s="6"/>
      <c r="XC193" s="12"/>
      <c r="XD193" s="3"/>
      <c r="XE193" s="3"/>
    </row>
    <row r="194" spans="584:629" ht="48" customHeight="1" x14ac:dyDescent="0.3">
      <c r="WW194" s="8" t="s">
        <v>264</v>
      </c>
      <c r="WX194" s="10" t="s">
        <v>304</v>
      </c>
      <c r="WY194" s="6"/>
      <c r="WZ194" s="6"/>
      <c r="XC194" s="12"/>
      <c r="XD194" s="3"/>
      <c r="XE194" s="3"/>
    </row>
    <row r="195" spans="584:629" ht="48" customHeight="1" thickBot="1" x14ac:dyDescent="0.35">
      <c r="VL195" s="356"/>
      <c r="VM195" s="297" t="s">
        <v>604</v>
      </c>
      <c r="VN195" s="298"/>
      <c r="VO195" s="321"/>
      <c r="VP195" s="175"/>
      <c r="VQ195" s="175"/>
      <c r="VR195" s="175"/>
      <c r="VS195" s="175"/>
      <c r="VT195" s="175"/>
      <c r="VU195" s="175"/>
      <c r="VV195" s="321"/>
      <c r="VW195" s="173" t="s">
        <v>629</v>
      </c>
      <c r="VX195" s="359" t="s">
        <v>623</v>
      </c>
      <c r="VY195" s="360"/>
      <c r="VZ195" s="361" t="s">
        <v>189</v>
      </c>
      <c r="WA195" s="362"/>
      <c r="WB195" s="363" t="s">
        <v>910</v>
      </c>
      <c r="WC195" s="364"/>
      <c r="WD195" s="365" t="s">
        <v>638</v>
      </c>
      <c r="WE195" s="366"/>
      <c r="WF195" s="366"/>
      <c r="WG195" s="367"/>
      <c r="WW195" s="7"/>
      <c r="WX195" s="12"/>
      <c r="WY195" s="3"/>
      <c r="WZ195" s="3"/>
      <c r="XC195" s="12"/>
      <c r="XD195" s="3"/>
      <c r="XE195" s="3"/>
    </row>
    <row r="196" spans="584:629" ht="48" customHeight="1" x14ac:dyDescent="0.3">
      <c r="VL196" s="357"/>
      <c r="VM196" s="344"/>
      <c r="VN196" s="345"/>
      <c r="VO196" s="345"/>
      <c r="VP196" s="345"/>
      <c r="VQ196" s="345"/>
      <c r="VR196" s="345"/>
      <c r="VS196" s="345"/>
      <c r="VT196" s="345"/>
      <c r="VU196" s="345"/>
      <c r="VV196" s="345"/>
      <c r="VW196" s="345"/>
      <c r="VX196" s="345"/>
      <c r="VY196" s="368"/>
      <c r="VZ196" s="348"/>
      <c r="WA196" s="349"/>
      <c r="WB196" s="370"/>
      <c r="WC196" s="371"/>
      <c r="WD196" s="373"/>
      <c r="WE196" s="375" t="s">
        <v>604</v>
      </c>
      <c r="WF196" s="376"/>
      <c r="WG196" s="379"/>
      <c r="WW196" s="7"/>
      <c r="WX196" s="12"/>
      <c r="WY196" s="3"/>
      <c r="WZ196" s="3"/>
      <c r="XC196" s="12"/>
      <c r="XD196" s="3"/>
      <c r="XE196" s="3"/>
    </row>
    <row r="197" spans="584:629" ht="48" customHeight="1" thickBot="1" x14ac:dyDescent="0.35">
      <c r="VL197" s="358"/>
      <c r="VM197" s="346"/>
      <c r="VN197" s="347"/>
      <c r="VO197" s="347"/>
      <c r="VP197" s="347"/>
      <c r="VQ197" s="347"/>
      <c r="VR197" s="347"/>
      <c r="VS197" s="347"/>
      <c r="VT197" s="347"/>
      <c r="VU197" s="347"/>
      <c r="VV197" s="347"/>
      <c r="VW197" s="347"/>
      <c r="VX197" s="347"/>
      <c r="VY197" s="369"/>
      <c r="VZ197" s="350"/>
      <c r="WA197" s="351"/>
      <c r="WB197" s="346"/>
      <c r="WC197" s="372"/>
      <c r="WD197" s="374"/>
      <c r="WE197" s="377"/>
      <c r="WF197" s="378"/>
      <c r="WG197" s="380"/>
      <c r="WW197" s="7"/>
      <c r="WX197" s="12"/>
      <c r="WY197" s="3"/>
      <c r="WZ197" s="3"/>
      <c r="XC197" s="12"/>
      <c r="XD197" s="3"/>
      <c r="XE197" s="3"/>
    </row>
    <row r="198" spans="584:629" ht="48" customHeight="1" x14ac:dyDescent="0.3">
      <c r="WW198" s="7"/>
      <c r="WX198" s="12"/>
      <c r="WY198" s="3"/>
      <c r="WZ198" s="3"/>
      <c r="XC198" s="12"/>
      <c r="XD198" s="3"/>
      <c r="XE198" s="3"/>
    </row>
    <row r="199" spans="584:629" ht="48" customHeight="1" thickBot="1" x14ac:dyDescent="0.35">
      <c r="VL199" s="356"/>
      <c r="VM199" s="297" t="s">
        <v>604</v>
      </c>
      <c r="VN199" s="298"/>
      <c r="VO199" s="321"/>
      <c r="VP199" s="175"/>
      <c r="VQ199" s="175"/>
      <c r="VR199" s="175"/>
      <c r="VS199" s="175"/>
      <c r="VT199" s="175"/>
      <c r="VU199" s="175"/>
      <c r="VV199" s="321"/>
      <c r="VW199" s="173" t="s">
        <v>629</v>
      </c>
      <c r="VX199" s="359" t="s">
        <v>623</v>
      </c>
      <c r="VY199" s="360"/>
      <c r="VZ199" s="361" t="s">
        <v>189</v>
      </c>
      <c r="WA199" s="362"/>
      <c r="WB199" s="363" t="s">
        <v>910</v>
      </c>
      <c r="WC199" s="364"/>
      <c r="WD199" s="365" t="s">
        <v>638</v>
      </c>
      <c r="WE199" s="366"/>
      <c r="WF199" s="366"/>
      <c r="WG199" s="367"/>
      <c r="WW199" s="7"/>
      <c r="WX199" s="12"/>
      <c r="WY199" s="3"/>
      <c r="WZ199" s="3"/>
      <c r="XC199" s="12"/>
      <c r="XD199" s="3"/>
      <c r="XE199" s="3"/>
    </row>
    <row r="200" spans="584:629" ht="48" customHeight="1" x14ac:dyDescent="0.3">
      <c r="VL200" s="357"/>
      <c r="VM200" s="344"/>
      <c r="VN200" s="345"/>
      <c r="VO200" s="345"/>
      <c r="VP200" s="345"/>
      <c r="VQ200" s="345"/>
      <c r="VR200" s="345"/>
      <c r="VS200" s="345"/>
      <c r="VT200" s="345"/>
      <c r="VU200" s="345"/>
      <c r="VV200" s="345"/>
      <c r="VW200" s="345"/>
      <c r="VX200" s="345"/>
      <c r="VY200" s="368"/>
      <c r="VZ200" s="348"/>
      <c r="WA200" s="349"/>
      <c r="WB200" s="370"/>
      <c r="WC200" s="371"/>
      <c r="WD200" s="373"/>
      <c r="WE200" s="375" t="s">
        <v>604</v>
      </c>
      <c r="WF200" s="376"/>
      <c r="WG200" s="379"/>
      <c r="WW200" s="7"/>
      <c r="WX200" s="12"/>
      <c r="WY200" s="3"/>
      <c r="WZ200" s="3"/>
      <c r="XC200" s="12"/>
      <c r="XD200" s="3"/>
      <c r="XE200" s="3"/>
    </row>
    <row r="201" spans="584:629" ht="48" customHeight="1" thickBot="1" x14ac:dyDescent="0.35">
      <c r="VL201" s="358"/>
      <c r="VM201" s="346"/>
      <c r="VN201" s="347"/>
      <c r="VO201" s="347"/>
      <c r="VP201" s="347"/>
      <c r="VQ201" s="347"/>
      <c r="VR201" s="347"/>
      <c r="VS201" s="347"/>
      <c r="VT201" s="347"/>
      <c r="VU201" s="347"/>
      <c r="VV201" s="347"/>
      <c r="VW201" s="347"/>
      <c r="VX201" s="347"/>
      <c r="VY201" s="369"/>
      <c r="VZ201" s="350"/>
      <c r="WA201" s="351"/>
      <c r="WB201" s="346"/>
      <c r="WC201" s="372"/>
      <c r="WD201" s="374"/>
      <c r="WE201" s="377"/>
      <c r="WF201" s="378"/>
      <c r="WG201" s="380"/>
      <c r="WW201" s="7"/>
      <c r="WX201" s="12"/>
      <c r="WY201" s="3"/>
      <c r="WZ201" s="3"/>
      <c r="XC201" s="12"/>
      <c r="XD201" s="3"/>
      <c r="XE201" s="3"/>
    </row>
    <row r="202" spans="584:629" ht="48" customHeight="1" x14ac:dyDescent="0.3">
      <c r="WW202" s="7"/>
      <c r="WX202" s="12"/>
      <c r="WY202" s="3"/>
      <c r="WZ202" s="3"/>
      <c r="XC202" s="12"/>
      <c r="XD202" s="3"/>
      <c r="XE202" s="3"/>
    </row>
    <row r="203" spans="584:629" ht="48" customHeight="1" thickBot="1" x14ac:dyDescent="0.35">
      <c r="VL203" s="356"/>
      <c r="VM203" s="297" t="s">
        <v>604</v>
      </c>
      <c r="VN203" s="298"/>
      <c r="VO203" s="321"/>
      <c r="VP203" s="175"/>
      <c r="VQ203" s="175"/>
      <c r="VR203" s="175"/>
      <c r="VS203" s="175"/>
      <c r="VT203" s="175"/>
      <c r="VU203" s="175"/>
      <c r="VV203" s="321"/>
      <c r="VW203" s="173" t="s">
        <v>629</v>
      </c>
      <c r="VX203" s="359" t="s">
        <v>623</v>
      </c>
      <c r="VY203" s="360"/>
      <c r="VZ203" s="361" t="s">
        <v>189</v>
      </c>
      <c r="WA203" s="362"/>
      <c r="WB203" s="363" t="s">
        <v>910</v>
      </c>
      <c r="WC203" s="364"/>
      <c r="WD203" s="365" t="s">
        <v>638</v>
      </c>
      <c r="WE203" s="366"/>
      <c r="WF203" s="366"/>
      <c r="WG203" s="367"/>
      <c r="WW203" s="7"/>
      <c r="WX203" s="12"/>
      <c r="WY203" s="3"/>
      <c r="WZ203" s="3"/>
      <c r="XC203" s="12"/>
      <c r="XD203" s="3"/>
      <c r="XE203" s="3"/>
    </row>
    <row r="204" spans="584:629" ht="48" customHeight="1" x14ac:dyDescent="0.3">
      <c r="VL204" s="357"/>
      <c r="VM204" s="344"/>
      <c r="VN204" s="345"/>
      <c r="VO204" s="345"/>
      <c r="VP204" s="345"/>
      <c r="VQ204" s="345"/>
      <c r="VR204" s="345"/>
      <c r="VS204" s="345"/>
      <c r="VT204" s="345"/>
      <c r="VU204" s="345"/>
      <c r="VV204" s="345"/>
      <c r="VW204" s="345"/>
      <c r="VX204" s="345"/>
      <c r="VY204" s="368"/>
      <c r="VZ204" s="348"/>
      <c r="WA204" s="349"/>
      <c r="WB204" s="370"/>
      <c r="WC204" s="371"/>
      <c r="WD204" s="373"/>
      <c r="WE204" s="375" t="s">
        <v>604</v>
      </c>
      <c r="WF204" s="376"/>
      <c r="WG204" s="379"/>
      <c r="WW204" s="7"/>
      <c r="WX204" s="12"/>
      <c r="WY204" s="3"/>
      <c r="WZ204" s="3"/>
      <c r="XC204" s="12"/>
      <c r="XD204" s="3"/>
      <c r="XE204" s="3"/>
    </row>
    <row r="205" spans="584:629" ht="48" customHeight="1" thickBot="1" x14ac:dyDescent="0.35">
      <c r="VL205" s="358"/>
      <c r="VM205" s="346"/>
      <c r="VN205" s="347"/>
      <c r="VO205" s="347"/>
      <c r="VP205" s="347"/>
      <c r="VQ205" s="347"/>
      <c r="VR205" s="347"/>
      <c r="VS205" s="347"/>
      <c r="VT205" s="347"/>
      <c r="VU205" s="347"/>
      <c r="VV205" s="347"/>
      <c r="VW205" s="347"/>
      <c r="VX205" s="347"/>
      <c r="VY205" s="369"/>
      <c r="VZ205" s="350"/>
      <c r="WA205" s="351"/>
      <c r="WB205" s="346"/>
      <c r="WC205" s="372"/>
      <c r="WD205" s="374"/>
      <c r="WE205" s="377"/>
      <c r="WF205" s="378"/>
      <c r="WG205" s="380"/>
      <c r="WW205" s="7"/>
      <c r="WX205" s="12"/>
      <c r="WY205" s="3"/>
      <c r="WZ205" s="3"/>
      <c r="XC205" s="12"/>
      <c r="XD205" s="3"/>
      <c r="XE205" s="3"/>
    </row>
    <row r="207" spans="584:629" ht="48" customHeight="1" thickBot="1" x14ac:dyDescent="0.35">
      <c r="VL207" s="356"/>
      <c r="VM207" s="297" t="s">
        <v>604</v>
      </c>
      <c r="VN207" s="298"/>
      <c r="VO207" s="321"/>
      <c r="VP207" s="175"/>
      <c r="VQ207" s="175"/>
      <c r="VR207" s="175"/>
      <c r="VS207" s="175"/>
      <c r="VT207" s="175"/>
      <c r="VU207" s="175"/>
      <c r="VV207" s="321"/>
      <c r="VW207" s="173" t="s">
        <v>629</v>
      </c>
      <c r="VX207" s="359" t="s">
        <v>623</v>
      </c>
      <c r="VY207" s="381"/>
      <c r="VZ207" s="382" t="s">
        <v>189</v>
      </c>
      <c r="WA207" s="383"/>
      <c r="WB207" s="363" t="s">
        <v>910</v>
      </c>
      <c r="WC207" s="364"/>
      <c r="WD207" s="365" t="s">
        <v>638</v>
      </c>
      <c r="WE207" s="366"/>
      <c r="WF207" s="366"/>
      <c r="WG207" s="367"/>
    </row>
    <row r="208" spans="584:629" ht="48" customHeight="1" x14ac:dyDescent="0.3">
      <c r="VL208" s="357"/>
      <c r="VM208" s="384"/>
      <c r="VN208" s="384"/>
      <c r="VO208" s="384"/>
      <c r="VP208" s="384"/>
      <c r="VQ208" s="384"/>
      <c r="VR208" s="384"/>
      <c r="VS208" s="384"/>
      <c r="VT208" s="384"/>
      <c r="VU208" s="384"/>
      <c r="VV208" s="384"/>
      <c r="VW208" s="384"/>
      <c r="VX208" s="384"/>
      <c r="VY208" s="384"/>
      <c r="VZ208" s="348"/>
      <c r="WA208" s="349"/>
      <c r="WB208" s="370"/>
      <c r="WC208" s="371"/>
      <c r="WD208" s="386"/>
      <c r="WE208" s="375" t="s">
        <v>604</v>
      </c>
      <c r="WF208" s="376"/>
      <c r="WG208" s="379"/>
    </row>
    <row r="209" spans="584:605" ht="48" customHeight="1" thickBot="1" x14ac:dyDescent="0.35">
      <c r="VL209" s="358"/>
      <c r="VM209" s="385"/>
      <c r="VN209" s="385"/>
      <c r="VO209" s="385"/>
      <c r="VP209" s="385"/>
      <c r="VQ209" s="385"/>
      <c r="VR209" s="385"/>
      <c r="VS209" s="385"/>
      <c r="VT209" s="385"/>
      <c r="VU209" s="385"/>
      <c r="VV209" s="385"/>
      <c r="VW209" s="385"/>
      <c r="VX209" s="385"/>
      <c r="VY209" s="385"/>
      <c r="VZ209" s="350"/>
      <c r="WA209" s="351"/>
      <c r="WB209" s="346"/>
      <c r="WC209" s="372"/>
      <c r="WD209" s="387"/>
      <c r="WE209" s="377"/>
      <c r="WF209" s="378"/>
      <c r="WG209" s="380"/>
    </row>
    <row r="211" spans="584:605" ht="48" customHeight="1" thickBot="1" x14ac:dyDescent="0.35">
      <c r="VL211" s="356"/>
      <c r="VM211" s="297" t="s">
        <v>604</v>
      </c>
      <c r="VN211" s="298"/>
      <c r="VO211" s="321"/>
      <c r="VP211" s="175"/>
      <c r="VQ211" s="175"/>
      <c r="VR211" s="175"/>
      <c r="VS211" s="175"/>
      <c r="VT211" s="175"/>
      <c r="VU211" s="175"/>
      <c r="VV211" s="321"/>
      <c r="VW211" s="173" t="s">
        <v>629</v>
      </c>
      <c r="VX211" s="359" t="s">
        <v>623</v>
      </c>
      <c r="VY211" s="381"/>
      <c r="VZ211" s="382" t="s">
        <v>189</v>
      </c>
      <c r="WA211" s="383"/>
      <c r="WB211" s="363" t="s">
        <v>910</v>
      </c>
      <c r="WC211" s="364"/>
      <c r="WD211" s="365" t="s">
        <v>638</v>
      </c>
      <c r="WE211" s="366"/>
      <c r="WF211" s="366"/>
      <c r="WG211" s="367"/>
    </row>
    <row r="212" spans="584:605" ht="48" customHeight="1" x14ac:dyDescent="0.3">
      <c r="VL212" s="357"/>
      <c r="VM212" s="384"/>
      <c r="VN212" s="384"/>
      <c r="VO212" s="384"/>
      <c r="VP212" s="384"/>
      <c r="VQ212" s="384"/>
      <c r="VR212" s="384"/>
      <c r="VS212" s="384"/>
      <c r="VT212" s="384"/>
      <c r="VU212" s="384"/>
      <c r="VV212" s="384"/>
      <c r="VW212" s="384"/>
      <c r="VX212" s="384"/>
      <c r="VY212" s="384"/>
      <c r="VZ212" s="348"/>
      <c r="WA212" s="349"/>
      <c r="WB212" s="370"/>
      <c r="WC212" s="371"/>
      <c r="WD212" s="386"/>
      <c r="WE212" s="375" t="s">
        <v>604</v>
      </c>
      <c r="WF212" s="376"/>
      <c r="WG212" s="379"/>
    </row>
    <row r="213" spans="584:605" ht="48" customHeight="1" thickBot="1" x14ac:dyDescent="0.35">
      <c r="VL213" s="358"/>
      <c r="VM213" s="385"/>
      <c r="VN213" s="385"/>
      <c r="VO213" s="385"/>
      <c r="VP213" s="385"/>
      <c r="VQ213" s="385"/>
      <c r="VR213" s="385"/>
      <c r="VS213" s="385"/>
      <c r="VT213" s="385"/>
      <c r="VU213" s="385"/>
      <c r="VV213" s="385"/>
      <c r="VW213" s="385"/>
      <c r="VX213" s="385"/>
      <c r="VY213" s="385"/>
      <c r="VZ213" s="350"/>
      <c r="WA213" s="351"/>
      <c r="WB213" s="346"/>
      <c r="WC213" s="372"/>
      <c r="WD213" s="387"/>
      <c r="WE213" s="377"/>
      <c r="WF213" s="378"/>
      <c r="WG213" s="380"/>
    </row>
    <row r="215" spans="584:605" ht="48" customHeight="1" thickBot="1" x14ac:dyDescent="0.35">
      <c r="VL215" s="356"/>
      <c r="VM215" s="297" t="s">
        <v>604</v>
      </c>
      <c r="VN215" s="298"/>
      <c r="VO215" s="321"/>
      <c r="VP215" s="175"/>
      <c r="VQ215" s="175"/>
      <c r="VR215" s="175"/>
      <c r="VS215" s="175"/>
      <c r="VT215" s="175"/>
      <c r="VU215" s="175"/>
      <c r="VV215" s="321"/>
      <c r="VW215" s="173" t="s">
        <v>629</v>
      </c>
      <c r="VX215" s="359" t="s">
        <v>623</v>
      </c>
      <c r="VY215" s="381"/>
      <c r="VZ215" s="382" t="s">
        <v>189</v>
      </c>
      <c r="WA215" s="383"/>
      <c r="WB215" s="363" t="s">
        <v>910</v>
      </c>
      <c r="WC215" s="364"/>
      <c r="WD215" s="365" t="s">
        <v>638</v>
      </c>
      <c r="WE215" s="366"/>
      <c r="WF215" s="366"/>
      <c r="WG215" s="367"/>
    </row>
    <row r="216" spans="584:605" ht="48" customHeight="1" x14ac:dyDescent="0.3">
      <c r="VL216" s="357"/>
      <c r="VM216" s="384"/>
      <c r="VN216" s="384"/>
      <c r="VO216" s="384"/>
      <c r="VP216" s="384"/>
      <c r="VQ216" s="384"/>
      <c r="VR216" s="384"/>
      <c r="VS216" s="384"/>
      <c r="VT216" s="384"/>
      <c r="VU216" s="384"/>
      <c r="VV216" s="384"/>
      <c r="VW216" s="384"/>
      <c r="VX216" s="384"/>
      <c r="VY216" s="384"/>
      <c r="VZ216" s="348"/>
      <c r="WA216" s="349"/>
      <c r="WB216" s="370"/>
      <c r="WC216" s="371"/>
      <c r="WD216" s="386"/>
      <c r="WE216" s="375" t="s">
        <v>604</v>
      </c>
      <c r="WF216" s="376"/>
      <c r="WG216" s="379"/>
    </row>
    <row r="217" spans="584:605" ht="48" customHeight="1" thickBot="1" x14ac:dyDescent="0.35">
      <c r="VL217" s="358"/>
      <c r="VM217" s="385"/>
      <c r="VN217" s="385"/>
      <c r="VO217" s="385"/>
      <c r="VP217" s="385"/>
      <c r="VQ217" s="385"/>
      <c r="VR217" s="385"/>
      <c r="VS217" s="385"/>
      <c r="VT217" s="385"/>
      <c r="VU217" s="385"/>
      <c r="VV217" s="385"/>
      <c r="VW217" s="385"/>
      <c r="VX217" s="385"/>
      <c r="VY217" s="385"/>
      <c r="VZ217" s="350"/>
      <c r="WA217" s="351"/>
      <c r="WB217" s="346"/>
      <c r="WC217" s="372"/>
      <c r="WD217" s="387"/>
      <c r="WE217" s="377"/>
      <c r="WF217" s="378"/>
      <c r="WG217" s="380"/>
    </row>
    <row r="219" spans="584:605" ht="48" customHeight="1" thickBot="1" x14ac:dyDescent="0.35">
      <c r="VL219" s="356"/>
      <c r="VM219" s="297" t="s">
        <v>604</v>
      </c>
      <c r="VN219" s="298"/>
      <c r="VO219" s="321"/>
      <c r="VP219" s="175"/>
      <c r="VQ219" s="175"/>
      <c r="VR219" s="175"/>
      <c r="VS219" s="175"/>
      <c r="VT219" s="175"/>
      <c r="VU219" s="175"/>
      <c r="VV219" s="321"/>
      <c r="VW219" s="173" t="s">
        <v>629</v>
      </c>
      <c r="VX219" s="359" t="s">
        <v>623</v>
      </c>
      <c r="VY219" s="381"/>
      <c r="VZ219" s="382" t="s">
        <v>189</v>
      </c>
      <c r="WA219" s="383"/>
      <c r="WB219" s="363" t="s">
        <v>910</v>
      </c>
      <c r="WC219" s="364"/>
      <c r="WD219" s="365" t="s">
        <v>638</v>
      </c>
      <c r="WE219" s="366"/>
      <c r="WF219" s="366"/>
      <c r="WG219" s="367"/>
    </row>
    <row r="220" spans="584:605" ht="48" customHeight="1" x14ac:dyDescent="0.3">
      <c r="VL220" s="357"/>
      <c r="VM220" s="384"/>
      <c r="VN220" s="384"/>
      <c r="VO220" s="384"/>
      <c r="VP220" s="384"/>
      <c r="VQ220" s="384"/>
      <c r="VR220" s="384"/>
      <c r="VS220" s="384"/>
      <c r="VT220" s="384"/>
      <c r="VU220" s="384"/>
      <c r="VV220" s="384"/>
      <c r="VW220" s="384"/>
      <c r="VX220" s="384"/>
      <c r="VY220" s="384"/>
      <c r="VZ220" s="348"/>
      <c r="WA220" s="349"/>
      <c r="WB220" s="370"/>
      <c r="WC220" s="371"/>
      <c r="WD220" s="386"/>
      <c r="WE220" s="375" t="s">
        <v>604</v>
      </c>
      <c r="WF220" s="376"/>
      <c r="WG220" s="379"/>
    </row>
    <row r="221" spans="584:605" ht="48" customHeight="1" thickBot="1" x14ac:dyDescent="0.35">
      <c r="VL221" s="358"/>
      <c r="VM221" s="385"/>
      <c r="VN221" s="385"/>
      <c r="VO221" s="385"/>
      <c r="VP221" s="385"/>
      <c r="VQ221" s="385"/>
      <c r="VR221" s="385"/>
      <c r="VS221" s="385"/>
      <c r="VT221" s="385"/>
      <c r="VU221" s="385"/>
      <c r="VV221" s="385"/>
      <c r="VW221" s="385"/>
      <c r="VX221" s="385"/>
      <c r="VY221" s="385"/>
      <c r="VZ221" s="350"/>
      <c r="WA221" s="351"/>
      <c r="WB221" s="346"/>
      <c r="WC221" s="372"/>
      <c r="WD221" s="387"/>
      <c r="WE221" s="377"/>
      <c r="WF221" s="378"/>
      <c r="WG221" s="380"/>
    </row>
    <row r="223" spans="584:605" ht="48" customHeight="1" thickBot="1" x14ac:dyDescent="0.35">
      <c r="VL223" s="356"/>
      <c r="VM223" s="297" t="s">
        <v>604</v>
      </c>
      <c r="VN223" s="298"/>
      <c r="VO223" s="321"/>
      <c r="VP223" s="175"/>
      <c r="VQ223" s="175"/>
      <c r="VR223" s="175"/>
      <c r="VS223" s="175"/>
      <c r="VT223" s="175"/>
      <c r="VU223" s="175"/>
      <c r="VV223" s="321"/>
      <c r="VW223" s="173" t="s">
        <v>629</v>
      </c>
      <c r="VX223" s="359" t="s">
        <v>623</v>
      </c>
      <c r="VY223" s="381"/>
      <c r="VZ223" s="382" t="s">
        <v>189</v>
      </c>
      <c r="WA223" s="383"/>
      <c r="WB223" s="363" t="s">
        <v>910</v>
      </c>
      <c r="WC223" s="364"/>
      <c r="WD223" s="365" t="s">
        <v>638</v>
      </c>
      <c r="WE223" s="366"/>
      <c r="WF223" s="366"/>
      <c r="WG223" s="367"/>
    </row>
    <row r="224" spans="584:605" ht="48" customHeight="1" x14ac:dyDescent="0.3">
      <c r="VL224" s="357"/>
      <c r="VM224" s="384"/>
      <c r="VN224" s="384"/>
      <c r="VO224" s="384"/>
      <c r="VP224" s="384"/>
      <c r="VQ224" s="384"/>
      <c r="VR224" s="384"/>
      <c r="VS224" s="384"/>
      <c r="VT224" s="384"/>
      <c r="VU224" s="384"/>
      <c r="VV224" s="384"/>
      <c r="VW224" s="384"/>
      <c r="VX224" s="384"/>
      <c r="VY224" s="384"/>
      <c r="VZ224" s="348"/>
      <c r="WA224" s="349"/>
      <c r="WB224" s="370"/>
      <c r="WC224" s="371"/>
      <c r="WD224" s="386"/>
      <c r="WE224" s="375" t="s">
        <v>604</v>
      </c>
      <c r="WF224" s="376"/>
      <c r="WG224" s="379"/>
    </row>
    <row r="225" spans="584:605" ht="48" customHeight="1" thickBot="1" x14ac:dyDescent="0.35">
      <c r="VL225" s="358"/>
      <c r="VM225" s="385"/>
      <c r="VN225" s="385"/>
      <c r="VO225" s="385"/>
      <c r="VP225" s="385"/>
      <c r="VQ225" s="385"/>
      <c r="VR225" s="385"/>
      <c r="VS225" s="385"/>
      <c r="VT225" s="385"/>
      <c r="VU225" s="385"/>
      <c r="VV225" s="385"/>
      <c r="VW225" s="385"/>
      <c r="VX225" s="385"/>
      <c r="VY225" s="385"/>
      <c r="VZ225" s="350"/>
      <c r="WA225" s="351"/>
      <c r="WB225" s="346"/>
      <c r="WC225" s="372"/>
      <c r="WD225" s="387"/>
      <c r="WE225" s="377"/>
      <c r="WF225" s="378"/>
      <c r="WG225" s="380"/>
    </row>
    <row r="227" spans="584:605" ht="48" customHeight="1" thickBot="1" x14ac:dyDescent="0.35">
      <c r="VL227" s="356"/>
      <c r="VM227" s="297" t="s">
        <v>604</v>
      </c>
      <c r="VN227" s="298"/>
      <c r="VO227" s="321"/>
      <c r="VP227" s="175"/>
      <c r="VQ227" s="175"/>
      <c r="VR227" s="175"/>
      <c r="VS227" s="175"/>
      <c r="VT227" s="175"/>
      <c r="VU227" s="175"/>
      <c r="VV227" s="321"/>
      <c r="VW227" s="173" t="s">
        <v>629</v>
      </c>
      <c r="VX227" s="359" t="s">
        <v>623</v>
      </c>
      <c r="VY227" s="381"/>
      <c r="VZ227" s="382" t="s">
        <v>189</v>
      </c>
      <c r="WA227" s="383"/>
      <c r="WB227" s="363" t="s">
        <v>910</v>
      </c>
      <c r="WC227" s="364"/>
      <c r="WD227" s="365" t="s">
        <v>638</v>
      </c>
      <c r="WE227" s="366"/>
      <c r="WF227" s="366"/>
      <c r="WG227" s="367"/>
    </row>
    <row r="228" spans="584:605" ht="48" customHeight="1" x14ac:dyDescent="0.3">
      <c r="VL228" s="357"/>
      <c r="VM228" s="384"/>
      <c r="VN228" s="384"/>
      <c r="VO228" s="384"/>
      <c r="VP228" s="384"/>
      <c r="VQ228" s="384"/>
      <c r="VR228" s="384"/>
      <c r="VS228" s="384"/>
      <c r="VT228" s="384"/>
      <c r="VU228" s="384"/>
      <c r="VV228" s="384"/>
      <c r="VW228" s="384"/>
      <c r="VX228" s="384"/>
      <c r="VY228" s="384"/>
      <c r="VZ228" s="348"/>
      <c r="WA228" s="349"/>
      <c r="WB228" s="370"/>
      <c r="WC228" s="371"/>
      <c r="WD228" s="386"/>
      <c r="WE228" s="375" t="s">
        <v>604</v>
      </c>
      <c r="WF228" s="376"/>
      <c r="WG228" s="379"/>
    </row>
    <row r="229" spans="584:605" ht="48" customHeight="1" thickBot="1" x14ac:dyDescent="0.35">
      <c r="VL229" s="358"/>
      <c r="VM229" s="385"/>
      <c r="VN229" s="385"/>
      <c r="VO229" s="385"/>
      <c r="VP229" s="385"/>
      <c r="VQ229" s="385"/>
      <c r="VR229" s="385"/>
      <c r="VS229" s="385"/>
      <c r="VT229" s="385"/>
      <c r="VU229" s="385"/>
      <c r="VV229" s="385"/>
      <c r="VW229" s="385"/>
      <c r="VX229" s="385"/>
      <c r="VY229" s="385"/>
      <c r="VZ229" s="350"/>
      <c r="WA229" s="351"/>
      <c r="WB229" s="346"/>
      <c r="WC229" s="372"/>
      <c r="WD229" s="387"/>
      <c r="WE229" s="377"/>
      <c r="WF229" s="378"/>
      <c r="WG229" s="380"/>
    </row>
    <row r="231" spans="584:605" ht="48" customHeight="1" thickBot="1" x14ac:dyDescent="0.35">
      <c r="VL231" s="356"/>
      <c r="VM231" s="297" t="s">
        <v>604</v>
      </c>
      <c r="VN231" s="298"/>
      <c r="VO231" s="321"/>
      <c r="VP231" s="175"/>
      <c r="VQ231" s="175"/>
      <c r="VR231" s="175"/>
      <c r="VS231" s="175"/>
      <c r="VT231" s="175"/>
      <c r="VU231" s="175"/>
      <c r="VV231" s="321"/>
      <c r="VW231" s="173" t="s">
        <v>629</v>
      </c>
      <c r="VX231" s="359" t="s">
        <v>623</v>
      </c>
      <c r="VY231" s="360"/>
      <c r="VZ231" s="361" t="s">
        <v>189</v>
      </c>
      <c r="WA231" s="362"/>
      <c r="WB231" s="363" t="s">
        <v>910</v>
      </c>
      <c r="WC231" s="364"/>
      <c r="WD231" s="365" t="s">
        <v>638</v>
      </c>
      <c r="WE231" s="366"/>
      <c r="WF231" s="366"/>
      <c r="WG231" s="367"/>
    </row>
    <row r="232" spans="584:605" ht="48" customHeight="1" x14ac:dyDescent="0.3">
      <c r="VL232" s="357"/>
      <c r="VM232" s="344"/>
      <c r="VN232" s="345"/>
      <c r="VO232" s="345"/>
      <c r="VP232" s="345"/>
      <c r="VQ232" s="345"/>
      <c r="VR232" s="345"/>
      <c r="VS232" s="345"/>
      <c r="VT232" s="345"/>
      <c r="VU232" s="345"/>
      <c r="VV232" s="345"/>
      <c r="VW232" s="345"/>
      <c r="VX232" s="345"/>
      <c r="VY232" s="368"/>
      <c r="VZ232" s="348"/>
      <c r="WA232" s="349"/>
      <c r="WB232" s="370"/>
      <c r="WC232" s="371"/>
      <c r="WD232" s="373"/>
      <c r="WE232" s="375" t="s">
        <v>604</v>
      </c>
      <c r="WF232" s="376"/>
      <c r="WG232" s="379"/>
    </row>
    <row r="233" spans="584:605" ht="48" customHeight="1" thickBot="1" x14ac:dyDescent="0.35">
      <c r="VL233" s="358"/>
      <c r="VM233" s="346"/>
      <c r="VN233" s="347"/>
      <c r="VO233" s="347"/>
      <c r="VP233" s="347"/>
      <c r="VQ233" s="347"/>
      <c r="VR233" s="347"/>
      <c r="VS233" s="347"/>
      <c r="VT233" s="347"/>
      <c r="VU233" s="347"/>
      <c r="VV233" s="347"/>
      <c r="VW233" s="347"/>
      <c r="VX233" s="347"/>
      <c r="VY233" s="369"/>
      <c r="VZ233" s="350"/>
      <c r="WA233" s="351"/>
      <c r="WB233" s="346"/>
      <c r="WC233" s="372"/>
      <c r="WD233" s="374"/>
      <c r="WE233" s="377"/>
      <c r="WF233" s="378"/>
      <c r="WG233" s="380"/>
    </row>
  </sheetData>
  <mergeCells count="3501">
    <mergeCell ref="OZ75:OZ77"/>
    <mergeCell ref="PL75:PM75"/>
    <mergeCell ref="PN75:PO75"/>
    <mergeCell ref="PP75:PQ75"/>
    <mergeCell ref="PR75:PU75"/>
    <mergeCell ref="PA76:PM77"/>
    <mergeCell ref="PN76:PO77"/>
    <mergeCell ref="PP76:PQ77"/>
    <mergeCell ref="PR76:PR77"/>
    <mergeCell ref="PS76:PT77"/>
    <mergeCell ref="PU76:PU77"/>
    <mergeCell ref="LP167:LP169"/>
    <mergeCell ref="MB167:MC167"/>
    <mergeCell ref="MD167:ME167"/>
    <mergeCell ref="MF167:MG167"/>
    <mergeCell ref="MH167:MK167"/>
    <mergeCell ref="MH168:MH169"/>
    <mergeCell ref="MI168:MJ169"/>
    <mergeCell ref="MK168:MK169"/>
    <mergeCell ref="LP171:LP173"/>
    <mergeCell ref="MB171:MC171"/>
    <mergeCell ref="MD171:ME171"/>
    <mergeCell ref="MF171:MG171"/>
    <mergeCell ref="MH171:MK171"/>
    <mergeCell ref="MH172:MH173"/>
    <mergeCell ref="MI172:MJ173"/>
    <mergeCell ref="MK172:MK173"/>
    <mergeCell ref="LP159:LP161"/>
    <mergeCell ref="MB159:MC159"/>
    <mergeCell ref="MD159:ME159"/>
    <mergeCell ref="MF159:MG159"/>
    <mergeCell ref="MH159:MK159"/>
    <mergeCell ref="MH160:MH161"/>
    <mergeCell ref="MI160:MJ161"/>
    <mergeCell ref="MK160:MK161"/>
    <mergeCell ref="LP163:LP165"/>
    <mergeCell ref="MB163:MC163"/>
    <mergeCell ref="MD163:ME163"/>
    <mergeCell ref="MF163:MG163"/>
    <mergeCell ref="MH163:MK163"/>
    <mergeCell ref="MH164:MH165"/>
    <mergeCell ref="MI164:MJ165"/>
    <mergeCell ref="MK164:MK165"/>
    <mergeCell ref="LP151:LP153"/>
    <mergeCell ref="MB151:MC151"/>
    <mergeCell ref="MD151:ME151"/>
    <mergeCell ref="MF151:MG151"/>
    <mergeCell ref="MH151:MK151"/>
    <mergeCell ref="MH152:MH153"/>
    <mergeCell ref="MI152:MJ153"/>
    <mergeCell ref="MK152:MK153"/>
    <mergeCell ref="LP155:LP157"/>
    <mergeCell ref="MB155:MC155"/>
    <mergeCell ref="MD155:ME155"/>
    <mergeCell ref="MF155:MG155"/>
    <mergeCell ref="MH155:MK155"/>
    <mergeCell ref="MH156:MH157"/>
    <mergeCell ref="MI156:MJ157"/>
    <mergeCell ref="MK156:MK157"/>
    <mergeCell ref="LP143:LP145"/>
    <mergeCell ref="MB143:MC143"/>
    <mergeCell ref="MD143:ME143"/>
    <mergeCell ref="MF143:MG143"/>
    <mergeCell ref="MH143:MK143"/>
    <mergeCell ref="MH144:MH145"/>
    <mergeCell ref="MI144:MJ145"/>
    <mergeCell ref="MK144:MK145"/>
    <mergeCell ref="LP147:LP149"/>
    <mergeCell ref="MB147:MC147"/>
    <mergeCell ref="MD147:ME147"/>
    <mergeCell ref="MF147:MG147"/>
    <mergeCell ref="MH147:MK147"/>
    <mergeCell ref="MH148:MH149"/>
    <mergeCell ref="MI148:MJ149"/>
    <mergeCell ref="MK148:MK149"/>
    <mergeCell ref="LP135:LP137"/>
    <mergeCell ref="MB135:MC135"/>
    <mergeCell ref="MD135:ME135"/>
    <mergeCell ref="MF135:MG135"/>
    <mergeCell ref="MH135:MK135"/>
    <mergeCell ref="MH136:MH137"/>
    <mergeCell ref="MI136:MJ137"/>
    <mergeCell ref="MK136:MK137"/>
    <mergeCell ref="LP139:LP141"/>
    <mergeCell ref="MB139:MC139"/>
    <mergeCell ref="MD139:ME139"/>
    <mergeCell ref="MF139:MG139"/>
    <mergeCell ref="MH139:MK139"/>
    <mergeCell ref="MH140:MH141"/>
    <mergeCell ref="MI140:MJ141"/>
    <mergeCell ref="MK140:MK141"/>
    <mergeCell ref="LP127:LP129"/>
    <mergeCell ref="MB127:MC127"/>
    <mergeCell ref="MD127:ME127"/>
    <mergeCell ref="MF127:MG127"/>
    <mergeCell ref="MH127:MK127"/>
    <mergeCell ref="MH128:MH129"/>
    <mergeCell ref="MI128:MJ129"/>
    <mergeCell ref="MK128:MK129"/>
    <mergeCell ref="LP131:LP133"/>
    <mergeCell ref="MB131:MC131"/>
    <mergeCell ref="MD131:ME131"/>
    <mergeCell ref="MF131:MG131"/>
    <mergeCell ref="MH131:MK131"/>
    <mergeCell ref="MH132:MH133"/>
    <mergeCell ref="MI132:MJ133"/>
    <mergeCell ref="MK132:MK133"/>
    <mergeCell ref="MH116:MH117"/>
    <mergeCell ref="MI116:MJ117"/>
    <mergeCell ref="MK116:MK117"/>
    <mergeCell ref="LP119:LP121"/>
    <mergeCell ref="MB119:MC119"/>
    <mergeCell ref="MD119:ME119"/>
    <mergeCell ref="MF119:MG119"/>
    <mergeCell ref="MH119:MK119"/>
    <mergeCell ref="MH120:MH121"/>
    <mergeCell ref="MI120:MJ121"/>
    <mergeCell ref="MK120:MK121"/>
    <mergeCell ref="LP123:LP125"/>
    <mergeCell ref="MB123:MC123"/>
    <mergeCell ref="MD123:ME123"/>
    <mergeCell ref="MF123:MG123"/>
    <mergeCell ref="MH123:MK123"/>
    <mergeCell ref="MH124:MH125"/>
    <mergeCell ref="MI124:MJ125"/>
    <mergeCell ref="MK124:MK125"/>
    <mergeCell ref="LP107:LP109"/>
    <mergeCell ref="MB107:MC107"/>
    <mergeCell ref="MD107:ME107"/>
    <mergeCell ref="MF107:MG107"/>
    <mergeCell ref="MH107:MK107"/>
    <mergeCell ref="MH108:MH109"/>
    <mergeCell ref="MI108:MJ109"/>
    <mergeCell ref="MK108:MK109"/>
    <mergeCell ref="LP111:LP113"/>
    <mergeCell ref="MB111:MC111"/>
    <mergeCell ref="MD111:ME111"/>
    <mergeCell ref="MF111:MG111"/>
    <mergeCell ref="MH111:MK111"/>
    <mergeCell ref="MH112:MH113"/>
    <mergeCell ref="MI112:MJ113"/>
    <mergeCell ref="MK112:MK113"/>
    <mergeCell ref="LP115:LP117"/>
    <mergeCell ref="MB115:MC115"/>
    <mergeCell ref="MD115:ME115"/>
    <mergeCell ref="MF115:MG115"/>
    <mergeCell ref="MH115:MK115"/>
    <mergeCell ref="LQ152:MC153"/>
    <mergeCell ref="MD152:ME153"/>
    <mergeCell ref="MF152:MG153"/>
    <mergeCell ref="LQ156:MC157"/>
    <mergeCell ref="MD156:ME157"/>
    <mergeCell ref="MF156:MG157"/>
    <mergeCell ref="LQ160:MC161"/>
    <mergeCell ref="MD160:ME161"/>
    <mergeCell ref="MF160:MG161"/>
    <mergeCell ref="LQ164:MC165"/>
    <mergeCell ref="MD164:ME165"/>
    <mergeCell ref="MF164:MG165"/>
    <mergeCell ref="LQ168:MC169"/>
    <mergeCell ref="MD168:ME169"/>
    <mergeCell ref="MF168:MG169"/>
    <mergeCell ref="LQ172:MC173"/>
    <mergeCell ref="MD172:ME173"/>
    <mergeCell ref="MF172:MG173"/>
    <mergeCell ref="LQ128:MC129"/>
    <mergeCell ref="MD128:ME129"/>
    <mergeCell ref="MF128:MG129"/>
    <mergeCell ref="LQ132:MC133"/>
    <mergeCell ref="MD132:ME133"/>
    <mergeCell ref="MF132:MG133"/>
    <mergeCell ref="LQ136:MC137"/>
    <mergeCell ref="MD136:ME137"/>
    <mergeCell ref="MF136:MG137"/>
    <mergeCell ref="LQ140:MC141"/>
    <mergeCell ref="MD140:ME141"/>
    <mergeCell ref="MF140:MG141"/>
    <mergeCell ref="LQ144:MC145"/>
    <mergeCell ref="MD144:ME145"/>
    <mergeCell ref="MF144:MG145"/>
    <mergeCell ref="LQ148:MC149"/>
    <mergeCell ref="MD148:ME149"/>
    <mergeCell ref="MF148:MG149"/>
    <mergeCell ref="LQ104:MC105"/>
    <mergeCell ref="MD104:ME105"/>
    <mergeCell ref="MF104:MG105"/>
    <mergeCell ref="LQ108:MC109"/>
    <mergeCell ref="MD108:ME109"/>
    <mergeCell ref="MF108:MG109"/>
    <mergeCell ref="LQ112:MC113"/>
    <mergeCell ref="MD112:ME113"/>
    <mergeCell ref="MF112:MG113"/>
    <mergeCell ref="LQ116:MC117"/>
    <mergeCell ref="MD116:ME117"/>
    <mergeCell ref="MF116:MG117"/>
    <mergeCell ref="LQ120:MC121"/>
    <mergeCell ref="MD120:ME121"/>
    <mergeCell ref="MF120:MG121"/>
    <mergeCell ref="LQ124:MC125"/>
    <mergeCell ref="MD124:ME125"/>
    <mergeCell ref="MF124:MG125"/>
    <mergeCell ref="LQ80:MC81"/>
    <mergeCell ref="MD80:ME81"/>
    <mergeCell ref="MF80:MG81"/>
    <mergeCell ref="LQ84:MC85"/>
    <mergeCell ref="MD84:ME85"/>
    <mergeCell ref="MF84:MG85"/>
    <mergeCell ref="LQ88:MC89"/>
    <mergeCell ref="MD88:ME89"/>
    <mergeCell ref="MF88:MG89"/>
    <mergeCell ref="LQ92:MC93"/>
    <mergeCell ref="MD92:ME93"/>
    <mergeCell ref="MF92:MG93"/>
    <mergeCell ref="LQ96:MC97"/>
    <mergeCell ref="MD96:ME97"/>
    <mergeCell ref="MF96:MG97"/>
    <mergeCell ref="LQ100:MC101"/>
    <mergeCell ref="MD100:ME101"/>
    <mergeCell ref="MF100:MG101"/>
    <mergeCell ref="MD48:ME49"/>
    <mergeCell ref="MF48:MG49"/>
    <mergeCell ref="MD52:ME53"/>
    <mergeCell ref="MF52:MG53"/>
    <mergeCell ref="MD56:ME57"/>
    <mergeCell ref="MF56:MG57"/>
    <mergeCell ref="MD60:ME61"/>
    <mergeCell ref="MF60:MG61"/>
    <mergeCell ref="MD64:ME65"/>
    <mergeCell ref="MF64:MG65"/>
    <mergeCell ref="LQ68:MC69"/>
    <mergeCell ref="MD68:ME69"/>
    <mergeCell ref="MF68:MG69"/>
    <mergeCell ref="LQ72:MC73"/>
    <mergeCell ref="MD72:ME73"/>
    <mergeCell ref="MF72:MG73"/>
    <mergeCell ref="LQ76:MC77"/>
    <mergeCell ref="MD76:ME77"/>
    <mergeCell ref="MF76:MG77"/>
    <mergeCell ref="LQ48:MC49"/>
    <mergeCell ref="LQ52:MC53"/>
    <mergeCell ref="LQ56:MC57"/>
    <mergeCell ref="LQ60:MC61"/>
    <mergeCell ref="LQ64:MC65"/>
    <mergeCell ref="MD12:ME13"/>
    <mergeCell ref="MF12:MG13"/>
    <mergeCell ref="MD16:ME17"/>
    <mergeCell ref="MF16:MG17"/>
    <mergeCell ref="MD20:ME21"/>
    <mergeCell ref="MF20:MG21"/>
    <mergeCell ref="MD24:ME25"/>
    <mergeCell ref="MF24:MG25"/>
    <mergeCell ref="MD28:ME29"/>
    <mergeCell ref="MF28:MG29"/>
    <mergeCell ref="MD32:ME33"/>
    <mergeCell ref="MF32:MG33"/>
    <mergeCell ref="MD36:ME37"/>
    <mergeCell ref="MF36:MG37"/>
    <mergeCell ref="MD40:ME41"/>
    <mergeCell ref="MF40:MG41"/>
    <mergeCell ref="LQ12:MC13"/>
    <mergeCell ref="LQ16:MC17"/>
    <mergeCell ref="LQ20:MC21"/>
    <mergeCell ref="LQ24:MC25"/>
    <mergeCell ref="LQ28:MC29"/>
    <mergeCell ref="LQ32:MC33"/>
    <mergeCell ref="LQ36:MC37"/>
    <mergeCell ref="LQ40:MC41"/>
    <mergeCell ref="LQ44:MC45"/>
    <mergeCell ref="MD44:ME45"/>
    <mergeCell ref="MF44:MG45"/>
    <mergeCell ref="CH104:CI105"/>
    <mergeCell ref="HI26:HU27"/>
    <mergeCell ref="HV26:HW27"/>
    <mergeCell ref="HX26:HY27"/>
    <mergeCell ref="HI30:HU31"/>
    <mergeCell ref="HV30:HW31"/>
    <mergeCell ref="HX30:HY31"/>
    <mergeCell ref="HT29:HU29"/>
    <mergeCell ref="HV29:HW29"/>
    <mergeCell ref="HX29:HY29"/>
    <mergeCell ref="II104:IU105"/>
    <mergeCell ref="IV104:IW105"/>
    <mergeCell ref="IX104:IY105"/>
    <mergeCell ref="II108:IU109"/>
    <mergeCell ref="IV108:IW109"/>
    <mergeCell ref="IX108:IY109"/>
    <mergeCell ref="II112:IU113"/>
    <mergeCell ref="IV112:IW113"/>
    <mergeCell ref="IX112:IY113"/>
    <mergeCell ref="IH119:IH121"/>
    <mergeCell ref="IT119:IU119"/>
    <mergeCell ref="IV119:IW119"/>
    <mergeCell ref="IX119:IY119"/>
    <mergeCell ref="II80:IU81"/>
    <mergeCell ref="IV80:IW81"/>
    <mergeCell ref="IX80:IY81"/>
    <mergeCell ref="II84:IU85"/>
    <mergeCell ref="IV84:IW85"/>
    <mergeCell ref="IX84:IY85"/>
    <mergeCell ref="II88:IU89"/>
    <mergeCell ref="IV88:IW89"/>
    <mergeCell ref="IX88:IY89"/>
    <mergeCell ref="IZ119:JC119"/>
    <mergeCell ref="IZ120:IZ121"/>
    <mergeCell ref="JA120:JB121"/>
    <mergeCell ref="JC120:JC121"/>
    <mergeCell ref="II92:IU93"/>
    <mergeCell ref="IV92:IW93"/>
    <mergeCell ref="IX92:IY93"/>
    <mergeCell ref="II96:IU97"/>
    <mergeCell ref="IV96:IW97"/>
    <mergeCell ref="IX96:IY97"/>
    <mergeCell ref="II100:IU101"/>
    <mergeCell ref="IV100:IW101"/>
    <mergeCell ref="IX100:IY101"/>
    <mergeCell ref="II64:IU65"/>
    <mergeCell ref="IV64:IW65"/>
    <mergeCell ref="IX64:IY65"/>
    <mergeCell ref="II68:IU69"/>
    <mergeCell ref="IV68:IW69"/>
    <mergeCell ref="IX68:IY69"/>
    <mergeCell ref="II72:IU73"/>
    <mergeCell ref="IV72:IW73"/>
    <mergeCell ref="IX72:IY73"/>
    <mergeCell ref="II76:IU77"/>
    <mergeCell ref="IV76:IW77"/>
    <mergeCell ref="IX76:IY77"/>
    <mergeCell ref="II116:IU117"/>
    <mergeCell ref="IV116:IW117"/>
    <mergeCell ref="IX116:IY117"/>
    <mergeCell ref="II120:IU121"/>
    <mergeCell ref="IV120:IW121"/>
    <mergeCell ref="IX120:IY121"/>
    <mergeCell ref="IH83:IH85"/>
    <mergeCell ref="IT83:IU83"/>
    <mergeCell ref="IV83:IW83"/>
    <mergeCell ref="IX83:IY83"/>
    <mergeCell ref="IH107:IH109"/>
    <mergeCell ref="IT107:IU107"/>
    <mergeCell ref="IV107:IW107"/>
    <mergeCell ref="IX107:IY107"/>
    <mergeCell ref="II32:IU33"/>
    <mergeCell ref="IV32:IW33"/>
    <mergeCell ref="IX32:IY33"/>
    <mergeCell ref="II36:IU37"/>
    <mergeCell ref="IV36:IW37"/>
    <mergeCell ref="IX36:IY37"/>
    <mergeCell ref="II40:IU41"/>
    <mergeCell ref="IV40:IW41"/>
    <mergeCell ref="IX40:IY41"/>
    <mergeCell ref="II44:IU45"/>
    <mergeCell ref="IV44:IW45"/>
    <mergeCell ref="IX44:IY45"/>
    <mergeCell ref="II48:IU49"/>
    <mergeCell ref="IV48:IW49"/>
    <mergeCell ref="IX48:IY49"/>
    <mergeCell ref="II52:IU53"/>
    <mergeCell ref="IV52:IW53"/>
    <mergeCell ref="IX52:IY53"/>
    <mergeCell ref="II56:IU57"/>
    <mergeCell ref="IV56:IW57"/>
    <mergeCell ref="IX56:IY57"/>
    <mergeCell ref="II60:IU61"/>
    <mergeCell ref="IV60:IW61"/>
    <mergeCell ref="IX60:IY61"/>
    <mergeCell ref="II12:IU13"/>
    <mergeCell ref="IV12:IW13"/>
    <mergeCell ref="II16:IU17"/>
    <mergeCell ref="IV16:IW17"/>
    <mergeCell ref="IX16:IY17"/>
    <mergeCell ref="II20:IU21"/>
    <mergeCell ref="IV20:IW21"/>
    <mergeCell ref="IX20:IY21"/>
    <mergeCell ref="II24:IU25"/>
    <mergeCell ref="IV24:IW25"/>
    <mergeCell ref="IX24:IY25"/>
    <mergeCell ref="II28:IU29"/>
    <mergeCell ref="IV28:IW29"/>
    <mergeCell ref="IX28:IY29"/>
    <mergeCell ref="IH43:IH45"/>
    <mergeCell ref="IT43:IU43"/>
    <mergeCell ref="IV43:IW43"/>
    <mergeCell ref="IX43:IY43"/>
    <mergeCell ref="H9:K9"/>
    <mergeCell ref="EM31:EQ31"/>
    <mergeCell ref="EM32:EQ33"/>
    <mergeCell ref="LS9:LT9"/>
    <mergeCell ref="LV9:MF9"/>
    <mergeCell ref="PC9:PD9"/>
    <mergeCell ref="Z43:AB45"/>
    <mergeCell ref="Z55:AB57"/>
    <mergeCell ref="Z59:AB61"/>
    <mergeCell ref="CK115:CN115"/>
    <mergeCell ref="BP115:BQ115"/>
    <mergeCell ref="BP111:BQ111"/>
    <mergeCell ref="BS103:BT103"/>
    <mergeCell ref="BP99:BQ99"/>
    <mergeCell ref="CH108:CI109"/>
    <mergeCell ref="CE112:CF113"/>
    <mergeCell ref="Z68:Z70"/>
    <mergeCell ref="BO43:BO45"/>
    <mergeCell ref="BP43:BQ43"/>
    <mergeCell ref="CA43:CB43"/>
    <mergeCell ref="CC43:CD43"/>
    <mergeCell ref="CE43:CF43"/>
    <mergeCell ref="BP44:CB45"/>
    <mergeCell ref="CG44:CG45"/>
    <mergeCell ref="CL44:CL45"/>
    <mergeCell ref="BP31:BP33"/>
    <mergeCell ref="BQ31:BR31"/>
    <mergeCell ref="CK36:CN37"/>
    <mergeCell ref="CK39:CN39"/>
    <mergeCell ref="CK40:CN41"/>
    <mergeCell ref="CM43:CP43"/>
    <mergeCell ref="CM44:CP45"/>
    <mergeCell ref="CK23:CN23"/>
    <mergeCell ref="CC44:CD45"/>
    <mergeCell ref="DF3:DL3"/>
    <mergeCell ref="DF4:DL4"/>
    <mergeCell ref="DF5:DL5"/>
    <mergeCell ref="DF6:DL6"/>
    <mergeCell ref="AR2:AS3"/>
    <mergeCell ref="AR5:AS6"/>
    <mergeCell ref="CV8:CX8"/>
    <mergeCell ref="CV9:CX10"/>
    <mergeCell ref="CO8:CT8"/>
    <mergeCell ref="CO9:CT10"/>
    <mergeCell ref="BO3:BO4"/>
    <mergeCell ref="DS9:DT9"/>
    <mergeCell ref="DV9:EF9"/>
    <mergeCell ref="FZ9:GA9"/>
    <mergeCell ref="AV31:AY31"/>
    <mergeCell ref="CA11:CB11"/>
    <mergeCell ref="BO19:BO21"/>
    <mergeCell ref="BP19:BQ19"/>
    <mergeCell ref="CA19:CB19"/>
    <mergeCell ref="BO15:BO17"/>
    <mergeCell ref="BP15:BQ15"/>
    <mergeCell ref="CA15:CB15"/>
    <mergeCell ref="BP12:CB13"/>
    <mergeCell ref="BO11:BO13"/>
    <mergeCell ref="BP11:BQ11"/>
    <mergeCell ref="CG19:CJ19"/>
    <mergeCell ref="BP20:CB21"/>
    <mergeCell ref="CG20:CG21"/>
    <mergeCell ref="CH24:CI25"/>
    <mergeCell ref="GC9:GM9"/>
    <mergeCell ref="CJ28:CJ29"/>
    <mergeCell ref="CC28:CD29"/>
    <mergeCell ref="CF32:CG33"/>
    <mergeCell ref="CE19:CF19"/>
    <mergeCell ref="CK20:CN21"/>
    <mergeCell ref="CJ24:CJ25"/>
    <mergeCell ref="CC24:CD25"/>
    <mergeCell ref="CC20:CD21"/>
    <mergeCell ref="CE28:CF29"/>
    <mergeCell ref="CH20:CI21"/>
    <mergeCell ref="CJ20:CJ21"/>
    <mergeCell ref="CD31:CE31"/>
    <mergeCell ref="CF31:CG31"/>
    <mergeCell ref="CH31:CK31"/>
    <mergeCell ref="CC27:CD27"/>
    <mergeCell ref="IK9:IL9"/>
    <mergeCell ref="CE15:CF15"/>
    <mergeCell ref="CE11:CF11"/>
    <mergeCell ref="CC11:CD11"/>
    <mergeCell ref="CC19:CD19"/>
    <mergeCell ref="CC15:CD15"/>
    <mergeCell ref="CG11:CJ11"/>
    <mergeCell ref="CG12:CG13"/>
    <mergeCell ref="CJ12:CJ13"/>
    <mergeCell ref="CC12:CD13"/>
    <mergeCell ref="CE12:CF13"/>
    <mergeCell ref="CG15:CJ15"/>
    <mergeCell ref="CG16:CG17"/>
    <mergeCell ref="CH16:CI17"/>
    <mergeCell ref="CJ16:CJ17"/>
    <mergeCell ref="CE16:CF17"/>
    <mergeCell ref="IN9:IX9"/>
    <mergeCell ref="BQ32:CC33"/>
    <mergeCell ref="CD32:CE33"/>
    <mergeCell ref="CH32:CH33"/>
    <mergeCell ref="CI32:CJ33"/>
    <mergeCell ref="CK32:CK33"/>
    <mergeCell ref="CK35:CN35"/>
    <mergeCell ref="CA27:CB27"/>
    <mergeCell ref="BD2:BJ2"/>
    <mergeCell ref="BD3:BJ3"/>
    <mergeCell ref="BD4:BJ4"/>
    <mergeCell ref="BD5:BJ5"/>
    <mergeCell ref="CE44:CF45"/>
    <mergeCell ref="CE40:CF41"/>
    <mergeCell ref="CG43:CL43"/>
    <mergeCell ref="CK19:CN19"/>
    <mergeCell ref="BT9:BU9"/>
    <mergeCell ref="BW9:CG9"/>
    <mergeCell ref="CE20:CF21"/>
    <mergeCell ref="CE24:CF25"/>
    <mergeCell ref="CA39:CB39"/>
    <mergeCell ref="CC39:CD39"/>
    <mergeCell ref="CE39:CF39"/>
    <mergeCell ref="CG39:CJ39"/>
    <mergeCell ref="CC36:CD37"/>
    <mergeCell ref="CE36:CF37"/>
    <mergeCell ref="CE27:CF27"/>
    <mergeCell ref="CG27:CJ27"/>
    <mergeCell ref="BP28:CB29"/>
    <mergeCell ref="CG28:CG29"/>
    <mergeCell ref="CH28:CI29"/>
    <mergeCell ref="CB31:CC31"/>
    <mergeCell ref="Z80:Z82"/>
    <mergeCell ref="BO23:BO25"/>
    <mergeCell ref="BP23:BQ23"/>
    <mergeCell ref="CA23:CB23"/>
    <mergeCell ref="CC23:CD23"/>
    <mergeCell ref="CE23:CF23"/>
    <mergeCell ref="CG23:CJ23"/>
    <mergeCell ref="BP24:CB25"/>
    <mergeCell ref="CG24:CG25"/>
    <mergeCell ref="BP40:CB41"/>
    <mergeCell ref="CG40:CG41"/>
    <mergeCell ref="CH40:CI41"/>
    <mergeCell ref="CJ40:CJ41"/>
    <mergeCell ref="BO47:BO49"/>
    <mergeCell ref="CA47:CB47"/>
    <mergeCell ref="CC47:CD47"/>
    <mergeCell ref="CE47:CF47"/>
    <mergeCell ref="CG47:CJ47"/>
    <mergeCell ref="BP48:CB49"/>
    <mergeCell ref="CG48:CG49"/>
    <mergeCell ref="CH48:CI49"/>
    <mergeCell ref="CJ48:CJ49"/>
    <mergeCell ref="BO35:BO37"/>
    <mergeCell ref="BP35:BQ35"/>
    <mergeCell ref="CA35:CB35"/>
    <mergeCell ref="CC35:CD35"/>
    <mergeCell ref="CE35:CF35"/>
    <mergeCell ref="CG35:CJ35"/>
    <mergeCell ref="BP36:CB37"/>
    <mergeCell ref="CG36:CG37"/>
    <mergeCell ref="CH36:CI37"/>
    <mergeCell ref="CJ36:CJ37"/>
    <mergeCell ref="AA80:AB80"/>
    <mergeCell ref="AL80:AM80"/>
    <mergeCell ref="AN80:AO80"/>
    <mergeCell ref="AP80:AQ80"/>
    <mergeCell ref="AR80:AU80"/>
    <mergeCell ref="AA81:AM82"/>
    <mergeCell ref="AN81:AO82"/>
    <mergeCell ref="AR81:AR82"/>
    <mergeCell ref="AS81:AT82"/>
    <mergeCell ref="AU81:AU82"/>
    <mergeCell ref="AP81:AQ82"/>
    <mergeCell ref="BO75:BO77"/>
    <mergeCell ref="BP75:BQ75"/>
    <mergeCell ref="CA75:CB75"/>
    <mergeCell ref="CC75:CD75"/>
    <mergeCell ref="BP76:CB77"/>
    <mergeCell ref="CC40:CD41"/>
    <mergeCell ref="BO39:BO41"/>
    <mergeCell ref="BP39:BQ39"/>
    <mergeCell ref="CC48:CD49"/>
    <mergeCell ref="BO51:BQ53"/>
    <mergeCell ref="BO63:BO65"/>
    <mergeCell ref="CA63:CB63"/>
    <mergeCell ref="CC63:CD63"/>
    <mergeCell ref="BO71:BO73"/>
    <mergeCell ref="CA71:CB71"/>
    <mergeCell ref="CC71:CD71"/>
    <mergeCell ref="BP56:CB57"/>
    <mergeCell ref="BO67:BO69"/>
    <mergeCell ref="CA67:CB67"/>
    <mergeCell ref="CC67:CD67"/>
    <mergeCell ref="AV80:AX80"/>
    <mergeCell ref="AQ69:AR70"/>
    <mergeCell ref="AP77:AQ78"/>
    <mergeCell ref="AO68:AP68"/>
    <mergeCell ref="AS68:AV68"/>
    <mergeCell ref="AB69:AN70"/>
    <mergeCell ref="AO69:AP70"/>
    <mergeCell ref="AS69:AS70"/>
    <mergeCell ref="AT69:AU70"/>
    <mergeCell ref="AV69:AV70"/>
    <mergeCell ref="AP76:AQ76"/>
    <mergeCell ref="AP73:AR74"/>
    <mergeCell ref="AP72:AR72"/>
    <mergeCell ref="AB68:AC68"/>
    <mergeCell ref="AM68:AN68"/>
    <mergeCell ref="AV76:BA76"/>
    <mergeCell ref="AV77:BA78"/>
    <mergeCell ref="AW72:AY72"/>
    <mergeCell ref="AQ68:AR68"/>
    <mergeCell ref="AU64:AU65"/>
    <mergeCell ref="AA64:AM66"/>
    <mergeCell ref="AP63:AQ63"/>
    <mergeCell ref="R9:X9"/>
    <mergeCell ref="AA15:AB15"/>
    <mergeCell ref="AL15:AM15"/>
    <mergeCell ref="AA16:AM17"/>
    <mergeCell ref="AN16:AO17"/>
    <mergeCell ref="Z19:Z21"/>
    <mergeCell ref="AA19:AB19"/>
    <mergeCell ref="AL19:AM19"/>
    <mergeCell ref="AA20:AM21"/>
    <mergeCell ref="AN20:AO21"/>
    <mergeCell ref="AB9:AC9"/>
    <mergeCell ref="AE9:AO9"/>
    <mergeCell ref="AP11:AQ11"/>
    <mergeCell ref="AP12:AQ13"/>
    <mergeCell ref="AP15:AQ15"/>
    <mergeCell ref="AN11:AO11"/>
    <mergeCell ref="AD44:AP45"/>
    <mergeCell ref="AQ44:AR45"/>
    <mergeCell ref="AA32:AM33"/>
    <mergeCell ref="AN32:AO33"/>
    <mergeCell ref="AR32:AR33"/>
    <mergeCell ref="AS32:AT33"/>
    <mergeCell ref="AU32:AU33"/>
    <mergeCell ref="AU59:AX59"/>
    <mergeCell ref="AD60:AP61"/>
    <mergeCell ref="AQ60:AR61"/>
    <mergeCell ref="AU60:AU61"/>
    <mergeCell ref="AV60:AW61"/>
    <mergeCell ref="AX60:AX61"/>
    <mergeCell ref="N7:P7"/>
    <mergeCell ref="AL11:AM11"/>
    <mergeCell ref="AA11:AB11"/>
    <mergeCell ref="AD28:AP29"/>
    <mergeCell ref="AC27:AC29"/>
    <mergeCell ref="AQ28:AR29"/>
    <mergeCell ref="AS24:AT25"/>
    <mergeCell ref="AX28:AX29"/>
    <mergeCell ref="AV28:AW29"/>
    <mergeCell ref="AR24:AR25"/>
    <mergeCell ref="AU28:AU29"/>
    <mergeCell ref="AN12:AO13"/>
    <mergeCell ref="AD27:AE27"/>
    <mergeCell ref="AO27:AP27"/>
    <mergeCell ref="AQ27:AR27"/>
    <mergeCell ref="N17:O17"/>
    <mergeCell ref="N18:O18"/>
    <mergeCell ref="N19:O19"/>
    <mergeCell ref="Z23:Z25"/>
    <mergeCell ref="AA23:AB23"/>
    <mergeCell ref="AL23:AM23"/>
    <mergeCell ref="AA24:AM25"/>
    <mergeCell ref="AS20:AT21"/>
    <mergeCell ref="AU20:AU21"/>
    <mergeCell ref="AR20:AR21"/>
    <mergeCell ref="AN24:AO25"/>
    <mergeCell ref="AN23:AO23"/>
    <mergeCell ref="AR23:AU23"/>
    <mergeCell ref="AU24:AU25"/>
    <mergeCell ref="AU27:AX27"/>
    <mergeCell ref="AV11:AX11"/>
    <mergeCell ref="AV12:AX13"/>
    <mergeCell ref="AC2:AG2"/>
    <mergeCell ref="AB4:AG4"/>
    <mergeCell ref="AB5:AG5"/>
    <mergeCell ref="AB6:AG6"/>
    <mergeCell ref="AB7:AG7"/>
    <mergeCell ref="AJ4:AK4"/>
    <mergeCell ref="AJ5:AK5"/>
    <mergeCell ref="AJ6:AK6"/>
    <mergeCell ref="AJ7:AK7"/>
    <mergeCell ref="AH4:AI4"/>
    <mergeCell ref="AH5:AI5"/>
    <mergeCell ref="AH6:AI6"/>
    <mergeCell ref="AH7:AI7"/>
    <mergeCell ref="R6:X6"/>
    <mergeCell ref="AU16:AU17"/>
    <mergeCell ref="AR19:AU19"/>
    <mergeCell ref="AA12:AM13"/>
    <mergeCell ref="R7:X7"/>
    <mergeCell ref="R8:X8"/>
    <mergeCell ref="AN19:AO19"/>
    <mergeCell ref="AN15:AO15"/>
    <mergeCell ref="AR15:AU15"/>
    <mergeCell ref="AS16:AT17"/>
    <mergeCell ref="AR16:AR17"/>
    <mergeCell ref="Z11:Z13"/>
    <mergeCell ref="Z15:Z17"/>
    <mergeCell ref="AR11:AU11"/>
    <mergeCell ref="AS12:AT13"/>
    <mergeCell ref="AU12:AU13"/>
    <mergeCell ref="AR12:AR13"/>
    <mergeCell ref="BO27:BO29"/>
    <mergeCell ref="BP27:BQ27"/>
    <mergeCell ref="BP16:CB17"/>
    <mergeCell ref="CC16:CD17"/>
    <mergeCell ref="AR36:AR37"/>
    <mergeCell ref="AS36:AT37"/>
    <mergeCell ref="AA31:AB31"/>
    <mergeCell ref="AL31:AM31"/>
    <mergeCell ref="AN31:AO31"/>
    <mergeCell ref="AR31:AU31"/>
    <mergeCell ref="AV32:AY33"/>
    <mergeCell ref="AC47:AC49"/>
    <mergeCell ref="AD47:AE47"/>
    <mergeCell ref="AO47:AP47"/>
    <mergeCell ref="AQ47:AR47"/>
    <mergeCell ref="AU47:AX47"/>
    <mergeCell ref="AD48:AP49"/>
    <mergeCell ref="AQ48:AR49"/>
    <mergeCell ref="AU48:AU49"/>
    <mergeCell ref="AV48:AW49"/>
    <mergeCell ref="AX48:AX49"/>
    <mergeCell ref="AV35:AY35"/>
    <mergeCell ref="AV36:AY37"/>
    <mergeCell ref="AC43:AC45"/>
    <mergeCell ref="AD43:AE43"/>
    <mergeCell ref="AO43:AP43"/>
    <mergeCell ref="AQ43:AR43"/>
    <mergeCell ref="AU43:AX43"/>
    <mergeCell ref="AS44:AT45"/>
    <mergeCell ref="AS48:AT49"/>
    <mergeCell ref="AN40:AO41"/>
    <mergeCell ref="AA35:AB35"/>
    <mergeCell ref="AS59:AT59"/>
    <mergeCell ref="AS60:AT61"/>
    <mergeCell ref="AU36:AU37"/>
    <mergeCell ref="AP35:AQ35"/>
    <mergeCell ref="Z51:AB53"/>
    <mergeCell ref="Z47:AB49"/>
    <mergeCell ref="AC55:AC57"/>
    <mergeCell ref="AD55:AE55"/>
    <mergeCell ref="AO55:AP55"/>
    <mergeCell ref="AQ55:AR55"/>
    <mergeCell ref="AU55:AX55"/>
    <mergeCell ref="AD56:AP57"/>
    <mergeCell ref="AU56:AU57"/>
    <mergeCell ref="AV56:AW57"/>
    <mergeCell ref="AX56:AX57"/>
    <mergeCell ref="AU44:AU45"/>
    <mergeCell ref="AV44:AW45"/>
    <mergeCell ref="AX44:AX45"/>
    <mergeCell ref="AR35:AU35"/>
    <mergeCell ref="Z35:Z37"/>
    <mergeCell ref="AR40:AR41"/>
    <mergeCell ref="AS40:AT41"/>
    <mergeCell ref="AU40:AU41"/>
    <mergeCell ref="AA40:AM41"/>
    <mergeCell ref="AA36:AM37"/>
    <mergeCell ref="AN36:AO37"/>
    <mergeCell ref="AQ56:AR57"/>
    <mergeCell ref="AS55:AT55"/>
    <mergeCell ref="AS51:AT51"/>
    <mergeCell ref="AS52:AT53"/>
    <mergeCell ref="AS56:AT57"/>
    <mergeCell ref="AS47:AT47"/>
    <mergeCell ref="Z72:Z74"/>
    <mergeCell ref="AA72:AB72"/>
    <mergeCell ref="AL72:AM72"/>
    <mergeCell ref="AN72:AO72"/>
    <mergeCell ref="AS72:AV72"/>
    <mergeCell ref="AA73:AM74"/>
    <mergeCell ref="AN73:AO74"/>
    <mergeCell ref="AS73:AS74"/>
    <mergeCell ref="AT73:AU74"/>
    <mergeCell ref="AV73:AV74"/>
    <mergeCell ref="Z76:Z78"/>
    <mergeCell ref="AA76:AB76"/>
    <mergeCell ref="AL76:AM76"/>
    <mergeCell ref="AN76:AO76"/>
    <mergeCell ref="AR76:AU76"/>
    <mergeCell ref="AA77:AM78"/>
    <mergeCell ref="AN77:AO78"/>
    <mergeCell ref="AR77:AR78"/>
    <mergeCell ref="AS77:AT78"/>
    <mergeCell ref="AU77:AU78"/>
    <mergeCell ref="AA68:AA70"/>
    <mergeCell ref="P19:Q19"/>
    <mergeCell ref="AS43:AT43"/>
    <mergeCell ref="AP20:AQ21"/>
    <mergeCell ref="AP16:AQ17"/>
    <mergeCell ref="AP24:AQ25"/>
    <mergeCell ref="AS28:AT29"/>
    <mergeCell ref="AP40:AQ41"/>
    <mergeCell ref="AP32:AQ33"/>
    <mergeCell ref="AP36:AQ37"/>
    <mergeCell ref="AP19:AQ19"/>
    <mergeCell ref="AP23:AQ23"/>
    <mergeCell ref="AS27:AT27"/>
    <mergeCell ref="AP39:AQ39"/>
    <mergeCell ref="AP31:AQ31"/>
    <mergeCell ref="Z39:Z41"/>
    <mergeCell ref="AA39:AB39"/>
    <mergeCell ref="AL39:AM39"/>
    <mergeCell ref="AN39:AO39"/>
    <mergeCell ref="Z63:Z66"/>
    <mergeCell ref="AN64:AO66"/>
    <mergeCell ref="AP64:AQ66"/>
    <mergeCell ref="AC59:AC61"/>
    <mergeCell ref="AD59:AE59"/>
    <mergeCell ref="AO59:AP59"/>
    <mergeCell ref="AQ59:AR59"/>
    <mergeCell ref="AA63:AB63"/>
    <mergeCell ref="AL63:AM63"/>
    <mergeCell ref="AN63:AO63"/>
    <mergeCell ref="AR63:AU63"/>
    <mergeCell ref="AR64:AR65"/>
    <mergeCell ref="AS64:AT65"/>
    <mergeCell ref="AL35:AM35"/>
    <mergeCell ref="AN35:AO35"/>
    <mergeCell ref="Z31:Z33"/>
    <mergeCell ref="AV39:AZ39"/>
    <mergeCell ref="AV40:AZ41"/>
    <mergeCell ref="Z27:AB29"/>
    <mergeCell ref="P17:Q17"/>
    <mergeCell ref="P18:Q18"/>
    <mergeCell ref="AC51:AC53"/>
    <mergeCell ref="AD51:AE51"/>
    <mergeCell ref="AO51:AP51"/>
    <mergeCell ref="AQ51:AR51"/>
    <mergeCell ref="AU51:AX51"/>
    <mergeCell ref="AD52:AP53"/>
    <mergeCell ref="AQ52:AR53"/>
    <mergeCell ref="AU52:AU53"/>
    <mergeCell ref="AV52:AW53"/>
    <mergeCell ref="AX52:AX53"/>
    <mergeCell ref="AR39:AU39"/>
    <mergeCell ref="BR51:BR53"/>
    <mergeCell ref="CD51:CE51"/>
    <mergeCell ref="EM23:EP23"/>
    <mergeCell ref="EM24:EP25"/>
    <mergeCell ref="CE75:CF75"/>
    <mergeCell ref="CG75:CJ75"/>
    <mergeCell ref="CG76:CG77"/>
    <mergeCell ref="CJ76:CJ77"/>
    <mergeCell ref="CE76:CF77"/>
    <mergeCell ref="CE72:CF73"/>
    <mergeCell ref="CE88:CF89"/>
    <mergeCell ref="CK67:CN67"/>
    <mergeCell ref="CS3:CU5"/>
    <mergeCell ref="CK48:CP49"/>
    <mergeCell ref="CK47:CP47"/>
    <mergeCell ref="CH44:CK45"/>
    <mergeCell ref="CF52:CG53"/>
    <mergeCell ref="BS52:CE53"/>
    <mergeCell ref="CA55:CB55"/>
    <mergeCell ref="CC55:CD55"/>
    <mergeCell ref="CE55:CF55"/>
    <mergeCell ref="CG55:CJ55"/>
    <mergeCell ref="CK55:CN55"/>
    <mergeCell ref="CG56:CG57"/>
    <mergeCell ref="CH56:CI57"/>
    <mergeCell ref="CJ56:CJ57"/>
    <mergeCell ref="CH52:CI53"/>
    <mergeCell ref="CJ52:CJ53"/>
    <mergeCell ref="CK52:CL53"/>
    <mergeCell ref="CM52:CM53"/>
    <mergeCell ref="CE48:CF49"/>
    <mergeCell ref="CK24:CN25"/>
    <mergeCell ref="CE68:CF69"/>
    <mergeCell ref="BO79:BO81"/>
    <mergeCell ref="CA79:CB79"/>
    <mergeCell ref="CC79:CD79"/>
    <mergeCell ref="CE79:CF79"/>
    <mergeCell ref="CG79:CJ79"/>
    <mergeCell ref="BP80:CB81"/>
    <mergeCell ref="CG80:CG81"/>
    <mergeCell ref="CH80:CI81"/>
    <mergeCell ref="CJ80:CJ81"/>
    <mergeCell ref="EL16:EL17"/>
    <mergeCell ref="EM16:EN17"/>
    <mergeCell ref="EO16:EO17"/>
    <mergeCell ref="BO59:BO61"/>
    <mergeCell ref="CA59:CB59"/>
    <mergeCell ref="CC59:CD59"/>
    <mergeCell ref="CE59:CF59"/>
    <mergeCell ref="CG59:CJ59"/>
    <mergeCell ref="BP60:CB61"/>
    <mergeCell ref="CG60:CG61"/>
    <mergeCell ref="CH60:CI61"/>
    <mergeCell ref="CJ60:CJ61"/>
    <mergeCell ref="CC60:CD61"/>
    <mergeCell ref="CE56:CF57"/>
    <mergeCell ref="DT15:DT17"/>
    <mergeCell ref="EF15:EG15"/>
    <mergeCell ref="EH15:EI15"/>
    <mergeCell ref="EJ15:EK15"/>
    <mergeCell ref="EL15:EO15"/>
    <mergeCell ref="CC56:CD57"/>
    <mergeCell ref="BO55:BO57"/>
    <mergeCell ref="CK56:CN57"/>
    <mergeCell ref="BP88:CB89"/>
    <mergeCell ref="CG88:CG89"/>
    <mergeCell ref="EG23:EH23"/>
    <mergeCell ref="EI23:EL23"/>
    <mergeCell ref="EI24:EI25"/>
    <mergeCell ref="EJ24:EK25"/>
    <mergeCell ref="EL24:EL25"/>
    <mergeCell ref="CE71:CF71"/>
    <mergeCell ref="CG71:CJ71"/>
    <mergeCell ref="BP72:CB73"/>
    <mergeCell ref="CG72:CG73"/>
    <mergeCell ref="CH72:CI73"/>
    <mergeCell ref="CJ72:CJ73"/>
    <mergeCell ref="CC72:CD73"/>
    <mergeCell ref="CE63:CF63"/>
    <mergeCell ref="CG63:CJ63"/>
    <mergeCell ref="BP64:CB65"/>
    <mergeCell ref="CG64:CG65"/>
    <mergeCell ref="CH64:CI65"/>
    <mergeCell ref="CJ64:CJ65"/>
    <mergeCell ref="CC64:CD65"/>
    <mergeCell ref="CE64:CF65"/>
    <mergeCell ref="CK68:CN69"/>
    <mergeCell ref="CK63:CM63"/>
    <mergeCell ref="CK64:CM65"/>
    <mergeCell ref="CE67:CF67"/>
    <mergeCell ref="CG67:CJ67"/>
    <mergeCell ref="BP68:CB69"/>
    <mergeCell ref="CG68:CG69"/>
    <mergeCell ref="CH68:CI69"/>
    <mergeCell ref="CJ68:CJ69"/>
    <mergeCell ref="CC68:CD69"/>
    <mergeCell ref="BO91:BO93"/>
    <mergeCell ref="CA91:CB91"/>
    <mergeCell ref="CF91:CG91"/>
    <mergeCell ref="CH91:CK91"/>
    <mergeCell ref="BP92:CB93"/>
    <mergeCell ref="CH92:CH93"/>
    <mergeCell ref="CI92:CJ93"/>
    <mergeCell ref="CK92:CK93"/>
    <mergeCell ref="CC84:CD85"/>
    <mergeCell ref="CH88:CI89"/>
    <mergeCell ref="CJ88:CJ89"/>
    <mergeCell ref="CF92:CG93"/>
    <mergeCell ref="BP83:BQ83"/>
    <mergeCell ref="BP79:BQ79"/>
    <mergeCell ref="BP87:BQ87"/>
    <mergeCell ref="BP91:BQ91"/>
    <mergeCell ref="BO31:BO33"/>
    <mergeCell ref="CE60:CF61"/>
    <mergeCell ref="CK71:CN71"/>
    <mergeCell ref="CK72:CN73"/>
    <mergeCell ref="BO83:BO85"/>
    <mergeCell ref="CA83:CB83"/>
    <mergeCell ref="CC83:CD83"/>
    <mergeCell ref="CE83:CF83"/>
    <mergeCell ref="CG83:CJ83"/>
    <mergeCell ref="BP84:CB85"/>
    <mergeCell ref="CG84:CG85"/>
    <mergeCell ref="CH84:CI85"/>
    <mergeCell ref="CJ84:CJ85"/>
    <mergeCell ref="BO87:BO89"/>
    <mergeCell ref="CA87:CB87"/>
    <mergeCell ref="CC87:CD87"/>
    <mergeCell ref="CA111:CB111"/>
    <mergeCell ref="CC111:CD111"/>
    <mergeCell ref="CE111:CF111"/>
    <mergeCell ref="BP112:CB113"/>
    <mergeCell ref="CG112:CG113"/>
    <mergeCell ref="CL112:CL113"/>
    <mergeCell ref="CH112:CK113"/>
    <mergeCell ref="EJ19:EK19"/>
    <mergeCell ref="EL19:EO19"/>
    <mergeCell ref="EL20:EL21"/>
    <mergeCell ref="EM20:EN21"/>
    <mergeCell ref="EO20:EO21"/>
    <mergeCell ref="BR95:BR97"/>
    <mergeCell ref="CD95:CE95"/>
    <mergeCell ref="CI95:CJ95"/>
    <mergeCell ref="CK95:CN95"/>
    <mergeCell ref="BS96:CE97"/>
    <mergeCell ref="CK96:CK97"/>
    <mergeCell ref="CL96:CM97"/>
    <mergeCell ref="CN96:CN97"/>
    <mergeCell ref="CC76:CD77"/>
    <mergeCell ref="CC80:CD81"/>
    <mergeCell ref="CE80:CF81"/>
    <mergeCell ref="CC88:CD89"/>
    <mergeCell ref="CK83:CO83"/>
    <mergeCell ref="CK84:CO85"/>
    <mergeCell ref="CK87:CM87"/>
    <mergeCell ref="CK88:CM89"/>
    <mergeCell ref="CC91:CE91"/>
    <mergeCell ref="CC92:CE93"/>
    <mergeCell ref="CE87:CF87"/>
    <mergeCell ref="CG87:CJ87"/>
    <mergeCell ref="CE116:CF117"/>
    <mergeCell ref="CF108:CG109"/>
    <mergeCell ref="CF104:CG105"/>
    <mergeCell ref="CE100:CF101"/>
    <mergeCell ref="BO103:BQ105"/>
    <mergeCell ref="CC112:CD113"/>
    <mergeCell ref="CK104:CL105"/>
    <mergeCell ref="BR107:BR109"/>
    <mergeCell ref="CD107:CE107"/>
    <mergeCell ref="CF107:CG107"/>
    <mergeCell ref="CH107:CI107"/>
    <mergeCell ref="BS108:CE109"/>
    <mergeCell ref="BR103:BR105"/>
    <mergeCell ref="CD103:CE103"/>
    <mergeCell ref="CF103:CG103"/>
    <mergeCell ref="CG111:CL111"/>
    <mergeCell ref="BO115:BO117"/>
    <mergeCell ref="CA115:CB115"/>
    <mergeCell ref="CC115:CD115"/>
    <mergeCell ref="CE115:CF115"/>
    <mergeCell ref="CG115:CJ115"/>
    <mergeCell ref="BP116:CB117"/>
    <mergeCell ref="CG116:CG117"/>
    <mergeCell ref="CH116:CI117"/>
    <mergeCell ref="CJ116:CJ117"/>
    <mergeCell ref="CC116:CD117"/>
    <mergeCell ref="CH103:CI103"/>
    <mergeCell ref="CJ103:CM103"/>
    <mergeCell ref="BS104:CE105"/>
    <mergeCell ref="CJ104:CJ105"/>
    <mergeCell ref="CM104:CM105"/>
    <mergeCell ref="BO111:BO113"/>
    <mergeCell ref="EJ11:EK11"/>
    <mergeCell ref="EL11:EO11"/>
    <mergeCell ref="EL12:EL13"/>
    <mergeCell ref="EM12:EN13"/>
    <mergeCell ref="EO12:EO13"/>
    <mergeCell ref="BO107:BQ109"/>
    <mergeCell ref="CR111:CU111"/>
    <mergeCell ref="CH100:CL101"/>
    <mergeCell ref="CG99:CM99"/>
    <mergeCell ref="CR90:CT90"/>
    <mergeCell ref="CR91:CT91"/>
    <mergeCell ref="DT11:DT13"/>
    <mergeCell ref="EF11:EG11"/>
    <mergeCell ref="CN100:CN101"/>
    <mergeCell ref="CR100:CR101"/>
    <mergeCell ref="BO95:BQ97"/>
    <mergeCell ref="CJ107:CM107"/>
    <mergeCell ref="CJ108:CJ109"/>
    <mergeCell ref="CK108:CL109"/>
    <mergeCell ref="CM108:CM109"/>
    <mergeCell ref="DT19:DT21"/>
    <mergeCell ref="EF19:EG19"/>
    <mergeCell ref="EH19:EI19"/>
    <mergeCell ref="BO99:BO101"/>
    <mergeCell ref="CA99:CB99"/>
    <mergeCell ref="CC99:CD99"/>
    <mergeCell ref="CE99:CF99"/>
    <mergeCell ref="BP100:CB101"/>
    <mergeCell ref="CG100:CG101"/>
    <mergeCell ref="CM100:CM101"/>
    <mergeCell ref="CC100:CD101"/>
    <mergeCell ref="EE100:EF101"/>
    <mergeCell ref="PF9:PP9"/>
    <mergeCell ref="SA9:SB9"/>
    <mergeCell ref="SD9:SN9"/>
    <mergeCell ref="VO9:VP9"/>
    <mergeCell ref="VR9:WB9"/>
    <mergeCell ref="ZJ9:ZK9"/>
    <mergeCell ref="ZM9:ZW9"/>
    <mergeCell ref="ACI9:ACJ9"/>
    <mergeCell ref="ACL9:ACV9"/>
    <mergeCell ref="CM112:CM113"/>
    <mergeCell ref="CQ112:CQ113"/>
    <mergeCell ref="CH12:CI13"/>
    <mergeCell ref="CH76:CI77"/>
    <mergeCell ref="CM111:CQ111"/>
    <mergeCell ref="CN112:CP113"/>
    <mergeCell ref="CO100:CQ101"/>
    <mergeCell ref="CN99:CR99"/>
    <mergeCell ref="EH11:EI11"/>
    <mergeCell ref="CF96:CH97"/>
    <mergeCell ref="CF95:CH95"/>
    <mergeCell ref="CE84:CF85"/>
    <mergeCell ref="CI96:CJ97"/>
    <mergeCell ref="CL91:CO91"/>
    <mergeCell ref="CL92:CO93"/>
    <mergeCell ref="DQ23:DQ25"/>
    <mergeCell ref="EC23:ED23"/>
    <mergeCell ref="EE23:EF23"/>
    <mergeCell ref="CS99:CV99"/>
    <mergeCell ref="CS100:CV101"/>
    <mergeCell ref="CF51:CG51"/>
    <mergeCell ref="CH51:CI51"/>
    <mergeCell ref="CJ51:CM51"/>
    <mergeCell ref="EH12:EI13"/>
    <mergeCell ref="EH16:EI17"/>
    <mergeCell ref="EH20:EI21"/>
    <mergeCell ref="EE24:EF25"/>
    <mergeCell ref="EE28:EF29"/>
    <mergeCell ref="EE32:EF33"/>
    <mergeCell ref="EE36:EF37"/>
    <mergeCell ref="EE40:EF41"/>
    <mergeCell ref="EE44:EF45"/>
    <mergeCell ref="EE48:EF49"/>
    <mergeCell ref="EE52:EF53"/>
    <mergeCell ref="EE68:EF69"/>
    <mergeCell ref="EE72:EF73"/>
    <mergeCell ref="EE76:EF77"/>
    <mergeCell ref="DU12:EG13"/>
    <mergeCell ref="DU16:EG17"/>
    <mergeCell ref="DU20:EG21"/>
    <mergeCell ref="DR24:ED25"/>
    <mergeCell ref="DR28:ED29"/>
    <mergeCell ref="DR32:ED33"/>
    <mergeCell ref="DR36:ED37"/>
    <mergeCell ref="DR40:ED41"/>
    <mergeCell ref="DR44:ED45"/>
    <mergeCell ref="DR48:ED49"/>
    <mergeCell ref="DR52:ED53"/>
    <mergeCell ref="DR68:ED69"/>
    <mergeCell ref="EI31:EL31"/>
    <mergeCell ref="EI32:EI33"/>
    <mergeCell ref="EJ32:EK33"/>
    <mergeCell ref="EL32:EL33"/>
    <mergeCell ref="EI76:EI77"/>
    <mergeCell ref="EI36:EI37"/>
    <mergeCell ref="DQ31:DQ33"/>
    <mergeCell ref="EC31:ED31"/>
    <mergeCell ref="EE31:EF31"/>
    <mergeCell ref="EG31:EH31"/>
    <mergeCell ref="DQ27:DQ29"/>
    <mergeCell ref="EC27:ED27"/>
    <mergeCell ref="EE27:EF27"/>
    <mergeCell ref="EG27:EH27"/>
    <mergeCell ref="EI27:EL27"/>
    <mergeCell ref="EI28:EI29"/>
    <mergeCell ref="EJ28:EK29"/>
    <mergeCell ref="EL28:EL29"/>
    <mergeCell ref="EE84:EF85"/>
    <mergeCell ref="EE88:EF89"/>
    <mergeCell ref="EE92:EF93"/>
    <mergeCell ref="DR72:ED73"/>
    <mergeCell ref="DR76:ED77"/>
    <mergeCell ref="DR80:ED81"/>
    <mergeCell ref="EE80:EF81"/>
    <mergeCell ref="EE56:EF57"/>
    <mergeCell ref="EI56:EI57"/>
    <mergeCell ref="DQ63:DQ65"/>
    <mergeCell ref="EC63:ED63"/>
    <mergeCell ref="EE63:EF63"/>
    <mergeCell ref="EI63:EL63"/>
    <mergeCell ref="DR64:ED65"/>
    <mergeCell ref="EE64:EF65"/>
    <mergeCell ref="EI64:EI65"/>
    <mergeCell ref="EJ64:EK65"/>
    <mergeCell ref="EL64:EL65"/>
    <mergeCell ref="EI35:EL35"/>
    <mergeCell ref="EG28:EH29"/>
    <mergeCell ref="EG88:EH89"/>
    <mergeCell ref="EG92:EH93"/>
    <mergeCell ref="EE71:EF71"/>
    <mergeCell ref="EG71:EH71"/>
    <mergeCell ref="EI71:EL71"/>
    <mergeCell ref="EI72:EI73"/>
    <mergeCell ref="EJ72:EK73"/>
    <mergeCell ref="EL72:EL73"/>
    <mergeCell ref="EI51:EL51"/>
    <mergeCell ref="EI52:EI53"/>
    <mergeCell ref="EJ52:EK53"/>
    <mergeCell ref="EL52:EL53"/>
    <mergeCell ref="EC67:ED67"/>
    <mergeCell ref="EE67:EF67"/>
    <mergeCell ref="EG67:EH67"/>
    <mergeCell ref="EI67:EL67"/>
    <mergeCell ref="EC51:ED51"/>
    <mergeCell ref="EE51:EF51"/>
    <mergeCell ref="EG51:EH51"/>
    <mergeCell ref="EC71:ED71"/>
    <mergeCell ref="EG52:EH53"/>
    <mergeCell ref="EG68:EH69"/>
    <mergeCell ref="EG72:EH73"/>
    <mergeCell ref="EG56:EH57"/>
    <mergeCell ref="EG63:EH63"/>
    <mergeCell ref="EG64:EH65"/>
    <mergeCell ref="EL80:EL81"/>
    <mergeCell ref="EC75:ED75"/>
    <mergeCell ref="EE75:EF75"/>
    <mergeCell ref="EG75:EH75"/>
    <mergeCell ref="EI75:EL75"/>
    <mergeCell ref="EJ36:EK37"/>
    <mergeCell ref="EL36:EL37"/>
    <mergeCell ref="DQ39:DQ41"/>
    <mergeCell ref="EC39:ED39"/>
    <mergeCell ref="EE39:EF39"/>
    <mergeCell ref="EG39:EH39"/>
    <mergeCell ref="EI39:EL39"/>
    <mergeCell ref="EI40:EI41"/>
    <mergeCell ref="EJ40:EK41"/>
    <mergeCell ref="EL40:EL41"/>
    <mergeCell ref="EG76:EH77"/>
    <mergeCell ref="EG80:EH81"/>
    <mergeCell ref="DQ43:DQ45"/>
    <mergeCell ref="EC43:ED43"/>
    <mergeCell ref="EE43:EF43"/>
    <mergeCell ref="EG43:EH43"/>
    <mergeCell ref="EG36:EH37"/>
    <mergeCell ref="EG40:EH41"/>
    <mergeCell ref="EG44:EH45"/>
    <mergeCell ref="EG48:EH49"/>
    <mergeCell ref="DQ35:DQ37"/>
    <mergeCell ref="EC35:ED35"/>
    <mergeCell ref="EE35:EF35"/>
    <mergeCell ref="EG35:EH35"/>
    <mergeCell ref="DQ47:DQ49"/>
    <mergeCell ref="EC47:ED47"/>
    <mergeCell ref="EE47:EF47"/>
    <mergeCell ref="EG47:EH47"/>
    <mergeCell ref="EI47:EL47"/>
    <mergeCell ref="EI48:EI49"/>
    <mergeCell ref="EJ48:EK49"/>
    <mergeCell ref="EL48:EL49"/>
    <mergeCell ref="EI88:EI89"/>
    <mergeCell ref="EJ88:EK89"/>
    <mergeCell ref="EL88:EL89"/>
    <mergeCell ref="EG96:EH97"/>
    <mergeCell ref="DR84:ED85"/>
    <mergeCell ref="DR88:ED89"/>
    <mergeCell ref="DR92:ED93"/>
    <mergeCell ref="DR96:ED97"/>
    <mergeCell ref="EE96:EF97"/>
    <mergeCell ref="EJ56:EK57"/>
    <mergeCell ref="EI68:EI69"/>
    <mergeCell ref="EJ68:EK69"/>
    <mergeCell ref="EL68:EL69"/>
    <mergeCell ref="EC55:ED55"/>
    <mergeCell ref="EE55:EF55"/>
    <mergeCell ref="EG55:EH55"/>
    <mergeCell ref="EI55:EL55"/>
    <mergeCell ref="DR56:ED57"/>
    <mergeCell ref="EC83:ED83"/>
    <mergeCell ref="EE83:EF83"/>
    <mergeCell ref="EG83:EH83"/>
    <mergeCell ref="EI83:EL83"/>
    <mergeCell ref="EI84:EI85"/>
    <mergeCell ref="EJ84:EK85"/>
    <mergeCell ref="EL84:EL85"/>
    <mergeCell ref="EC79:ED79"/>
    <mergeCell ref="EE79:EF79"/>
    <mergeCell ref="EG79:EH79"/>
    <mergeCell ref="EI79:EL79"/>
    <mergeCell ref="EI80:EI81"/>
    <mergeCell ref="EJ80:EK81"/>
    <mergeCell ref="EG84:EH85"/>
    <mergeCell ref="DR104:ED106"/>
    <mergeCell ref="DQ103:DQ106"/>
    <mergeCell ref="EE104:EF106"/>
    <mergeCell ref="EG104:EH106"/>
    <mergeCell ref="EI104:EI106"/>
    <mergeCell ref="EL104:EL106"/>
    <mergeCell ref="EJ104:EK106"/>
    <mergeCell ref="DQ99:DQ101"/>
    <mergeCell ref="EC99:ED99"/>
    <mergeCell ref="EE99:EF99"/>
    <mergeCell ref="EG99:EH99"/>
    <mergeCell ref="EI99:EL99"/>
    <mergeCell ref="EI100:EI101"/>
    <mergeCell ref="EJ100:EK101"/>
    <mergeCell ref="EL100:EL101"/>
    <mergeCell ref="DQ95:DQ97"/>
    <mergeCell ref="EC95:ED95"/>
    <mergeCell ref="EE95:EF95"/>
    <mergeCell ref="EG95:EH95"/>
    <mergeCell ref="EI95:EL95"/>
    <mergeCell ref="EI96:EI97"/>
    <mergeCell ref="EJ96:EK97"/>
    <mergeCell ref="EL96:EL97"/>
    <mergeCell ref="DR100:ED101"/>
    <mergeCell ref="EG100:EH101"/>
    <mergeCell ref="GK11:GL11"/>
    <mergeCell ref="GM11:GN11"/>
    <mergeCell ref="GO11:GR11"/>
    <mergeCell ref="GO12:GO13"/>
    <mergeCell ref="GP12:GQ13"/>
    <mergeCell ref="GR12:GR13"/>
    <mergeCell ref="EC103:ED103"/>
    <mergeCell ref="EE103:EF103"/>
    <mergeCell ref="EG103:EH103"/>
    <mergeCell ref="EI103:EL103"/>
    <mergeCell ref="EJ76:EK77"/>
    <mergeCell ref="EL76:EL77"/>
    <mergeCell ref="DQ91:DQ93"/>
    <mergeCell ref="EC91:ED91"/>
    <mergeCell ref="EE91:EF91"/>
    <mergeCell ref="EG91:EH91"/>
    <mergeCell ref="EI91:EL91"/>
    <mergeCell ref="EI92:EI93"/>
    <mergeCell ref="EJ92:EK93"/>
    <mergeCell ref="EL92:EL93"/>
    <mergeCell ref="EC87:ED87"/>
    <mergeCell ref="EE87:EF87"/>
    <mergeCell ref="EG87:EH87"/>
    <mergeCell ref="EL56:EL57"/>
    <mergeCell ref="EC59:ED59"/>
    <mergeCell ref="EE59:EF59"/>
    <mergeCell ref="EG59:EH59"/>
    <mergeCell ref="EI59:EL59"/>
    <mergeCell ref="DR60:ED61"/>
    <mergeCell ref="EE60:EF61"/>
    <mergeCell ref="EG60:EH61"/>
    <mergeCell ref="EI87:EL87"/>
    <mergeCell ref="EI60:EI61"/>
    <mergeCell ref="EJ60:EK61"/>
    <mergeCell ref="EL60:EL61"/>
    <mergeCell ref="FW19:FW21"/>
    <mergeCell ref="GI19:GJ19"/>
    <mergeCell ref="GK19:GL19"/>
    <mergeCell ref="GM19:GN19"/>
    <mergeCell ref="GO19:GR19"/>
    <mergeCell ref="GO20:GO21"/>
    <mergeCell ref="GP20:GQ21"/>
    <mergeCell ref="GR20:GR21"/>
    <mergeCell ref="EI43:EL43"/>
    <mergeCell ref="EI44:EI45"/>
    <mergeCell ref="EJ44:EK45"/>
    <mergeCell ref="EL44:EL45"/>
    <mergeCell ref="EG32:EH33"/>
    <mergeCell ref="LG3:LM3"/>
    <mergeCell ref="LG4:LM4"/>
    <mergeCell ref="LG5:LM5"/>
    <mergeCell ref="LG6:LM6"/>
    <mergeCell ref="FW43:FW45"/>
    <mergeCell ref="GI43:GJ43"/>
    <mergeCell ref="GK43:GL43"/>
    <mergeCell ref="GM43:GN43"/>
    <mergeCell ref="GO43:GR43"/>
    <mergeCell ref="GO44:GO45"/>
    <mergeCell ref="GP44:GQ45"/>
    <mergeCell ref="GR44:GR45"/>
    <mergeCell ref="FW39:FW41"/>
    <mergeCell ref="GI39:GJ39"/>
    <mergeCell ref="GK39:GL39"/>
    <mergeCell ref="GM39:GN39"/>
    <mergeCell ref="OM3:OS3"/>
    <mergeCell ref="OM4:OS4"/>
    <mergeCell ref="OM5:OS5"/>
    <mergeCell ref="OM6:OS6"/>
    <mergeCell ref="RI3:RO3"/>
    <mergeCell ref="RI4:RO4"/>
    <mergeCell ref="RI5:RO5"/>
    <mergeCell ref="RI6:RO6"/>
    <mergeCell ref="FN3:FT3"/>
    <mergeCell ref="FN4:FT4"/>
    <mergeCell ref="FN5:FT5"/>
    <mergeCell ref="FN6:FT6"/>
    <mergeCell ref="HZ3:IF3"/>
    <mergeCell ref="HZ4:IF4"/>
    <mergeCell ref="HZ5:IF5"/>
    <mergeCell ref="HZ6:IF6"/>
    <mergeCell ref="HF6:HJ6"/>
    <mergeCell ref="QD6:QI6"/>
    <mergeCell ref="QK6:QO6"/>
    <mergeCell ref="QQ6:QT6"/>
    <mergeCell ref="QV6:QX6"/>
    <mergeCell ref="HQ6:HS6"/>
    <mergeCell ref="JI6:JN6"/>
    <mergeCell ref="JP6:JT6"/>
    <mergeCell ref="JV6:JY6"/>
    <mergeCell ref="KA6:KC6"/>
    <mergeCell ref="GO39:GR39"/>
    <mergeCell ref="GO40:GO41"/>
    <mergeCell ref="GP40:GQ41"/>
    <mergeCell ref="GR40:GR41"/>
    <mergeCell ref="FW35:FW37"/>
    <mergeCell ref="GI35:GJ35"/>
    <mergeCell ref="GK35:GL35"/>
    <mergeCell ref="GM35:GN35"/>
    <mergeCell ref="GO35:GR35"/>
    <mergeCell ref="GO36:GO37"/>
    <mergeCell ref="GP36:GQ37"/>
    <mergeCell ref="GR36:GR37"/>
    <mergeCell ref="FX40:GJ41"/>
    <mergeCell ref="GK40:GL41"/>
    <mergeCell ref="GM40:GN41"/>
    <mergeCell ref="FX44:GJ45"/>
    <mergeCell ref="GK44:GL45"/>
    <mergeCell ref="GM44:GN45"/>
    <mergeCell ref="LP15:LP17"/>
    <mergeCell ref="MB15:MC15"/>
    <mergeCell ref="MD15:ME15"/>
    <mergeCell ref="MF15:MG15"/>
    <mergeCell ref="MH15:MK15"/>
    <mergeCell ref="MH16:MH17"/>
    <mergeCell ref="MI16:MJ17"/>
    <mergeCell ref="MK16:MK17"/>
    <mergeCell ref="LP11:LP13"/>
    <mergeCell ref="MB11:MC11"/>
    <mergeCell ref="MD11:ME11"/>
    <mergeCell ref="MF11:MG11"/>
    <mergeCell ref="MH11:MK11"/>
    <mergeCell ref="MH12:MH13"/>
    <mergeCell ref="MI12:MJ13"/>
    <mergeCell ref="MK12:MK13"/>
    <mergeCell ref="GO31:GR31"/>
    <mergeCell ref="GO32:GO33"/>
    <mergeCell ref="GP32:GQ33"/>
    <mergeCell ref="GR32:GR33"/>
    <mergeCell ref="LP19:LP21"/>
    <mergeCell ref="MB19:MC19"/>
    <mergeCell ref="MD19:ME19"/>
    <mergeCell ref="MF19:MG19"/>
    <mergeCell ref="MH19:MK19"/>
    <mergeCell ref="MH20:MH21"/>
    <mergeCell ref="MI20:MJ21"/>
    <mergeCell ref="MK20:MK21"/>
    <mergeCell ref="FW23:FW25"/>
    <mergeCell ref="GI23:GJ23"/>
    <mergeCell ref="GK23:GL23"/>
    <mergeCell ref="GM23:GN23"/>
    <mergeCell ref="GO23:GR23"/>
    <mergeCell ref="GO24:GO25"/>
    <mergeCell ref="GP24:GQ25"/>
    <mergeCell ref="GR24:GR25"/>
    <mergeCell ref="FW27:FW29"/>
    <mergeCell ref="GI27:GJ27"/>
    <mergeCell ref="GK27:GL27"/>
    <mergeCell ref="GM27:GN27"/>
    <mergeCell ref="HT25:HU25"/>
    <mergeCell ref="HV25:HW25"/>
    <mergeCell ref="HX25:HY25"/>
    <mergeCell ref="IZ28:IZ29"/>
    <mergeCell ref="JA28:JB29"/>
    <mergeCell ref="IH23:IH25"/>
    <mergeCell ref="IT23:IU23"/>
    <mergeCell ref="IV23:IW23"/>
    <mergeCell ref="IX23:IY23"/>
    <mergeCell ref="IZ23:JC23"/>
    <mergeCell ref="IZ24:IZ25"/>
    <mergeCell ref="JA24:JB25"/>
    <mergeCell ref="JC24:JC25"/>
    <mergeCell ref="GO27:GR27"/>
    <mergeCell ref="GO28:GO29"/>
    <mergeCell ref="GP28:GQ29"/>
    <mergeCell ref="GR28:GR29"/>
    <mergeCell ref="DQ15:DS17"/>
    <mergeCell ref="DQ11:DS13"/>
    <mergeCell ref="DQ19:DS21"/>
    <mergeCell ref="IH11:IH13"/>
    <mergeCell ref="IT11:IU11"/>
    <mergeCell ref="IV11:IW11"/>
    <mergeCell ref="IX11:IY11"/>
    <mergeCell ref="IZ11:JC11"/>
    <mergeCell ref="IX12:IY13"/>
    <mergeCell ref="IZ12:IZ13"/>
    <mergeCell ref="JA12:JB13"/>
    <mergeCell ref="JC12:JC13"/>
    <mergeCell ref="IH15:IH17"/>
    <mergeCell ref="IT15:IU15"/>
    <mergeCell ref="IV15:IW15"/>
    <mergeCell ref="IX15:IY15"/>
    <mergeCell ref="IZ15:JC15"/>
    <mergeCell ref="IZ16:IZ17"/>
    <mergeCell ref="FW15:FW17"/>
    <mergeCell ref="GI11:GJ11"/>
    <mergeCell ref="GK15:GL15"/>
    <mergeCell ref="GM15:GN15"/>
    <mergeCell ref="GO15:GR15"/>
    <mergeCell ref="GO16:GO17"/>
    <mergeCell ref="GP16:GQ17"/>
    <mergeCell ref="GR16:GR17"/>
    <mergeCell ref="FW11:FW13"/>
    <mergeCell ref="JC36:JC37"/>
    <mergeCell ref="IH31:IH33"/>
    <mergeCell ref="IT31:IU31"/>
    <mergeCell ref="IV31:IW31"/>
    <mergeCell ref="IX31:IY31"/>
    <mergeCell ref="IZ31:JC31"/>
    <mergeCell ref="IZ32:IZ33"/>
    <mergeCell ref="JA32:JB33"/>
    <mergeCell ref="JC32:JC33"/>
    <mergeCell ref="JA16:JB17"/>
    <mergeCell ref="JC16:JC17"/>
    <mergeCell ref="IH19:IH21"/>
    <mergeCell ref="IT19:IU19"/>
    <mergeCell ref="IV19:IW19"/>
    <mergeCell ref="IX19:IY19"/>
    <mergeCell ref="IZ19:JC19"/>
    <mergeCell ref="IZ20:IZ21"/>
    <mergeCell ref="JA20:JB21"/>
    <mergeCell ref="JC20:JC21"/>
    <mergeCell ref="IH27:IH29"/>
    <mergeCell ref="IT27:IU27"/>
    <mergeCell ref="IV27:IW27"/>
    <mergeCell ref="IX27:IY27"/>
    <mergeCell ref="IZ27:JC27"/>
    <mergeCell ref="JC28:JC29"/>
    <mergeCell ref="LP23:LP25"/>
    <mergeCell ref="MB23:MC23"/>
    <mergeCell ref="MD23:ME23"/>
    <mergeCell ref="MF23:MG23"/>
    <mergeCell ref="MH23:MK23"/>
    <mergeCell ref="MH24:MH25"/>
    <mergeCell ref="MI24:MJ25"/>
    <mergeCell ref="MK24:MK25"/>
    <mergeCell ref="IH39:IH41"/>
    <mergeCell ref="IT39:IU39"/>
    <mergeCell ref="IV39:IW39"/>
    <mergeCell ref="IX39:IY39"/>
    <mergeCell ref="IZ39:JC39"/>
    <mergeCell ref="IZ40:IZ41"/>
    <mergeCell ref="JA40:JB41"/>
    <mergeCell ref="JC40:JC41"/>
    <mergeCell ref="IH35:IH37"/>
    <mergeCell ref="IT35:IU35"/>
    <mergeCell ref="IV35:IW35"/>
    <mergeCell ref="IX35:IY35"/>
    <mergeCell ref="IZ35:JC35"/>
    <mergeCell ref="IZ36:IZ37"/>
    <mergeCell ref="JA36:JB37"/>
    <mergeCell ref="LP31:LP33"/>
    <mergeCell ref="MB31:MC31"/>
    <mergeCell ref="MD31:ME31"/>
    <mergeCell ref="MF31:MG31"/>
    <mergeCell ref="MH31:MK31"/>
    <mergeCell ref="MH32:MH33"/>
    <mergeCell ref="MI32:MJ33"/>
    <mergeCell ref="MK32:MK33"/>
    <mergeCell ref="LP27:LP29"/>
    <mergeCell ref="MB27:MC27"/>
    <mergeCell ref="MD27:ME27"/>
    <mergeCell ref="MF27:MG27"/>
    <mergeCell ref="MH27:MK27"/>
    <mergeCell ref="MH28:MH29"/>
    <mergeCell ref="MI28:MJ29"/>
    <mergeCell ref="MK28:MK29"/>
    <mergeCell ref="LP39:LP41"/>
    <mergeCell ref="MB39:MC39"/>
    <mergeCell ref="MD39:ME39"/>
    <mergeCell ref="MF39:MG39"/>
    <mergeCell ref="MH39:MK39"/>
    <mergeCell ref="MH40:MH41"/>
    <mergeCell ref="MI40:MJ41"/>
    <mergeCell ref="MK40:MK41"/>
    <mergeCell ref="LP35:LP37"/>
    <mergeCell ref="MB35:MC35"/>
    <mergeCell ref="MD35:ME35"/>
    <mergeCell ref="MF35:MG35"/>
    <mergeCell ref="MH35:MK35"/>
    <mergeCell ref="MH36:MH37"/>
    <mergeCell ref="MI36:MJ37"/>
    <mergeCell ref="MK36:MK37"/>
    <mergeCell ref="OZ15:OZ17"/>
    <mergeCell ref="PL15:PM15"/>
    <mergeCell ref="PN15:PO15"/>
    <mergeCell ref="PP15:PQ15"/>
    <mergeCell ref="PR15:PU15"/>
    <mergeCell ref="PA16:PM17"/>
    <mergeCell ref="PN16:PO17"/>
    <mergeCell ref="PP16:PQ17"/>
    <mergeCell ref="PR16:PR17"/>
    <mergeCell ref="PS16:PT17"/>
    <mergeCell ref="PU16:PU17"/>
    <mergeCell ref="PU20:PU21"/>
    <mergeCell ref="PU36:PU37"/>
    <mergeCell ref="OZ31:OZ33"/>
    <mergeCell ref="PL31:PM31"/>
    <mergeCell ref="PN31:PO31"/>
    <mergeCell ref="PP31:PQ31"/>
    <mergeCell ref="PR31:PU31"/>
    <mergeCell ref="PA32:PM33"/>
    <mergeCell ref="PN32:PO33"/>
    <mergeCell ref="PP32:PQ33"/>
    <mergeCell ref="PR32:PR33"/>
    <mergeCell ref="PS32:PT33"/>
    <mergeCell ref="PU32:PU33"/>
    <mergeCell ref="OZ27:OZ29"/>
    <mergeCell ref="PL27:PM27"/>
    <mergeCell ref="OZ11:OZ13"/>
    <mergeCell ref="PL11:PM11"/>
    <mergeCell ref="PN11:PO11"/>
    <mergeCell ref="PP11:PQ11"/>
    <mergeCell ref="PR11:PU11"/>
    <mergeCell ref="PA12:PM13"/>
    <mergeCell ref="PN12:PO13"/>
    <mergeCell ref="PP12:PQ13"/>
    <mergeCell ref="PR12:PR13"/>
    <mergeCell ref="PS12:PT13"/>
    <mergeCell ref="PU12:PU13"/>
    <mergeCell ref="OZ23:OZ25"/>
    <mergeCell ref="PL23:PM23"/>
    <mergeCell ref="PN23:PO23"/>
    <mergeCell ref="PP23:PQ23"/>
    <mergeCell ref="PR23:PU23"/>
    <mergeCell ref="PA24:PM25"/>
    <mergeCell ref="PN24:PO25"/>
    <mergeCell ref="PP24:PQ25"/>
    <mergeCell ref="PR24:PR25"/>
    <mergeCell ref="PS24:PT25"/>
    <mergeCell ref="PU24:PU25"/>
    <mergeCell ref="OZ19:OZ21"/>
    <mergeCell ref="PL19:PM19"/>
    <mergeCell ref="PN19:PO19"/>
    <mergeCell ref="PP19:PQ19"/>
    <mergeCell ref="PR19:PU19"/>
    <mergeCell ref="PA20:PM21"/>
    <mergeCell ref="PN20:PO21"/>
    <mergeCell ref="PP20:PQ21"/>
    <mergeCell ref="PR20:PR21"/>
    <mergeCell ref="PS20:PT21"/>
    <mergeCell ref="PN27:PO27"/>
    <mergeCell ref="PP27:PQ27"/>
    <mergeCell ref="PR27:PU27"/>
    <mergeCell ref="PA28:PM29"/>
    <mergeCell ref="PN28:PO29"/>
    <mergeCell ref="PP28:PQ29"/>
    <mergeCell ref="PR28:PR29"/>
    <mergeCell ref="PS28:PT29"/>
    <mergeCell ref="PU28:PU29"/>
    <mergeCell ref="RX11:RX13"/>
    <mergeCell ref="SJ11:SK11"/>
    <mergeCell ref="SL11:SM11"/>
    <mergeCell ref="SN11:SO11"/>
    <mergeCell ref="SP11:SS11"/>
    <mergeCell ref="RY12:SK13"/>
    <mergeCell ref="SL12:SM13"/>
    <mergeCell ref="SN12:SO13"/>
    <mergeCell ref="SP12:SP13"/>
    <mergeCell ref="SQ12:SR13"/>
    <mergeCell ref="SS12:SS13"/>
    <mergeCell ref="RX19:RX21"/>
    <mergeCell ref="SJ19:SK19"/>
    <mergeCell ref="SL19:SM19"/>
    <mergeCell ref="SN19:SO19"/>
    <mergeCell ref="SP19:SS19"/>
    <mergeCell ref="RY20:SK21"/>
    <mergeCell ref="SL20:SM21"/>
    <mergeCell ref="SN20:SO21"/>
    <mergeCell ref="SP20:SP21"/>
    <mergeCell ref="SQ20:SR21"/>
    <mergeCell ref="SS20:SS21"/>
    <mergeCell ref="RX15:RX17"/>
    <mergeCell ref="OZ39:OZ41"/>
    <mergeCell ref="PL39:PM39"/>
    <mergeCell ref="PN39:PO39"/>
    <mergeCell ref="PP39:PQ39"/>
    <mergeCell ref="PR39:PU39"/>
    <mergeCell ref="PA40:PM41"/>
    <mergeCell ref="PN40:PO41"/>
    <mergeCell ref="PP40:PQ41"/>
    <mergeCell ref="PR40:PR41"/>
    <mergeCell ref="PS40:PT41"/>
    <mergeCell ref="PU40:PU41"/>
    <mergeCell ref="OZ35:OZ37"/>
    <mergeCell ref="PL35:PM35"/>
    <mergeCell ref="PN35:PO35"/>
    <mergeCell ref="PP35:PQ35"/>
    <mergeCell ref="PR35:PU35"/>
    <mergeCell ref="PA36:PM37"/>
    <mergeCell ref="PN36:PO37"/>
    <mergeCell ref="PP36:PQ37"/>
    <mergeCell ref="PR36:PR37"/>
    <mergeCell ref="PS36:PT37"/>
    <mergeCell ref="SJ15:SK15"/>
    <mergeCell ref="SL15:SM15"/>
    <mergeCell ref="SN15:SO15"/>
    <mergeCell ref="SP15:SS15"/>
    <mergeCell ref="RY16:SK17"/>
    <mergeCell ref="SL16:SM17"/>
    <mergeCell ref="SN16:SO17"/>
    <mergeCell ref="SP16:SP17"/>
    <mergeCell ref="SQ16:SR17"/>
    <mergeCell ref="SS16:SS17"/>
    <mergeCell ref="SQ32:SR33"/>
    <mergeCell ref="SS32:SS33"/>
    <mergeCell ref="RX27:RX29"/>
    <mergeCell ref="SJ27:SK27"/>
    <mergeCell ref="SL27:SM27"/>
    <mergeCell ref="SN27:SO27"/>
    <mergeCell ref="SP27:SS27"/>
    <mergeCell ref="RY28:SK29"/>
    <mergeCell ref="SL28:SM29"/>
    <mergeCell ref="SN28:SO29"/>
    <mergeCell ref="SP28:SP29"/>
    <mergeCell ref="SQ28:SR29"/>
    <mergeCell ref="SS28:SS29"/>
    <mergeCell ref="RX23:RX25"/>
    <mergeCell ref="SJ23:SK23"/>
    <mergeCell ref="SL23:SM23"/>
    <mergeCell ref="SN23:SO23"/>
    <mergeCell ref="SP23:SS23"/>
    <mergeCell ref="RY24:SK25"/>
    <mergeCell ref="SL24:SM25"/>
    <mergeCell ref="SN24:SO25"/>
    <mergeCell ref="SP24:SP25"/>
    <mergeCell ref="SQ24:SR25"/>
    <mergeCell ref="SS24:SS25"/>
    <mergeCell ref="WD16:WD17"/>
    <mergeCell ref="RX39:RX41"/>
    <mergeCell ref="SJ39:SK39"/>
    <mergeCell ref="SL39:SM39"/>
    <mergeCell ref="SN39:SO39"/>
    <mergeCell ref="SP39:SS39"/>
    <mergeCell ref="RY40:SK41"/>
    <mergeCell ref="SL40:SM41"/>
    <mergeCell ref="SN40:SO41"/>
    <mergeCell ref="SP40:SP41"/>
    <mergeCell ref="SQ40:SR41"/>
    <mergeCell ref="SS40:SS41"/>
    <mergeCell ref="RX35:RX37"/>
    <mergeCell ref="SJ35:SK35"/>
    <mergeCell ref="SL35:SM35"/>
    <mergeCell ref="SN35:SO35"/>
    <mergeCell ref="SP35:SS35"/>
    <mergeCell ref="RY36:SK37"/>
    <mergeCell ref="SL36:SM37"/>
    <mergeCell ref="SN36:SO37"/>
    <mergeCell ref="SP36:SP37"/>
    <mergeCell ref="SQ36:SR37"/>
    <mergeCell ref="SS36:SS37"/>
    <mergeCell ref="RX31:RX33"/>
    <mergeCell ref="SJ31:SK31"/>
    <mergeCell ref="SL31:SM31"/>
    <mergeCell ref="SN31:SO31"/>
    <mergeCell ref="SP31:SS31"/>
    <mergeCell ref="RY32:SK33"/>
    <mergeCell ref="SL32:SM33"/>
    <mergeCell ref="SN32:SO33"/>
    <mergeCell ref="SP32:SP33"/>
    <mergeCell ref="WE16:WF17"/>
    <mergeCell ref="WG16:WG17"/>
    <mergeCell ref="VL19:VL21"/>
    <mergeCell ref="VX19:VY19"/>
    <mergeCell ref="VZ19:WA19"/>
    <mergeCell ref="WB19:WC19"/>
    <mergeCell ref="WD19:WG19"/>
    <mergeCell ref="VM20:VY21"/>
    <mergeCell ref="VZ20:WA21"/>
    <mergeCell ref="WB20:WC21"/>
    <mergeCell ref="WD20:WD21"/>
    <mergeCell ref="WE20:WF21"/>
    <mergeCell ref="WG20:WG21"/>
    <mergeCell ref="VL11:VL13"/>
    <mergeCell ref="VX11:VY11"/>
    <mergeCell ref="VZ11:WA11"/>
    <mergeCell ref="WB11:WC11"/>
    <mergeCell ref="WD11:WG11"/>
    <mergeCell ref="VM12:VY13"/>
    <mergeCell ref="VZ12:WA13"/>
    <mergeCell ref="WB12:WC13"/>
    <mergeCell ref="WD12:WD13"/>
    <mergeCell ref="WE12:WF13"/>
    <mergeCell ref="WG12:WG13"/>
    <mergeCell ref="VL15:VL17"/>
    <mergeCell ref="VX15:VY15"/>
    <mergeCell ref="VZ15:WA15"/>
    <mergeCell ref="WB15:WC15"/>
    <mergeCell ref="WD15:WG15"/>
    <mergeCell ref="VM16:VY17"/>
    <mergeCell ref="VZ16:WA17"/>
    <mergeCell ref="WB16:WC17"/>
    <mergeCell ref="WD32:WD33"/>
    <mergeCell ref="WE32:WF33"/>
    <mergeCell ref="WG32:WG33"/>
    <mergeCell ref="VL27:VL29"/>
    <mergeCell ref="VX27:VY27"/>
    <mergeCell ref="VZ27:WA27"/>
    <mergeCell ref="WB27:WC27"/>
    <mergeCell ref="WD27:WG27"/>
    <mergeCell ref="VM28:VY29"/>
    <mergeCell ref="VZ28:WA29"/>
    <mergeCell ref="WB28:WC29"/>
    <mergeCell ref="WD28:WD29"/>
    <mergeCell ref="WE28:WF29"/>
    <mergeCell ref="WG28:WG29"/>
    <mergeCell ref="VL23:VL25"/>
    <mergeCell ref="VX23:VY23"/>
    <mergeCell ref="VZ23:WA23"/>
    <mergeCell ref="WB23:WC23"/>
    <mergeCell ref="WD23:WG23"/>
    <mergeCell ref="VM24:VY25"/>
    <mergeCell ref="VZ24:WA25"/>
    <mergeCell ref="WB24:WC25"/>
    <mergeCell ref="WD24:WD25"/>
    <mergeCell ref="WE24:WF25"/>
    <mergeCell ref="WG24:WG25"/>
    <mergeCell ref="ZZ12:AAA13"/>
    <mergeCell ref="AAB12:AAB13"/>
    <mergeCell ref="VL39:VL41"/>
    <mergeCell ref="VX39:VY39"/>
    <mergeCell ref="VZ39:WA39"/>
    <mergeCell ref="WB39:WC39"/>
    <mergeCell ref="WD39:WG39"/>
    <mergeCell ref="VM40:VY41"/>
    <mergeCell ref="VZ40:WA41"/>
    <mergeCell ref="WB40:WC41"/>
    <mergeCell ref="WD40:WD41"/>
    <mergeCell ref="WE40:WF41"/>
    <mergeCell ref="WG40:WG41"/>
    <mergeCell ref="VL35:VL37"/>
    <mergeCell ref="VX35:VY35"/>
    <mergeCell ref="VZ35:WA35"/>
    <mergeCell ref="WB35:WC35"/>
    <mergeCell ref="WD35:WG35"/>
    <mergeCell ref="VM36:VY37"/>
    <mergeCell ref="VZ36:WA37"/>
    <mergeCell ref="WB36:WC37"/>
    <mergeCell ref="WD36:WD37"/>
    <mergeCell ref="WE36:WF37"/>
    <mergeCell ref="WG36:WG37"/>
    <mergeCell ref="VL31:VL33"/>
    <mergeCell ref="VX31:VY31"/>
    <mergeCell ref="VZ31:WA31"/>
    <mergeCell ref="WB31:WC31"/>
    <mergeCell ref="WD31:WG31"/>
    <mergeCell ref="VM32:VY33"/>
    <mergeCell ref="VZ32:WA33"/>
    <mergeCell ref="WB32:WC33"/>
    <mergeCell ref="ZG23:ZG25"/>
    <mergeCell ref="ZS23:ZT23"/>
    <mergeCell ref="ZU23:ZV23"/>
    <mergeCell ref="ZW23:ZX23"/>
    <mergeCell ref="ZY23:AAB23"/>
    <mergeCell ref="ZH24:ZT25"/>
    <mergeCell ref="ZU24:ZV25"/>
    <mergeCell ref="ZW24:ZX25"/>
    <mergeCell ref="ZY24:ZY25"/>
    <mergeCell ref="ZZ24:AAA25"/>
    <mergeCell ref="AAB24:AAB25"/>
    <mergeCell ref="ZG19:ZG21"/>
    <mergeCell ref="ZS19:ZT19"/>
    <mergeCell ref="ZU19:ZV19"/>
    <mergeCell ref="ZW19:ZX19"/>
    <mergeCell ref="ZY19:AAB19"/>
    <mergeCell ref="ZH20:ZT21"/>
    <mergeCell ref="ZU20:ZV21"/>
    <mergeCell ref="ZW20:ZX21"/>
    <mergeCell ref="ZY20:ZY21"/>
    <mergeCell ref="ZZ20:AAA21"/>
    <mergeCell ref="AAB20:AAB21"/>
    <mergeCell ref="ZG31:ZG33"/>
    <mergeCell ref="ZS31:ZT31"/>
    <mergeCell ref="ZU31:ZV31"/>
    <mergeCell ref="ZW31:ZX31"/>
    <mergeCell ref="ZY31:AAB31"/>
    <mergeCell ref="ZH32:ZT33"/>
    <mergeCell ref="ZU32:ZV33"/>
    <mergeCell ref="ZW32:ZX33"/>
    <mergeCell ref="ZY32:ZY33"/>
    <mergeCell ref="ZZ32:AAA33"/>
    <mergeCell ref="AAB32:AAB33"/>
    <mergeCell ref="ZG27:ZG29"/>
    <mergeCell ref="ZS27:ZT27"/>
    <mergeCell ref="ZU27:ZV27"/>
    <mergeCell ref="ZW27:ZX27"/>
    <mergeCell ref="ZY27:AAB27"/>
    <mergeCell ref="ZH28:ZT29"/>
    <mergeCell ref="ZU28:ZV29"/>
    <mergeCell ref="ZW28:ZX29"/>
    <mergeCell ref="ZY28:ZY29"/>
    <mergeCell ref="ZZ28:AAA29"/>
    <mergeCell ref="AAB28:AAB29"/>
    <mergeCell ref="ZG39:ZG41"/>
    <mergeCell ref="ZS39:ZT39"/>
    <mergeCell ref="ZU39:ZV39"/>
    <mergeCell ref="ZW39:ZX39"/>
    <mergeCell ref="ZY39:AAB39"/>
    <mergeCell ref="ZH40:ZT41"/>
    <mergeCell ref="ZU40:ZV41"/>
    <mergeCell ref="ZW40:ZX41"/>
    <mergeCell ref="ZY40:ZY41"/>
    <mergeCell ref="ZZ40:AAA41"/>
    <mergeCell ref="AAB40:AAB41"/>
    <mergeCell ref="ZG35:ZG37"/>
    <mergeCell ref="ZS35:ZT35"/>
    <mergeCell ref="ZU35:ZV35"/>
    <mergeCell ref="ZW35:ZX35"/>
    <mergeCell ref="ZY35:AAB35"/>
    <mergeCell ref="ZH36:ZT37"/>
    <mergeCell ref="ZU36:ZV37"/>
    <mergeCell ref="ZW36:ZX37"/>
    <mergeCell ref="ZY36:ZY37"/>
    <mergeCell ref="ZZ36:AAA37"/>
    <mergeCell ref="AAB36:AAB37"/>
    <mergeCell ref="ACF15:ACF17"/>
    <mergeCell ref="ACR15:ACS15"/>
    <mergeCell ref="ACT15:ACU15"/>
    <mergeCell ref="ACV15:ACW15"/>
    <mergeCell ref="ACX15:ADA15"/>
    <mergeCell ref="ACG16:ACS17"/>
    <mergeCell ref="ACT16:ACU17"/>
    <mergeCell ref="ACV16:ACW17"/>
    <mergeCell ref="ACX16:ACX17"/>
    <mergeCell ref="ACY16:ACZ17"/>
    <mergeCell ref="ADA16:ADA17"/>
    <mergeCell ref="ACF11:ACF13"/>
    <mergeCell ref="ACR11:ACS11"/>
    <mergeCell ref="ACT11:ACU11"/>
    <mergeCell ref="ACV11:ACW11"/>
    <mergeCell ref="ACX11:ADA11"/>
    <mergeCell ref="ACG12:ACS13"/>
    <mergeCell ref="ACT12:ACU13"/>
    <mergeCell ref="ACV12:ACW13"/>
    <mergeCell ref="ACX12:ACX13"/>
    <mergeCell ref="ACY12:ACZ13"/>
    <mergeCell ref="ADA12:ADA13"/>
    <mergeCell ref="ACF23:ACF25"/>
    <mergeCell ref="ACR23:ACS23"/>
    <mergeCell ref="ACT23:ACU23"/>
    <mergeCell ref="ACV23:ACW23"/>
    <mergeCell ref="ACX23:ADA23"/>
    <mergeCell ref="ACG24:ACS25"/>
    <mergeCell ref="ACT24:ACU25"/>
    <mergeCell ref="ACV24:ACW25"/>
    <mergeCell ref="ACX24:ACX25"/>
    <mergeCell ref="ACY24:ACZ25"/>
    <mergeCell ref="ADA24:ADA25"/>
    <mergeCell ref="ACF19:ACF21"/>
    <mergeCell ref="ACR19:ACS19"/>
    <mergeCell ref="ACT19:ACU19"/>
    <mergeCell ref="ACV19:ACW19"/>
    <mergeCell ref="ACX19:ADA19"/>
    <mergeCell ref="ACG20:ACS21"/>
    <mergeCell ref="ACT20:ACU21"/>
    <mergeCell ref="ACV20:ACW21"/>
    <mergeCell ref="ACX20:ACX21"/>
    <mergeCell ref="ACY20:ACZ21"/>
    <mergeCell ref="ADA20:ADA21"/>
    <mergeCell ref="ACF31:ACF33"/>
    <mergeCell ref="ACR31:ACS31"/>
    <mergeCell ref="ACT31:ACU31"/>
    <mergeCell ref="ACV31:ACW31"/>
    <mergeCell ref="ACX31:ADA31"/>
    <mergeCell ref="ACG32:ACS33"/>
    <mergeCell ref="ACT32:ACU33"/>
    <mergeCell ref="ACV32:ACW33"/>
    <mergeCell ref="ACX32:ACX33"/>
    <mergeCell ref="ACY32:ACZ33"/>
    <mergeCell ref="ADA32:ADA33"/>
    <mergeCell ref="ACF27:ACF29"/>
    <mergeCell ref="ACR27:ACS27"/>
    <mergeCell ref="ACT27:ACU27"/>
    <mergeCell ref="ACV27:ACW27"/>
    <mergeCell ref="ACX27:ADA27"/>
    <mergeCell ref="ACG28:ACS29"/>
    <mergeCell ref="ACT28:ACU29"/>
    <mergeCell ref="ACV28:ACW29"/>
    <mergeCell ref="ACX28:ACX29"/>
    <mergeCell ref="ACY28:ACZ29"/>
    <mergeCell ref="ADA28:ADA29"/>
    <mergeCell ref="ACF39:ACF41"/>
    <mergeCell ref="ACR39:ACS39"/>
    <mergeCell ref="ACT39:ACU39"/>
    <mergeCell ref="ACV39:ACW39"/>
    <mergeCell ref="ACX39:ADA39"/>
    <mergeCell ref="ACG40:ACS41"/>
    <mergeCell ref="ACT40:ACU41"/>
    <mergeCell ref="ACV40:ACW41"/>
    <mergeCell ref="ACX40:ACX41"/>
    <mergeCell ref="ACY40:ACZ41"/>
    <mergeCell ref="ADA40:ADA41"/>
    <mergeCell ref="ACF35:ACF37"/>
    <mergeCell ref="ACR35:ACS35"/>
    <mergeCell ref="ACT35:ACU35"/>
    <mergeCell ref="ACV35:ACW35"/>
    <mergeCell ref="ACX35:ADA35"/>
    <mergeCell ref="ACG36:ACS37"/>
    <mergeCell ref="ACT36:ACU37"/>
    <mergeCell ref="ACV36:ACW37"/>
    <mergeCell ref="ACX36:ACX37"/>
    <mergeCell ref="ACY36:ACZ37"/>
    <mergeCell ref="ADA36:ADA37"/>
    <mergeCell ref="VB3:VH3"/>
    <mergeCell ref="VB4:VH4"/>
    <mergeCell ref="VB5:VH5"/>
    <mergeCell ref="VB6:VH6"/>
    <mergeCell ref="YT3:YZ3"/>
    <mergeCell ref="YT4:YZ4"/>
    <mergeCell ref="YT5:YZ5"/>
    <mergeCell ref="YT6:YZ6"/>
    <mergeCell ref="ABO3:ABU3"/>
    <mergeCell ref="ABO4:ABU4"/>
    <mergeCell ref="ABO5:ABU5"/>
    <mergeCell ref="ABO6:ABU6"/>
    <mergeCell ref="ZG15:ZG17"/>
    <mergeCell ref="ZS15:ZT15"/>
    <mergeCell ref="ZU15:ZV15"/>
    <mergeCell ref="ZW15:ZX15"/>
    <mergeCell ref="ZY15:AAB15"/>
    <mergeCell ref="ZH16:ZT17"/>
    <mergeCell ref="ZU16:ZV17"/>
    <mergeCell ref="ZW16:ZX17"/>
    <mergeCell ref="ZY16:ZY17"/>
    <mergeCell ref="ZZ16:AAA17"/>
    <mergeCell ref="AAB16:AAB17"/>
    <mergeCell ref="ZG11:ZG13"/>
    <mergeCell ref="ZS11:ZT11"/>
    <mergeCell ref="ZU11:ZV11"/>
    <mergeCell ref="ZW11:ZX11"/>
    <mergeCell ref="ZY11:AAB11"/>
    <mergeCell ref="ZH12:ZT13"/>
    <mergeCell ref="ZU12:ZV13"/>
    <mergeCell ref="ZW12:ZX13"/>
    <mergeCell ref="ZY12:ZY13"/>
    <mergeCell ref="FW63:FW65"/>
    <mergeCell ref="GI63:GJ63"/>
    <mergeCell ref="GK63:GL63"/>
    <mergeCell ref="GM63:GN63"/>
    <mergeCell ref="GI71:GJ71"/>
    <mergeCell ref="GK71:GL71"/>
    <mergeCell ref="FX48:GJ49"/>
    <mergeCell ref="GK48:GL49"/>
    <mergeCell ref="GM48:GN49"/>
    <mergeCell ref="GK60:GL61"/>
    <mergeCell ref="FW67:FW69"/>
    <mergeCell ref="GI67:GJ67"/>
    <mergeCell ref="GK67:GL67"/>
    <mergeCell ref="GM67:GN67"/>
    <mergeCell ref="GM71:GN71"/>
    <mergeCell ref="FX12:GJ13"/>
    <mergeCell ref="GK12:GL13"/>
    <mergeCell ref="GM12:GN13"/>
    <mergeCell ref="FX16:GJ17"/>
    <mergeCell ref="GK16:GL17"/>
    <mergeCell ref="GM16:GN17"/>
    <mergeCell ref="FW31:FW33"/>
    <mergeCell ref="GI31:GJ31"/>
    <mergeCell ref="GK31:GL31"/>
    <mergeCell ref="GM31:GN31"/>
    <mergeCell ref="FX32:GJ33"/>
    <mergeCell ref="GK32:GL33"/>
    <mergeCell ref="GM32:GN33"/>
    <mergeCell ref="FX36:GJ37"/>
    <mergeCell ref="GK36:GL37"/>
    <mergeCell ref="GM36:GN37"/>
    <mergeCell ref="GI15:GJ15"/>
    <mergeCell ref="FX20:GJ21"/>
    <mergeCell ref="GK20:GL21"/>
    <mergeCell ref="GM20:GN21"/>
    <mergeCell ref="FX24:GJ25"/>
    <mergeCell ref="GK24:GL25"/>
    <mergeCell ref="GM24:GN25"/>
    <mergeCell ref="FX28:GJ29"/>
    <mergeCell ref="GK28:GL29"/>
    <mergeCell ref="GM28:GN29"/>
    <mergeCell ref="GM84:GN85"/>
    <mergeCell ref="FX64:GJ65"/>
    <mergeCell ref="GK64:GL65"/>
    <mergeCell ref="GM64:GN65"/>
    <mergeCell ref="FX68:GJ69"/>
    <mergeCell ref="GK68:GL69"/>
    <mergeCell ref="GM68:GN69"/>
    <mergeCell ref="FX72:GJ73"/>
    <mergeCell ref="GK72:GL73"/>
    <mergeCell ref="GM72:GN73"/>
    <mergeCell ref="FX52:GJ53"/>
    <mergeCell ref="GK52:GL53"/>
    <mergeCell ref="GM52:GN53"/>
    <mergeCell ref="FX56:GJ57"/>
    <mergeCell ref="GK56:GL57"/>
    <mergeCell ref="GM56:GN57"/>
    <mergeCell ref="FX60:GJ61"/>
    <mergeCell ref="GM55:GN55"/>
    <mergeCell ref="FX132:GJ133"/>
    <mergeCell ref="GK132:GL133"/>
    <mergeCell ref="GM132:GN133"/>
    <mergeCell ref="FX112:GJ113"/>
    <mergeCell ref="GK112:GL113"/>
    <mergeCell ref="GM112:GN113"/>
    <mergeCell ref="FX116:GJ117"/>
    <mergeCell ref="GK116:GL117"/>
    <mergeCell ref="GM116:GN117"/>
    <mergeCell ref="FX120:GJ121"/>
    <mergeCell ref="GK120:GL121"/>
    <mergeCell ref="FX100:GJ101"/>
    <mergeCell ref="GK100:GL101"/>
    <mergeCell ref="GM100:GN101"/>
    <mergeCell ref="FX104:GJ105"/>
    <mergeCell ref="GK104:GL105"/>
    <mergeCell ref="FX108:GJ109"/>
    <mergeCell ref="GK108:GL109"/>
    <mergeCell ref="GK115:GL115"/>
    <mergeCell ref="GM115:GN115"/>
    <mergeCell ref="FX124:GJ125"/>
    <mergeCell ref="GK124:GL125"/>
    <mergeCell ref="GM124:GN125"/>
    <mergeCell ref="FX128:GJ129"/>
    <mergeCell ref="GK128:GL129"/>
    <mergeCell ref="GM128:GN129"/>
    <mergeCell ref="FX92:GJ93"/>
    <mergeCell ref="GK92:GL93"/>
    <mergeCell ref="GM92:GN93"/>
    <mergeCell ref="FX96:GJ97"/>
    <mergeCell ref="GK96:GL97"/>
    <mergeCell ref="GM96:GN97"/>
    <mergeCell ref="FX76:GJ77"/>
    <mergeCell ref="GK76:GL77"/>
    <mergeCell ref="GM76:GN77"/>
    <mergeCell ref="FX80:GJ81"/>
    <mergeCell ref="GK80:GL81"/>
    <mergeCell ref="GO55:GR55"/>
    <mergeCell ref="GO56:GO57"/>
    <mergeCell ref="GP56:GQ57"/>
    <mergeCell ref="GR56:GR57"/>
    <mergeCell ref="GO71:GR71"/>
    <mergeCell ref="GO72:GO73"/>
    <mergeCell ref="GP72:GQ73"/>
    <mergeCell ref="GR72:GR73"/>
    <mergeCell ref="GI75:GJ75"/>
    <mergeCell ref="GK75:GL75"/>
    <mergeCell ref="GM75:GN75"/>
    <mergeCell ref="GO75:GR75"/>
    <mergeCell ref="GO76:GO77"/>
    <mergeCell ref="GR76:GR77"/>
    <mergeCell ref="GM80:GN81"/>
    <mergeCell ref="FX84:GJ85"/>
    <mergeCell ref="GK84:GL85"/>
    <mergeCell ref="GP76:GQ77"/>
    <mergeCell ref="FW59:FW61"/>
    <mergeCell ref="GI59:GJ59"/>
    <mergeCell ref="GK59:GL59"/>
    <mergeCell ref="GM59:GN59"/>
    <mergeCell ref="GO59:GR59"/>
    <mergeCell ref="GM60:GN61"/>
    <mergeCell ref="GO60:GO61"/>
    <mergeCell ref="GP60:GQ61"/>
    <mergeCell ref="GR60:GR61"/>
    <mergeCell ref="GO47:GR47"/>
    <mergeCell ref="GO48:GO49"/>
    <mergeCell ref="GP48:GQ49"/>
    <mergeCell ref="GR48:GR49"/>
    <mergeCell ref="FW51:FW53"/>
    <mergeCell ref="GI51:GJ51"/>
    <mergeCell ref="GK51:GL51"/>
    <mergeCell ref="GM51:GN51"/>
    <mergeCell ref="GO51:GR51"/>
    <mergeCell ref="GO52:GO53"/>
    <mergeCell ref="GP52:GQ53"/>
    <mergeCell ref="GR52:GR53"/>
    <mergeCell ref="FW47:FW49"/>
    <mergeCell ref="GI47:GJ47"/>
    <mergeCell ref="GK47:GL47"/>
    <mergeCell ref="GM47:GN47"/>
    <mergeCell ref="FW55:FW57"/>
    <mergeCell ref="GI55:GJ55"/>
    <mergeCell ref="GK55:GL55"/>
    <mergeCell ref="GI87:GJ87"/>
    <mergeCell ref="GK87:GL87"/>
    <mergeCell ref="GM87:GN87"/>
    <mergeCell ref="GO87:GR87"/>
    <mergeCell ref="GO88:GO89"/>
    <mergeCell ref="GP88:GQ89"/>
    <mergeCell ref="GR88:GR89"/>
    <mergeCell ref="GI83:GJ83"/>
    <mergeCell ref="GK83:GL83"/>
    <mergeCell ref="GM83:GN83"/>
    <mergeCell ref="GO83:GR83"/>
    <mergeCell ref="GO84:GO85"/>
    <mergeCell ref="GP84:GQ85"/>
    <mergeCell ref="GR84:GR85"/>
    <mergeCell ref="GI79:GJ79"/>
    <mergeCell ref="GK79:GL79"/>
    <mergeCell ref="GM79:GN79"/>
    <mergeCell ref="GO79:GR79"/>
    <mergeCell ref="GO80:GO81"/>
    <mergeCell ref="GP80:GQ81"/>
    <mergeCell ref="GR80:GR81"/>
    <mergeCell ref="FX88:GJ89"/>
    <mergeCell ref="GK88:GL89"/>
    <mergeCell ref="GM88:GN89"/>
    <mergeCell ref="FW103:FW105"/>
    <mergeCell ref="GI103:GJ103"/>
    <mergeCell ref="GK103:GL103"/>
    <mergeCell ref="GP103:GS103"/>
    <mergeCell ref="GP104:GP105"/>
    <mergeCell ref="GQ104:GR105"/>
    <mergeCell ref="GS104:GS105"/>
    <mergeCell ref="GM103:GO103"/>
    <mergeCell ref="GM104:GO105"/>
    <mergeCell ref="FW99:FW101"/>
    <mergeCell ref="GI99:GJ99"/>
    <mergeCell ref="GK99:GL99"/>
    <mergeCell ref="GM99:GN99"/>
    <mergeCell ref="GO99:GR99"/>
    <mergeCell ref="GO100:GO101"/>
    <mergeCell ref="GP100:GQ101"/>
    <mergeCell ref="GR100:GR101"/>
    <mergeCell ref="GO115:GR115"/>
    <mergeCell ref="GO116:GO117"/>
    <mergeCell ref="GP116:GQ117"/>
    <mergeCell ref="GR116:GR117"/>
    <mergeCell ref="GM119:GO119"/>
    <mergeCell ref="GM120:GO121"/>
    <mergeCell ref="FW111:FW113"/>
    <mergeCell ref="GI111:GJ111"/>
    <mergeCell ref="GK111:GL111"/>
    <mergeCell ref="GM111:GN111"/>
    <mergeCell ref="GO111:GR111"/>
    <mergeCell ref="GO112:GO113"/>
    <mergeCell ref="GP112:GQ113"/>
    <mergeCell ref="GR112:GR113"/>
    <mergeCell ref="FW107:FW109"/>
    <mergeCell ref="GI107:GJ107"/>
    <mergeCell ref="GK107:GL107"/>
    <mergeCell ref="GM107:GN107"/>
    <mergeCell ref="GO107:GR107"/>
    <mergeCell ref="GM108:GN109"/>
    <mergeCell ref="GO108:GO109"/>
    <mergeCell ref="GP108:GQ109"/>
    <mergeCell ref="GR108:GR109"/>
    <mergeCell ref="IZ43:JC43"/>
    <mergeCell ref="IZ44:IZ45"/>
    <mergeCell ref="JA44:JB45"/>
    <mergeCell ref="JC44:JC45"/>
    <mergeCell ref="GI131:GJ131"/>
    <mergeCell ref="GK131:GL131"/>
    <mergeCell ref="GM131:GN131"/>
    <mergeCell ref="GO131:GR131"/>
    <mergeCell ref="GO132:GO133"/>
    <mergeCell ref="GP132:GQ133"/>
    <mergeCell ref="GR132:GR133"/>
    <mergeCell ref="GI127:GJ127"/>
    <mergeCell ref="GK127:GL127"/>
    <mergeCell ref="GM127:GN127"/>
    <mergeCell ref="GO127:GR127"/>
    <mergeCell ref="GO128:GO129"/>
    <mergeCell ref="GP128:GQ129"/>
    <mergeCell ref="GR128:GR129"/>
    <mergeCell ref="GI123:GJ123"/>
    <mergeCell ref="GK123:GL123"/>
    <mergeCell ref="GM123:GN123"/>
    <mergeCell ref="GO123:GR123"/>
    <mergeCell ref="GO124:GO125"/>
    <mergeCell ref="GP124:GQ125"/>
    <mergeCell ref="GR124:GR125"/>
    <mergeCell ref="IH51:IH53"/>
    <mergeCell ref="IT51:IU51"/>
    <mergeCell ref="IV51:IW51"/>
    <mergeCell ref="IX51:IY51"/>
    <mergeCell ref="IZ51:JC51"/>
    <mergeCell ref="IZ52:IZ53"/>
    <mergeCell ref="JA52:JB53"/>
    <mergeCell ref="JC52:JC53"/>
    <mergeCell ref="IH47:IH49"/>
    <mergeCell ref="IT47:IU47"/>
    <mergeCell ref="IV47:IW47"/>
    <mergeCell ref="IX47:IY47"/>
    <mergeCell ref="IZ47:JC47"/>
    <mergeCell ref="IZ48:IZ49"/>
    <mergeCell ref="JA48:JB49"/>
    <mergeCell ref="JC48:JC49"/>
    <mergeCell ref="GS35:GW35"/>
    <mergeCell ref="GS36:GW37"/>
    <mergeCell ref="GS31:GU31"/>
    <mergeCell ref="GS32:GU33"/>
    <mergeCell ref="GS27:GV27"/>
    <mergeCell ref="GS79:GY79"/>
    <mergeCell ref="GS80:GY81"/>
    <mergeCell ref="DQ60:DQ61"/>
    <mergeCell ref="DQ56:DQ57"/>
    <mergeCell ref="DQ52:DQ53"/>
    <mergeCell ref="IH67:IH69"/>
    <mergeCell ref="IT67:IU67"/>
    <mergeCell ref="IV67:IW67"/>
    <mergeCell ref="IX67:IY67"/>
    <mergeCell ref="IZ67:JC67"/>
    <mergeCell ref="IZ68:IZ69"/>
    <mergeCell ref="JA68:JB69"/>
    <mergeCell ref="JC68:JC69"/>
    <mergeCell ref="IH71:IH73"/>
    <mergeCell ref="IT71:IU71"/>
    <mergeCell ref="IV71:IW71"/>
    <mergeCell ref="IX71:IY71"/>
    <mergeCell ref="IZ71:JC71"/>
    <mergeCell ref="HQ7:HS8"/>
    <mergeCell ref="HL6:HO6"/>
    <mergeCell ref="HL7:HO8"/>
    <mergeCell ref="GS96:GY97"/>
    <mergeCell ref="GS95:GY95"/>
    <mergeCell ref="GY6:HD6"/>
    <mergeCell ref="GY7:HD8"/>
    <mergeCell ref="GS55:GU55"/>
    <mergeCell ref="GS56:GU57"/>
    <mergeCell ref="GI95:GJ95"/>
    <mergeCell ref="GK95:GL95"/>
    <mergeCell ref="GM95:GN95"/>
    <mergeCell ref="GO95:GR95"/>
    <mergeCell ref="GO96:GO97"/>
    <mergeCell ref="GP96:GQ97"/>
    <mergeCell ref="GR96:GR97"/>
    <mergeCell ref="GI91:GJ91"/>
    <mergeCell ref="GK91:GL91"/>
    <mergeCell ref="GM91:GN91"/>
    <mergeCell ref="GO91:GR91"/>
    <mergeCell ref="GO92:GO93"/>
    <mergeCell ref="HF7:HJ8"/>
    <mergeCell ref="GO63:GR63"/>
    <mergeCell ref="GO64:GO65"/>
    <mergeCell ref="GP64:GQ65"/>
    <mergeCell ref="GR64:GR65"/>
    <mergeCell ref="GO67:GR67"/>
    <mergeCell ref="GO68:GO69"/>
    <mergeCell ref="GP68:GQ69"/>
    <mergeCell ref="GR68:GR69"/>
    <mergeCell ref="GP92:GQ93"/>
    <mergeCell ref="GR92:GR93"/>
    <mergeCell ref="GS107:GU107"/>
    <mergeCell ref="GS108:GU109"/>
    <mergeCell ref="GS111:GU111"/>
    <mergeCell ref="GS112:GU113"/>
    <mergeCell ref="FW76:FW77"/>
    <mergeCell ref="FW80:FW81"/>
    <mergeCell ref="FW88:FW89"/>
    <mergeCell ref="FW92:FW93"/>
    <mergeCell ref="FW96:FW97"/>
    <mergeCell ref="FW132:FW133"/>
    <mergeCell ref="DQ88:DQ89"/>
    <mergeCell ref="DQ84:DQ85"/>
    <mergeCell ref="DQ80:DQ81"/>
    <mergeCell ref="DQ76:DQ77"/>
    <mergeCell ref="DQ72:DQ73"/>
    <mergeCell ref="DQ68:DQ69"/>
    <mergeCell ref="FW72:FW73"/>
    <mergeCell ref="GS99:GY99"/>
    <mergeCell ref="GS100:GY101"/>
    <mergeCell ref="GT103:GV103"/>
    <mergeCell ref="GT104:GV105"/>
    <mergeCell ref="FW127:FW129"/>
    <mergeCell ref="FW123:FW125"/>
    <mergeCell ref="FW119:FW121"/>
    <mergeCell ref="GI119:GJ119"/>
    <mergeCell ref="GK119:GL119"/>
    <mergeCell ref="GP119:GS119"/>
    <mergeCell ref="GP120:GP121"/>
    <mergeCell ref="GQ120:GR121"/>
    <mergeCell ref="GS120:GS121"/>
    <mergeCell ref="FW115:FW117"/>
    <mergeCell ref="GI115:GJ115"/>
    <mergeCell ref="JI7:JN8"/>
    <mergeCell ref="JP7:JT8"/>
    <mergeCell ref="JV7:JY8"/>
    <mergeCell ref="KA7:KC8"/>
    <mergeCell ref="MU6:MZ6"/>
    <mergeCell ref="NB6:NF6"/>
    <mergeCell ref="NH6:NK6"/>
    <mergeCell ref="NM6:NO6"/>
    <mergeCell ref="MU7:MZ8"/>
    <mergeCell ref="NB7:NF8"/>
    <mergeCell ref="NH7:NK8"/>
    <mergeCell ref="NM7:NO8"/>
    <mergeCell ref="QD7:QI8"/>
    <mergeCell ref="QK7:QO8"/>
    <mergeCell ref="QQ7:QT8"/>
    <mergeCell ref="QV7:QX8"/>
    <mergeCell ref="TA6:TF6"/>
    <mergeCell ref="TH6:TL6"/>
    <mergeCell ref="TN6:TQ6"/>
    <mergeCell ref="TS6:TU6"/>
    <mergeCell ref="TA7:TF8"/>
    <mergeCell ref="TH7:TL8"/>
    <mergeCell ref="TN7:TQ8"/>
    <mergeCell ref="TS7:TU8"/>
    <mergeCell ref="WT6:WY6"/>
    <mergeCell ref="XA6:XE6"/>
    <mergeCell ref="XG6:XJ6"/>
    <mergeCell ref="XL6:XN6"/>
    <mergeCell ref="WT7:WY8"/>
    <mergeCell ref="XA7:XE8"/>
    <mergeCell ref="XG7:XJ8"/>
    <mergeCell ref="XL7:XN8"/>
    <mergeCell ref="AAI6:AAN6"/>
    <mergeCell ref="AAP6:AAT6"/>
    <mergeCell ref="AAV6:AAY6"/>
    <mergeCell ref="ABA6:ABC6"/>
    <mergeCell ref="AAI7:AAN8"/>
    <mergeCell ref="AAP7:AAT8"/>
    <mergeCell ref="AAV7:AAY8"/>
    <mergeCell ref="ABA7:ABC8"/>
    <mergeCell ref="GS115:GV115"/>
    <mergeCell ref="GS116:GV117"/>
    <mergeCell ref="IH55:IH57"/>
    <mergeCell ref="IT55:IU55"/>
    <mergeCell ref="IV55:IW55"/>
    <mergeCell ref="IX55:IY55"/>
    <mergeCell ref="IZ55:JC55"/>
    <mergeCell ref="IZ56:IZ57"/>
    <mergeCell ref="JA56:JB57"/>
    <mergeCell ref="JC56:JC57"/>
    <mergeCell ref="IH59:IH61"/>
    <mergeCell ref="IT59:IU59"/>
    <mergeCell ref="IV59:IW59"/>
    <mergeCell ref="IX59:IY59"/>
    <mergeCell ref="IZ59:JC59"/>
    <mergeCell ref="IZ60:IZ61"/>
    <mergeCell ref="JA60:JB61"/>
    <mergeCell ref="JC60:JC61"/>
    <mergeCell ref="IH63:IH65"/>
    <mergeCell ref="IT63:IU63"/>
    <mergeCell ref="IV63:IW63"/>
    <mergeCell ref="IX63:IY63"/>
    <mergeCell ref="IZ63:JC63"/>
    <mergeCell ref="IZ64:IZ65"/>
    <mergeCell ref="JA64:JB65"/>
    <mergeCell ref="JC64:JC65"/>
    <mergeCell ref="IZ72:IZ73"/>
    <mergeCell ref="JA72:JB73"/>
    <mergeCell ref="JC72:JC73"/>
    <mergeCell ref="IH75:IH77"/>
    <mergeCell ref="IT75:IU75"/>
    <mergeCell ref="IV75:IW75"/>
    <mergeCell ref="IX75:IY75"/>
    <mergeCell ref="IZ75:JC75"/>
    <mergeCell ref="IZ76:IZ77"/>
    <mergeCell ref="JA76:JB77"/>
    <mergeCell ref="JC76:JC77"/>
    <mergeCell ref="IH79:IH81"/>
    <mergeCell ref="IT79:IU79"/>
    <mergeCell ref="IV79:IW79"/>
    <mergeCell ref="IX79:IY79"/>
    <mergeCell ref="IZ79:JC79"/>
    <mergeCell ref="IZ80:IZ81"/>
    <mergeCell ref="JA80:JB81"/>
    <mergeCell ref="JC80:JC81"/>
    <mergeCell ref="IZ83:JC83"/>
    <mergeCell ref="IZ84:IZ85"/>
    <mergeCell ref="JA84:JB85"/>
    <mergeCell ref="JC84:JC85"/>
    <mergeCell ref="LP43:LP45"/>
    <mergeCell ref="MB43:MC43"/>
    <mergeCell ref="MD43:ME43"/>
    <mergeCell ref="MF43:MG43"/>
    <mergeCell ref="MH43:MK43"/>
    <mergeCell ref="MH44:MH45"/>
    <mergeCell ref="MI44:MJ45"/>
    <mergeCell ref="MK44:MK45"/>
    <mergeCell ref="LP47:LP49"/>
    <mergeCell ref="MB47:MC47"/>
    <mergeCell ref="MD47:ME47"/>
    <mergeCell ref="MF47:MG47"/>
    <mergeCell ref="MH47:MK47"/>
    <mergeCell ref="MH48:MH49"/>
    <mergeCell ref="MI48:MJ49"/>
    <mergeCell ref="MK48:MK49"/>
    <mergeCell ref="LP51:LP53"/>
    <mergeCell ref="MB51:MC51"/>
    <mergeCell ref="MD51:ME51"/>
    <mergeCell ref="MF51:MG51"/>
    <mergeCell ref="MH51:MK51"/>
    <mergeCell ref="MH52:MH53"/>
    <mergeCell ref="MI52:MJ53"/>
    <mergeCell ref="MK52:MK53"/>
    <mergeCell ref="LP55:LP57"/>
    <mergeCell ref="MB55:MC55"/>
    <mergeCell ref="MD55:ME55"/>
    <mergeCell ref="MF55:MG55"/>
    <mergeCell ref="MH55:MK55"/>
    <mergeCell ref="MH56:MH57"/>
    <mergeCell ref="MI56:MJ57"/>
    <mergeCell ref="MK56:MK57"/>
    <mergeCell ref="LP59:LP61"/>
    <mergeCell ref="MB59:MC59"/>
    <mergeCell ref="MD59:ME59"/>
    <mergeCell ref="MF59:MG59"/>
    <mergeCell ref="MH59:MK59"/>
    <mergeCell ref="MH60:MH61"/>
    <mergeCell ref="MI60:MJ61"/>
    <mergeCell ref="MK60:MK61"/>
    <mergeCell ref="LP63:LP65"/>
    <mergeCell ref="MB63:MC63"/>
    <mergeCell ref="MD63:ME63"/>
    <mergeCell ref="MF63:MG63"/>
    <mergeCell ref="MH63:MK63"/>
    <mergeCell ref="MH64:MH65"/>
    <mergeCell ref="MI64:MJ65"/>
    <mergeCell ref="MK64:MK65"/>
    <mergeCell ref="LP67:LP69"/>
    <mergeCell ref="MB67:MC67"/>
    <mergeCell ref="MD67:ME67"/>
    <mergeCell ref="MF67:MG67"/>
    <mergeCell ref="MH67:MK67"/>
    <mergeCell ref="MH68:MH69"/>
    <mergeCell ref="MI68:MJ69"/>
    <mergeCell ref="MK68:MK69"/>
    <mergeCell ref="LP71:LP73"/>
    <mergeCell ref="MB71:MC71"/>
    <mergeCell ref="MD71:ME71"/>
    <mergeCell ref="MF71:MG71"/>
    <mergeCell ref="MH71:MK71"/>
    <mergeCell ref="MH72:MH73"/>
    <mergeCell ref="MI72:MJ73"/>
    <mergeCell ref="MK72:MK73"/>
    <mergeCell ref="LP75:LP77"/>
    <mergeCell ref="MB75:MC75"/>
    <mergeCell ref="MD75:ME75"/>
    <mergeCell ref="MF75:MG75"/>
    <mergeCell ref="MH75:MK75"/>
    <mergeCell ref="MH76:MH77"/>
    <mergeCell ref="MI76:MJ77"/>
    <mergeCell ref="MK76:MK77"/>
    <mergeCell ref="LP79:LP81"/>
    <mergeCell ref="MB79:MC79"/>
    <mergeCell ref="MD79:ME79"/>
    <mergeCell ref="MF79:MG79"/>
    <mergeCell ref="MH79:MK79"/>
    <mergeCell ref="MH80:MH81"/>
    <mergeCell ref="MI80:MJ81"/>
    <mergeCell ref="MK80:MK81"/>
    <mergeCell ref="LP83:LP85"/>
    <mergeCell ref="MB83:MC83"/>
    <mergeCell ref="MD83:ME83"/>
    <mergeCell ref="MF83:MG83"/>
    <mergeCell ref="MH83:MK83"/>
    <mergeCell ref="MH84:MH85"/>
    <mergeCell ref="MI84:MJ85"/>
    <mergeCell ref="MK84:MK85"/>
    <mergeCell ref="LP87:LP89"/>
    <mergeCell ref="MB87:MC87"/>
    <mergeCell ref="MD87:ME87"/>
    <mergeCell ref="MF87:MG87"/>
    <mergeCell ref="MH87:MK87"/>
    <mergeCell ref="MH88:MH89"/>
    <mergeCell ref="MI88:MJ89"/>
    <mergeCell ref="MK88:MK89"/>
    <mergeCell ref="LP91:LP93"/>
    <mergeCell ref="MB91:MC91"/>
    <mergeCell ref="MD91:ME91"/>
    <mergeCell ref="MF91:MG91"/>
    <mergeCell ref="MH91:MK91"/>
    <mergeCell ref="MH92:MH93"/>
    <mergeCell ref="MI92:MJ93"/>
    <mergeCell ref="MK92:MK93"/>
    <mergeCell ref="LP95:LP97"/>
    <mergeCell ref="MB95:MC95"/>
    <mergeCell ref="MD95:ME95"/>
    <mergeCell ref="MF95:MG95"/>
    <mergeCell ref="MH95:MK95"/>
    <mergeCell ref="MH96:MH97"/>
    <mergeCell ref="MI96:MJ97"/>
    <mergeCell ref="MK96:MK97"/>
    <mergeCell ref="LP99:LP101"/>
    <mergeCell ref="MB99:MC99"/>
    <mergeCell ref="MD99:ME99"/>
    <mergeCell ref="MF99:MG99"/>
    <mergeCell ref="MH99:MK99"/>
    <mergeCell ref="MH100:MH101"/>
    <mergeCell ref="MI100:MJ101"/>
    <mergeCell ref="MK100:MK101"/>
    <mergeCell ref="LP103:LP105"/>
    <mergeCell ref="MB103:MC103"/>
    <mergeCell ref="MD103:ME103"/>
    <mergeCell ref="MF103:MG103"/>
    <mergeCell ref="MH103:MK103"/>
    <mergeCell ref="MH104:MH105"/>
    <mergeCell ref="MI104:MJ105"/>
    <mergeCell ref="MK104:MK105"/>
    <mergeCell ref="IH87:IH89"/>
    <mergeCell ref="IT87:IU87"/>
    <mergeCell ref="IV87:IW87"/>
    <mergeCell ref="IX87:IY87"/>
    <mergeCell ref="IZ87:JC87"/>
    <mergeCell ref="IZ88:IZ89"/>
    <mergeCell ref="JA88:JB89"/>
    <mergeCell ref="JC88:JC89"/>
    <mergeCell ref="IH91:IH93"/>
    <mergeCell ref="IT91:IU91"/>
    <mergeCell ref="IV91:IW91"/>
    <mergeCell ref="IX91:IY91"/>
    <mergeCell ref="IZ91:JC91"/>
    <mergeCell ref="IZ92:IZ93"/>
    <mergeCell ref="JA92:JB93"/>
    <mergeCell ref="JC92:JC93"/>
    <mergeCell ref="IH95:IH97"/>
    <mergeCell ref="IT95:IU95"/>
    <mergeCell ref="IV95:IW95"/>
    <mergeCell ref="IX95:IY95"/>
    <mergeCell ref="IZ95:JC95"/>
    <mergeCell ref="IZ96:IZ97"/>
    <mergeCell ref="JA96:JB97"/>
    <mergeCell ref="JC96:JC97"/>
    <mergeCell ref="IH99:IH101"/>
    <mergeCell ref="IT99:IU99"/>
    <mergeCell ref="IV99:IW99"/>
    <mergeCell ref="IX99:IY99"/>
    <mergeCell ref="IZ99:JC99"/>
    <mergeCell ref="IZ100:IZ101"/>
    <mergeCell ref="JA100:JB101"/>
    <mergeCell ref="JC100:JC101"/>
    <mergeCell ref="IH103:IH105"/>
    <mergeCell ref="IT103:IU103"/>
    <mergeCell ref="IV103:IW103"/>
    <mergeCell ref="IX103:IY103"/>
    <mergeCell ref="IZ103:JC103"/>
    <mergeCell ref="IZ104:IZ105"/>
    <mergeCell ref="JA104:JB105"/>
    <mergeCell ref="JC104:JC105"/>
    <mergeCell ref="IZ107:JC107"/>
    <mergeCell ref="IZ108:IZ109"/>
    <mergeCell ref="JA108:JB109"/>
    <mergeCell ref="JC108:JC109"/>
    <mergeCell ref="IH111:IH113"/>
    <mergeCell ref="IT111:IU111"/>
    <mergeCell ref="IV111:IW111"/>
    <mergeCell ref="IX111:IY111"/>
    <mergeCell ref="IZ111:JC111"/>
    <mergeCell ref="IZ112:IZ113"/>
    <mergeCell ref="JA112:JB113"/>
    <mergeCell ref="JC112:JC113"/>
    <mergeCell ref="IH115:IH117"/>
    <mergeCell ref="IT115:IU115"/>
    <mergeCell ref="IV115:IW115"/>
    <mergeCell ref="IX115:IY115"/>
    <mergeCell ref="IZ115:JC115"/>
    <mergeCell ref="IZ116:IZ117"/>
    <mergeCell ref="JA116:JB117"/>
    <mergeCell ref="JC116:JC117"/>
    <mergeCell ref="OZ43:OZ45"/>
    <mergeCell ref="PL43:PM43"/>
    <mergeCell ref="PN43:PO43"/>
    <mergeCell ref="PP43:PQ43"/>
    <mergeCell ref="PR43:PU43"/>
    <mergeCell ref="PA44:PM45"/>
    <mergeCell ref="PN44:PO45"/>
    <mergeCell ref="PP44:PQ45"/>
    <mergeCell ref="PR44:PR45"/>
    <mergeCell ref="PS44:PT45"/>
    <mergeCell ref="PU44:PU45"/>
    <mergeCell ref="OZ47:OZ49"/>
    <mergeCell ref="PL47:PM47"/>
    <mergeCell ref="PN47:PO47"/>
    <mergeCell ref="PP47:PQ47"/>
    <mergeCell ref="PR47:PU47"/>
    <mergeCell ref="PA48:PM49"/>
    <mergeCell ref="PN48:PO49"/>
    <mergeCell ref="PP48:PQ49"/>
    <mergeCell ref="PR48:PR49"/>
    <mergeCell ref="PS48:PT49"/>
    <mergeCell ref="PU48:PU49"/>
    <mergeCell ref="OZ51:OZ53"/>
    <mergeCell ref="PL51:PM51"/>
    <mergeCell ref="PN51:PO51"/>
    <mergeCell ref="PP51:PQ51"/>
    <mergeCell ref="PR51:PU51"/>
    <mergeCell ref="PA52:PM53"/>
    <mergeCell ref="PN52:PO53"/>
    <mergeCell ref="PP52:PQ53"/>
    <mergeCell ref="PR52:PR53"/>
    <mergeCell ref="PS52:PT53"/>
    <mergeCell ref="PU52:PU53"/>
    <mergeCell ref="OZ55:OZ57"/>
    <mergeCell ref="PL55:PM55"/>
    <mergeCell ref="PN55:PO55"/>
    <mergeCell ref="PP55:PQ55"/>
    <mergeCell ref="PR55:PU55"/>
    <mergeCell ref="PA56:PM57"/>
    <mergeCell ref="PN56:PO57"/>
    <mergeCell ref="PP56:PQ57"/>
    <mergeCell ref="PR56:PR57"/>
    <mergeCell ref="PS56:PT57"/>
    <mergeCell ref="PU56:PU57"/>
    <mergeCell ref="OZ59:OZ61"/>
    <mergeCell ref="PL59:PM59"/>
    <mergeCell ref="PN59:PO59"/>
    <mergeCell ref="PP59:PQ59"/>
    <mergeCell ref="PR59:PU59"/>
    <mergeCell ref="PA60:PM61"/>
    <mergeCell ref="PN60:PO61"/>
    <mergeCell ref="PP60:PQ61"/>
    <mergeCell ref="PR60:PR61"/>
    <mergeCell ref="PS60:PT61"/>
    <mergeCell ref="PU60:PU61"/>
    <mergeCell ref="OZ63:OZ65"/>
    <mergeCell ref="PL63:PM63"/>
    <mergeCell ref="PN63:PO63"/>
    <mergeCell ref="PP63:PQ63"/>
    <mergeCell ref="PR63:PU63"/>
    <mergeCell ref="PA64:PM65"/>
    <mergeCell ref="PN64:PO65"/>
    <mergeCell ref="PP64:PQ65"/>
    <mergeCell ref="PR64:PR65"/>
    <mergeCell ref="PS64:PT65"/>
    <mergeCell ref="PU64:PU65"/>
    <mergeCell ref="OZ67:OZ69"/>
    <mergeCell ref="PL67:PM67"/>
    <mergeCell ref="PN67:PO67"/>
    <mergeCell ref="PP67:PQ67"/>
    <mergeCell ref="PR67:PU67"/>
    <mergeCell ref="PA68:PM69"/>
    <mergeCell ref="PN68:PO69"/>
    <mergeCell ref="PP68:PQ69"/>
    <mergeCell ref="PR68:PR69"/>
    <mergeCell ref="PS68:PT69"/>
    <mergeCell ref="PU68:PU69"/>
    <mergeCell ref="OZ71:OZ73"/>
    <mergeCell ref="PL71:PM71"/>
    <mergeCell ref="PN71:PO71"/>
    <mergeCell ref="PP71:PQ71"/>
    <mergeCell ref="PR71:PU71"/>
    <mergeCell ref="PA72:PM73"/>
    <mergeCell ref="PN72:PO73"/>
    <mergeCell ref="PP72:PQ73"/>
    <mergeCell ref="PR72:PR73"/>
    <mergeCell ref="PS72:PT73"/>
    <mergeCell ref="PU72:PU73"/>
    <mergeCell ref="ZG43:ZG45"/>
    <mergeCell ref="ZS43:ZT43"/>
    <mergeCell ref="ZU43:ZV43"/>
    <mergeCell ref="ZW43:ZX43"/>
    <mergeCell ref="ZY43:AAB43"/>
    <mergeCell ref="ZH44:ZT45"/>
    <mergeCell ref="ZU44:ZV45"/>
    <mergeCell ref="ZW44:ZX45"/>
    <mergeCell ref="ZY44:ZY45"/>
    <mergeCell ref="ZZ44:AAA45"/>
    <mergeCell ref="AAB44:AAB45"/>
    <mergeCell ref="ZG47:ZG49"/>
    <mergeCell ref="ZS47:ZT47"/>
    <mergeCell ref="ZU47:ZV47"/>
    <mergeCell ref="ZW47:ZX47"/>
    <mergeCell ref="ZY47:AAB47"/>
    <mergeCell ref="ZH48:ZT49"/>
    <mergeCell ref="ZU48:ZV49"/>
    <mergeCell ref="ZW48:ZX49"/>
    <mergeCell ref="ZY48:ZY49"/>
    <mergeCell ref="ZZ48:AAA49"/>
    <mergeCell ref="AAB48:AAB49"/>
    <mergeCell ref="ZG51:ZG53"/>
    <mergeCell ref="ZS51:ZT51"/>
    <mergeCell ref="ZU51:ZV51"/>
    <mergeCell ref="ZW51:ZX51"/>
    <mergeCell ref="ZY51:AAB51"/>
    <mergeCell ref="ZH52:ZT53"/>
    <mergeCell ref="ZU52:ZV53"/>
    <mergeCell ref="ZW52:ZX53"/>
    <mergeCell ref="ZY52:ZY53"/>
    <mergeCell ref="ZZ52:AAA53"/>
    <mergeCell ref="AAB52:AAB53"/>
    <mergeCell ref="ZG55:ZG57"/>
    <mergeCell ref="ZS55:ZT55"/>
    <mergeCell ref="ZU55:ZV55"/>
    <mergeCell ref="ZW55:ZX55"/>
    <mergeCell ref="ZY55:AAB55"/>
    <mergeCell ref="ZH56:ZT57"/>
    <mergeCell ref="ZU56:ZV57"/>
    <mergeCell ref="ZW56:ZX57"/>
    <mergeCell ref="ZY56:ZY57"/>
    <mergeCell ref="ZZ56:AAA57"/>
    <mergeCell ref="AAB56:AAB57"/>
    <mergeCell ref="ZG59:ZG61"/>
    <mergeCell ref="ZS59:ZT59"/>
    <mergeCell ref="ZU59:ZV59"/>
    <mergeCell ref="ZW59:ZX59"/>
    <mergeCell ref="ZY59:AAB59"/>
    <mergeCell ref="ZH60:ZT61"/>
    <mergeCell ref="ZU60:ZV61"/>
    <mergeCell ref="ZW60:ZX61"/>
    <mergeCell ref="ZY60:ZY61"/>
    <mergeCell ref="ZZ60:AAA61"/>
    <mergeCell ref="AAB60:AAB61"/>
    <mergeCell ref="ZG63:ZG65"/>
    <mergeCell ref="ZS63:ZT63"/>
    <mergeCell ref="ZU63:ZV63"/>
    <mergeCell ref="ZW63:ZX63"/>
    <mergeCell ref="ZY63:AAB63"/>
    <mergeCell ref="ZH64:ZT65"/>
    <mergeCell ref="ZU64:ZV65"/>
    <mergeCell ref="ZW64:ZX65"/>
    <mergeCell ref="ZY64:ZY65"/>
    <mergeCell ref="ZZ64:AAA65"/>
    <mergeCell ref="AAB64:AAB65"/>
    <mergeCell ref="ZG67:ZG69"/>
    <mergeCell ref="ZS67:ZT67"/>
    <mergeCell ref="ZU67:ZV67"/>
    <mergeCell ref="ZW67:ZX67"/>
    <mergeCell ref="ZY67:AAB67"/>
    <mergeCell ref="ZH68:ZT69"/>
    <mergeCell ref="ZU68:ZV69"/>
    <mergeCell ref="ZW68:ZX69"/>
    <mergeCell ref="ZY68:ZY69"/>
    <mergeCell ref="ZZ68:AAA69"/>
    <mergeCell ref="AAB68:AAB69"/>
    <mergeCell ref="ZG71:ZG73"/>
    <mergeCell ref="ZS71:ZT71"/>
    <mergeCell ref="ZU71:ZV71"/>
    <mergeCell ref="ZW71:ZX71"/>
    <mergeCell ref="ZY71:AAB71"/>
    <mergeCell ref="ZH72:ZT73"/>
    <mergeCell ref="ZU72:ZV73"/>
    <mergeCell ref="ZW72:ZX73"/>
    <mergeCell ref="ZY72:ZY73"/>
    <mergeCell ref="ZZ72:AAA73"/>
    <mergeCell ref="AAB72:AAB73"/>
    <mergeCell ref="ZG75:ZG77"/>
    <mergeCell ref="ZS75:ZT75"/>
    <mergeCell ref="ZU75:ZV75"/>
    <mergeCell ref="ZW75:ZX75"/>
    <mergeCell ref="ZY75:AAB75"/>
    <mergeCell ref="ZH76:ZT77"/>
    <mergeCell ref="ZU76:ZV77"/>
    <mergeCell ref="ZW76:ZX77"/>
    <mergeCell ref="ZY76:ZY77"/>
    <mergeCell ref="ZZ76:AAA77"/>
    <mergeCell ref="AAB76:AAB77"/>
    <mergeCell ref="ZG79:ZG81"/>
    <mergeCell ref="ZS79:ZT79"/>
    <mergeCell ref="ZU79:ZV79"/>
    <mergeCell ref="ZW79:ZX79"/>
    <mergeCell ref="ZY79:AAB79"/>
    <mergeCell ref="ZH80:ZT81"/>
    <mergeCell ref="ZU80:ZV81"/>
    <mergeCell ref="ZW80:ZX81"/>
    <mergeCell ref="ZY80:ZY81"/>
    <mergeCell ref="ZZ80:AAA81"/>
    <mergeCell ref="AAB80:AAB81"/>
    <mergeCell ref="ZG83:ZG85"/>
    <mergeCell ref="ZS83:ZT83"/>
    <mergeCell ref="ZU83:ZV83"/>
    <mergeCell ref="ZW83:ZX83"/>
    <mergeCell ref="ZY83:AAB83"/>
    <mergeCell ref="ZH84:ZT85"/>
    <mergeCell ref="ZU84:ZV85"/>
    <mergeCell ref="ZW84:ZX85"/>
    <mergeCell ref="ZY84:ZY85"/>
    <mergeCell ref="ZZ84:AAA85"/>
    <mergeCell ref="AAB84:AAB85"/>
    <mergeCell ref="ZG87:ZG89"/>
    <mergeCell ref="ZS87:ZT87"/>
    <mergeCell ref="ZU87:ZV87"/>
    <mergeCell ref="ZW87:ZX87"/>
    <mergeCell ref="ZY87:AAB87"/>
    <mergeCell ref="ZH88:ZT89"/>
    <mergeCell ref="ZU88:ZV89"/>
    <mergeCell ref="ZW88:ZX89"/>
    <mergeCell ref="ZY88:ZY89"/>
    <mergeCell ref="ZZ88:AAA89"/>
    <mergeCell ref="AAB88:AAB89"/>
    <mergeCell ref="ZG91:ZG93"/>
    <mergeCell ref="ZS91:ZT91"/>
    <mergeCell ref="ZU91:ZV91"/>
    <mergeCell ref="ZW91:ZX91"/>
    <mergeCell ref="ZY91:AAB91"/>
    <mergeCell ref="ZH92:ZT93"/>
    <mergeCell ref="ZU92:ZV93"/>
    <mergeCell ref="ZW92:ZX93"/>
    <mergeCell ref="ZY92:ZY93"/>
    <mergeCell ref="ZZ92:AAA93"/>
    <mergeCell ref="AAB92:AAB93"/>
    <mergeCell ref="ZG95:ZG97"/>
    <mergeCell ref="ZS95:ZT95"/>
    <mergeCell ref="ZU95:ZV95"/>
    <mergeCell ref="ZW95:ZX95"/>
    <mergeCell ref="ZY95:AAB95"/>
    <mergeCell ref="ZH96:ZT97"/>
    <mergeCell ref="ZU96:ZV97"/>
    <mergeCell ref="ZW96:ZX97"/>
    <mergeCell ref="ZY96:ZY97"/>
    <mergeCell ref="ZZ96:AAA97"/>
    <mergeCell ref="AAB96:AAB97"/>
    <mergeCell ref="ZG99:ZG101"/>
    <mergeCell ref="ZS99:ZT99"/>
    <mergeCell ref="ZU99:ZV99"/>
    <mergeCell ref="ZW99:ZX99"/>
    <mergeCell ref="ZY99:AAB99"/>
    <mergeCell ref="ZH100:ZT101"/>
    <mergeCell ref="ZU100:ZV101"/>
    <mergeCell ref="ZW100:ZX101"/>
    <mergeCell ref="ZY100:ZY101"/>
    <mergeCell ref="ZZ100:AAA101"/>
    <mergeCell ref="AAB100:AAB101"/>
    <mergeCell ref="ZG103:ZG105"/>
    <mergeCell ref="ZS103:ZT103"/>
    <mergeCell ref="ZU103:ZV103"/>
    <mergeCell ref="ZW103:ZX103"/>
    <mergeCell ref="ZY103:AAB103"/>
    <mergeCell ref="ZH104:ZT105"/>
    <mergeCell ref="ZU104:ZV105"/>
    <mergeCell ref="ZW104:ZX105"/>
    <mergeCell ref="ZY104:ZY105"/>
    <mergeCell ref="ZZ104:AAA105"/>
    <mergeCell ref="AAB104:AAB105"/>
    <mergeCell ref="VL43:VL45"/>
    <mergeCell ref="VX43:VY43"/>
    <mergeCell ref="VZ43:WA43"/>
    <mergeCell ref="WB43:WC43"/>
    <mergeCell ref="WD43:WG43"/>
    <mergeCell ref="VM44:VY45"/>
    <mergeCell ref="VZ44:WA45"/>
    <mergeCell ref="WB44:WC45"/>
    <mergeCell ref="WD44:WD45"/>
    <mergeCell ref="WE44:WF45"/>
    <mergeCell ref="WG44:WG45"/>
    <mergeCell ref="VL47:VL49"/>
    <mergeCell ref="VX47:VY47"/>
    <mergeCell ref="VZ47:WA47"/>
    <mergeCell ref="WB47:WC47"/>
    <mergeCell ref="WD47:WG47"/>
    <mergeCell ref="VM48:VY49"/>
    <mergeCell ref="VZ48:WA49"/>
    <mergeCell ref="WB48:WC49"/>
    <mergeCell ref="WD48:WD49"/>
    <mergeCell ref="WE48:WF49"/>
    <mergeCell ref="WG48:WG49"/>
    <mergeCell ref="VL51:VL53"/>
    <mergeCell ref="VX51:VY51"/>
    <mergeCell ref="VZ51:WA51"/>
    <mergeCell ref="WB51:WC51"/>
    <mergeCell ref="WD51:WG51"/>
    <mergeCell ref="VM52:VY53"/>
    <mergeCell ref="VZ52:WA53"/>
    <mergeCell ref="WB52:WC53"/>
    <mergeCell ref="WD52:WD53"/>
    <mergeCell ref="WE52:WF53"/>
    <mergeCell ref="WG52:WG53"/>
    <mergeCell ref="VL55:VL57"/>
    <mergeCell ref="VX55:VY55"/>
    <mergeCell ref="VZ55:WA55"/>
    <mergeCell ref="WB55:WC55"/>
    <mergeCell ref="WD55:WG55"/>
    <mergeCell ref="VM56:VY57"/>
    <mergeCell ref="VZ56:WA57"/>
    <mergeCell ref="WB56:WC57"/>
    <mergeCell ref="WD56:WD57"/>
    <mergeCell ref="WE56:WF57"/>
    <mergeCell ref="WG56:WG57"/>
    <mergeCell ref="VL59:VL61"/>
    <mergeCell ref="VX59:VY59"/>
    <mergeCell ref="VZ59:WA59"/>
    <mergeCell ref="WB59:WC59"/>
    <mergeCell ref="WD59:WG59"/>
    <mergeCell ref="VM60:VY61"/>
    <mergeCell ref="VZ60:WA61"/>
    <mergeCell ref="WB60:WC61"/>
    <mergeCell ref="WD60:WD61"/>
    <mergeCell ref="WE60:WF61"/>
    <mergeCell ref="WG60:WG61"/>
    <mergeCell ref="VL63:VL65"/>
    <mergeCell ref="VX63:VY63"/>
    <mergeCell ref="VZ63:WA63"/>
    <mergeCell ref="WB63:WC63"/>
    <mergeCell ref="WD63:WG63"/>
    <mergeCell ref="VM64:VY65"/>
    <mergeCell ref="VZ64:WA65"/>
    <mergeCell ref="WB64:WC65"/>
    <mergeCell ref="WD64:WD65"/>
    <mergeCell ref="WE64:WF65"/>
    <mergeCell ref="WG64:WG65"/>
    <mergeCell ref="VL67:VL69"/>
    <mergeCell ref="VX67:VY67"/>
    <mergeCell ref="VZ67:WA67"/>
    <mergeCell ref="WB67:WC67"/>
    <mergeCell ref="WD67:WG67"/>
    <mergeCell ref="VM68:VY69"/>
    <mergeCell ref="VZ68:WA69"/>
    <mergeCell ref="WB68:WC69"/>
    <mergeCell ref="WD68:WD69"/>
    <mergeCell ref="WE68:WF69"/>
    <mergeCell ref="WG68:WG69"/>
    <mergeCell ref="VL71:VL73"/>
    <mergeCell ref="VX71:VY71"/>
    <mergeCell ref="VZ71:WA71"/>
    <mergeCell ref="WB71:WC71"/>
    <mergeCell ref="WD71:WG71"/>
    <mergeCell ref="VM72:VY73"/>
    <mergeCell ref="VZ72:WA73"/>
    <mergeCell ref="WB72:WC73"/>
    <mergeCell ref="WD72:WD73"/>
    <mergeCell ref="WE72:WF73"/>
    <mergeCell ref="WG72:WG73"/>
    <mergeCell ref="VL75:VL77"/>
    <mergeCell ref="VX75:VY75"/>
    <mergeCell ref="VZ75:WA75"/>
    <mergeCell ref="WB75:WC75"/>
    <mergeCell ref="WD75:WG75"/>
    <mergeCell ref="VM76:VY77"/>
    <mergeCell ref="VZ76:WA77"/>
    <mergeCell ref="WB76:WC77"/>
    <mergeCell ref="WD76:WD77"/>
    <mergeCell ref="WE76:WF77"/>
    <mergeCell ref="WG76:WG77"/>
    <mergeCell ref="VL79:VL81"/>
    <mergeCell ref="VX79:VY79"/>
    <mergeCell ref="VZ79:WA79"/>
    <mergeCell ref="WB79:WC79"/>
    <mergeCell ref="WD79:WG79"/>
    <mergeCell ref="VM80:VY81"/>
    <mergeCell ref="VZ80:WA81"/>
    <mergeCell ref="WB80:WC81"/>
    <mergeCell ref="WD80:WD81"/>
    <mergeCell ref="WE80:WF81"/>
    <mergeCell ref="WG80:WG81"/>
    <mergeCell ref="VL83:VL85"/>
    <mergeCell ref="VX83:VY83"/>
    <mergeCell ref="VZ83:WA83"/>
    <mergeCell ref="WB83:WC83"/>
    <mergeCell ref="WD83:WG83"/>
    <mergeCell ref="VM84:VY85"/>
    <mergeCell ref="VZ84:WA85"/>
    <mergeCell ref="WB84:WC85"/>
    <mergeCell ref="WD84:WD85"/>
    <mergeCell ref="WE84:WF85"/>
    <mergeCell ref="WG84:WG85"/>
    <mergeCell ref="VL87:VL89"/>
    <mergeCell ref="VX87:VY87"/>
    <mergeCell ref="VZ87:WA87"/>
    <mergeCell ref="WB87:WC87"/>
    <mergeCell ref="WD87:WG87"/>
    <mergeCell ref="VM88:VY89"/>
    <mergeCell ref="VZ88:WA89"/>
    <mergeCell ref="WB88:WC89"/>
    <mergeCell ref="WD88:WD89"/>
    <mergeCell ref="WE88:WF89"/>
    <mergeCell ref="WG88:WG89"/>
    <mergeCell ref="VL91:VL93"/>
    <mergeCell ref="VX91:VY91"/>
    <mergeCell ref="VZ91:WA91"/>
    <mergeCell ref="WB91:WC91"/>
    <mergeCell ref="WD91:WG91"/>
    <mergeCell ref="VM92:VY93"/>
    <mergeCell ref="VZ92:WA93"/>
    <mergeCell ref="WB92:WC93"/>
    <mergeCell ref="WD92:WD93"/>
    <mergeCell ref="WE92:WF93"/>
    <mergeCell ref="WG92:WG93"/>
    <mergeCell ref="VL95:VL97"/>
    <mergeCell ref="VX95:VY95"/>
    <mergeCell ref="VZ95:WA95"/>
    <mergeCell ref="WB95:WC95"/>
    <mergeCell ref="WD95:WG95"/>
    <mergeCell ref="VM96:VY97"/>
    <mergeCell ref="VZ96:WA97"/>
    <mergeCell ref="WB96:WC97"/>
    <mergeCell ref="WD96:WD97"/>
    <mergeCell ref="WE96:WF97"/>
    <mergeCell ref="WG96:WG97"/>
    <mergeCell ref="VL99:VL101"/>
    <mergeCell ref="VX99:VY99"/>
    <mergeCell ref="VZ99:WA99"/>
    <mergeCell ref="WB99:WC99"/>
    <mergeCell ref="WD99:WG99"/>
    <mergeCell ref="VM100:VY101"/>
    <mergeCell ref="VZ100:WA101"/>
    <mergeCell ref="WB100:WC101"/>
    <mergeCell ref="WD100:WD101"/>
    <mergeCell ref="WE100:WF101"/>
    <mergeCell ref="WG100:WG101"/>
    <mergeCell ref="VL103:VL105"/>
    <mergeCell ref="VX103:VY103"/>
    <mergeCell ref="VZ103:WA103"/>
    <mergeCell ref="WB103:WC103"/>
    <mergeCell ref="WD103:WG103"/>
    <mergeCell ref="VM104:VY105"/>
    <mergeCell ref="VZ104:WA105"/>
    <mergeCell ref="WB104:WC105"/>
    <mergeCell ref="WD104:WD105"/>
    <mergeCell ref="WE104:WF105"/>
    <mergeCell ref="WG104:WG105"/>
    <mergeCell ref="VL107:VL109"/>
    <mergeCell ref="VX107:VY107"/>
    <mergeCell ref="VZ107:WA107"/>
    <mergeCell ref="WB107:WC107"/>
    <mergeCell ref="WD107:WG107"/>
    <mergeCell ref="VM108:VY109"/>
    <mergeCell ref="VZ108:WA109"/>
    <mergeCell ref="WB108:WC109"/>
    <mergeCell ref="WD108:WD109"/>
    <mergeCell ref="WE108:WF109"/>
    <mergeCell ref="WG108:WG109"/>
    <mergeCell ref="VL111:VL113"/>
    <mergeCell ref="VX111:VY111"/>
    <mergeCell ref="VZ111:WA111"/>
    <mergeCell ref="WB111:WC111"/>
    <mergeCell ref="WD111:WG111"/>
    <mergeCell ref="VM112:VY113"/>
    <mergeCell ref="VZ112:WA113"/>
    <mergeCell ref="WB112:WC113"/>
    <mergeCell ref="WD112:WD113"/>
    <mergeCell ref="WE112:WF113"/>
    <mergeCell ref="WG112:WG113"/>
    <mergeCell ref="VL115:VL117"/>
    <mergeCell ref="VX115:VY115"/>
    <mergeCell ref="VZ115:WA115"/>
    <mergeCell ref="WB115:WC115"/>
    <mergeCell ref="WD115:WG115"/>
    <mergeCell ref="VM116:VY117"/>
    <mergeCell ref="VZ116:WA117"/>
    <mergeCell ref="WB116:WC117"/>
    <mergeCell ref="WD116:WD117"/>
    <mergeCell ref="WE116:WF117"/>
    <mergeCell ref="WG116:WG117"/>
    <mergeCell ref="VL119:VL121"/>
    <mergeCell ref="VX119:VY119"/>
    <mergeCell ref="VZ119:WA119"/>
    <mergeCell ref="WB119:WC119"/>
    <mergeCell ref="WD119:WG119"/>
    <mergeCell ref="VM120:VY121"/>
    <mergeCell ref="VZ120:WA121"/>
    <mergeCell ref="WB120:WC121"/>
    <mergeCell ref="WD120:WD121"/>
    <mergeCell ref="WE120:WF121"/>
    <mergeCell ref="WG120:WG121"/>
    <mergeCell ref="WG136:WG137"/>
    <mergeCell ref="VL123:VL125"/>
    <mergeCell ref="VX123:VY123"/>
    <mergeCell ref="VZ123:WA123"/>
    <mergeCell ref="WB123:WC123"/>
    <mergeCell ref="WD123:WG123"/>
    <mergeCell ref="VM124:VY125"/>
    <mergeCell ref="VZ124:WA125"/>
    <mergeCell ref="WB124:WC125"/>
    <mergeCell ref="WD124:WD125"/>
    <mergeCell ref="WE124:WF125"/>
    <mergeCell ref="WG124:WG125"/>
    <mergeCell ref="VL127:VL129"/>
    <mergeCell ref="VX127:VY127"/>
    <mergeCell ref="VZ127:WA127"/>
    <mergeCell ref="WB127:WC127"/>
    <mergeCell ref="WD127:WG127"/>
    <mergeCell ref="VM128:VY129"/>
    <mergeCell ref="VZ128:WA129"/>
    <mergeCell ref="WB128:WC129"/>
    <mergeCell ref="WD128:WD129"/>
    <mergeCell ref="WE128:WF129"/>
    <mergeCell ref="WG128:WG129"/>
    <mergeCell ref="VL143:VL145"/>
    <mergeCell ref="VX143:VY143"/>
    <mergeCell ref="VZ143:WA143"/>
    <mergeCell ref="WB143:WC143"/>
    <mergeCell ref="WD143:WG143"/>
    <mergeCell ref="VM144:VY145"/>
    <mergeCell ref="VZ144:WA145"/>
    <mergeCell ref="WB144:WC145"/>
    <mergeCell ref="WD144:WD145"/>
    <mergeCell ref="WE144:WF145"/>
    <mergeCell ref="WG144:WG145"/>
    <mergeCell ref="VL131:VL133"/>
    <mergeCell ref="VX131:VY131"/>
    <mergeCell ref="VZ131:WA131"/>
    <mergeCell ref="WB131:WC131"/>
    <mergeCell ref="WD131:WG131"/>
    <mergeCell ref="VM132:VY133"/>
    <mergeCell ref="VZ132:WA133"/>
    <mergeCell ref="WB132:WC133"/>
    <mergeCell ref="WD132:WD133"/>
    <mergeCell ref="WE132:WF133"/>
    <mergeCell ref="WG132:WG133"/>
    <mergeCell ref="VL135:VL137"/>
    <mergeCell ref="VX135:VY135"/>
    <mergeCell ref="VZ135:WA135"/>
    <mergeCell ref="WB135:WC135"/>
    <mergeCell ref="WD135:WG135"/>
    <mergeCell ref="VM136:VY137"/>
    <mergeCell ref="VZ136:WA137"/>
    <mergeCell ref="WB136:WC137"/>
    <mergeCell ref="WD136:WD137"/>
    <mergeCell ref="WE136:WF137"/>
    <mergeCell ref="VL147:VL149"/>
    <mergeCell ref="VX147:VY147"/>
    <mergeCell ref="VZ147:WA147"/>
    <mergeCell ref="WB147:WC147"/>
    <mergeCell ref="WD147:WG147"/>
    <mergeCell ref="VM148:VY149"/>
    <mergeCell ref="VZ148:WA149"/>
    <mergeCell ref="WB148:WC149"/>
    <mergeCell ref="WD148:WD149"/>
    <mergeCell ref="WE148:WF149"/>
    <mergeCell ref="WG148:WG149"/>
    <mergeCell ref="VL151:VL153"/>
    <mergeCell ref="VX151:VY151"/>
    <mergeCell ref="VZ151:WA151"/>
    <mergeCell ref="WB151:WC151"/>
    <mergeCell ref="WD151:WG151"/>
    <mergeCell ref="VM152:VY153"/>
    <mergeCell ref="VZ152:WA153"/>
    <mergeCell ref="WB152:WC153"/>
    <mergeCell ref="WD152:WD153"/>
    <mergeCell ref="WE152:WF153"/>
    <mergeCell ref="WG152:WG153"/>
    <mergeCell ref="VL155:VL157"/>
    <mergeCell ref="VX155:VY155"/>
    <mergeCell ref="VZ155:WA155"/>
    <mergeCell ref="WB155:WC155"/>
    <mergeCell ref="WD155:WG155"/>
    <mergeCell ref="VM156:VY157"/>
    <mergeCell ref="VZ156:WA157"/>
    <mergeCell ref="WB156:WC157"/>
    <mergeCell ref="WD156:WD157"/>
    <mergeCell ref="WE156:WF157"/>
    <mergeCell ref="WG156:WG157"/>
    <mergeCell ref="VL159:VL161"/>
    <mergeCell ref="VX159:VY159"/>
    <mergeCell ref="VZ159:WA159"/>
    <mergeCell ref="WB159:WC159"/>
    <mergeCell ref="WD159:WG159"/>
    <mergeCell ref="VM160:VY161"/>
    <mergeCell ref="VZ160:WA161"/>
    <mergeCell ref="WB160:WC161"/>
    <mergeCell ref="WD160:WD161"/>
    <mergeCell ref="WE160:WF161"/>
    <mergeCell ref="WG160:WG161"/>
    <mergeCell ref="VL163:VL165"/>
    <mergeCell ref="VX163:VY163"/>
    <mergeCell ref="VZ163:WA163"/>
    <mergeCell ref="WB163:WC163"/>
    <mergeCell ref="WD163:WG163"/>
    <mergeCell ref="VM164:VY165"/>
    <mergeCell ref="VZ164:WA165"/>
    <mergeCell ref="WB164:WC165"/>
    <mergeCell ref="WD164:WD165"/>
    <mergeCell ref="WE164:WF165"/>
    <mergeCell ref="WG164:WG165"/>
    <mergeCell ref="VL167:VL169"/>
    <mergeCell ref="VX167:VY167"/>
    <mergeCell ref="VZ167:WA167"/>
    <mergeCell ref="WB167:WC167"/>
    <mergeCell ref="WD167:WG167"/>
    <mergeCell ref="VM168:VY169"/>
    <mergeCell ref="VZ168:WA169"/>
    <mergeCell ref="WB168:WC169"/>
    <mergeCell ref="WD168:WD169"/>
    <mergeCell ref="WE168:WF169"/>
    <mergeCell ref="WG168:WG169"/>
    <mergeCell ref="VL171:VL173"/>
    <mergeCell ref="VX171:VY171"/>
    <mergeCell ref="VZ171:WA171"/>
    <mergeCell ref="WB171:WC171"/>
    <mergeCell ref="WD171:WG171"/>
    <mergeCell ref="VM172:VY173"/>
    <mergeCell ref="VZ172:WA173"/>
    <mergeCell ref="WB172:WC173"/>
    <mergeCell ref="WD172:WD173"/>
    <mergeCell ref="WE172:WF173"/>
    <mergeCell ref="WG172:WG173"/>
    <mergeCell ref="VL175:VL177"/>
    <mergeCell ref="VX175:VY175"/>
    <mergeCell ref="VZ175:WA175"/>
    <mergeCell ref="WB175:WC175"/>
    <mergeCell ref="WD175:WG175"/>
    <mergeCell ref="VM176:VY177"/>
    <mergeCell ref="VZ176:WA177"/>
    <mergeCell ref="WB176:WC177"/>
    <mergeCell ref="WD176:WD177"/>
    <mergeCell ref="WE176:WF177"/>
    <mergeCell ref="WG176:WG177"/>
    <mergeCell ref="VL179:VL181"/>
    <mergeCell ref="VX179:VY179"/>
    <mergeCell ref="VZ179:WA179"/>
    <mergeCell ref="WB179:WC179"/>
    <mergeCell ref="WD179:WG179"/>
    <mergeCell ref="VM180:VY181"/>
    <mergeCell ref="VZ180:WA181"/>
    <mergeCell ref="WB180:WC181"/>
    <mergeCell ref="WD180:WD181"/>
    <mergeCell ref="WE180:WF181"/>
    <mergeCell ref="WG180:WG181"/>
    <mergeCell ref="VL183:VL185"/>
    <mergeCell ref="VX183:VY183"/>
    <mergeCell ref="VZ183:WA183"/>
    <mergeCell ref="WB183:WC183"/>
    <mergeCell ref="WD183:WG183"/>
    <mergeCell ref="VM184:VY185"/>
    <mergeCell ref="VZ184:WA185"/>
    <mergeCell ref="WB184:WC185"/>
    <mergeCell ref="WD184:WD185"/>
    <mergeCell ref="WE184:WF185"/>
    <mergeCell ref="WG184:WG185"/>
    <mergeCell ref="VL187:VL189"/>
    <mergeCell ref="VX187:VY187"/>
    <mergeCell ref="VZ187:WA187"/>
    <mergeCell ref="WB187:WC187"/>
    <mergeCell ref="WD187:WG187"/>
    <mergeCell ref="VM188:VY189"/>
    <mergeCell ref="VZ188:WA189"/>
    <mergeCell ref="WB188:WC189"/>
    <mergeCell ref="WD188:WD189"/>
    <mergeCell ref="WE188:WF189"/>
    <mergeCell ref="WG188:WG189"/>
    <mergeCell ref="VL191:VL193"/>
    <mergeCell ref="VX191:VY191"/>
    <mergeCell ref="VZ191:WA191"/>
    <mergeCell ref="WB191:WC191"/>
    <mergeCell ref="WD191:WG191"/>
    <mergeCell ref="VM192:VY193"/>
    <mergeCell ref="VZ192:WA193"/>
    <mergeCell ref="WB192:WC193"/>
    <mergeCell ref="WD192:WD193"/>
    <mergeCell ref="WE192:WF193"/>
    <mergeCell ref="WG192:WG193"/>
    <mergeCell ref="VL195:VL197"/>
    <mergeCell ref="VX195:VY195"/>
    <mergeCell ref="VZ195:WA195"/>
    <mergeCell ref="WB195:WC195"/>
    <mergeCell ref="WD195:WG195"/>
    <mergeCell ref="VM196:VY197"/>
    <mergeCell ref="VZ196:WA197"/>
    <mergeCell ref="WB196:WC197"/>
    <mergeCell ref="WD196:WD197"/>
    <mergeCell ref="WE196:WF197"/>
    <mergeCell ref="WG196:WG197"/>
    <mergeCell ref="VL199:VL201"/>
    <mergeCell ref="VX199:VY199"/>
    <mergeCell ref="VZ199:WA199"/>
    <mergeCell ref="WB199:WC199"/>
    <mergeCell ref="WD199:WG199"/>
    <mergeCell ref="VM200:VY201"/>
    <mergeCell ref="VZ200:WA201"/>
    <mergeCell ref="WB200:WC201"/>
    <mergeCell ref="WD200:WD201"/>
    <mergeCell ref="WE200:WF201"/>
    <mergeCell ref="WG200:WG201"/>
    <mergeCell ref="VL203:VL205"/>
    <mergeCell ref="VX203:VY203"/>
    <mergeCell ref="VZ203:WA203"/>
    <mergeCell ref="WB203:WC203"/>
    <mergeCell ref="WD203:WG203"/>
    <mergeCell ref="VM204:VY205"/>
    <mergeCell ref="VZ204:WA205"/>
    <mergeCell ref="WB204:WC205"/>
    <mergeCell ref="WD204:WD205"/>
    <mergeCell ref="WE204:WF205"/>
    <mergeCell ref="WG204:WG205"/>
    <mergeCell ref="VL207:VL209"/>
    <mergeCell ref="VX207:VY207"/>
    <mergeCell ref="VZ207:WA207"/>
    <mergeCell ref="WB207:WC207"/>
    <mergeCell ref="WD207:WG207"/>
    <mergeCell ref="VM208:VY209"/>
    <mergeCell ref="VZ208:WA209"/>
    <mergeCell ref="WB208:WC209"/>
    <mergeCell ref="WD208:WD209"/>
    <mergeCell ref="WE208:WF209"/>
    <mergeCell ref="WG208:WG209"/>
    <mergeCell ref="VL211:VL213"/>
    <mergeCell ref="VX211:VY211"/>
    <mergeCell ref="VZ211:WA211"/>
    <mergeCell ref="WB211:WC211"/>
    <mergeCell ref="WD211:WG211"/>
    <mergeCell ref="VM212:VY213"/>
    <mergeCell ref="VZ212:WA213"/>
    <mergeCell ref="WB212:WC213"/>
    <mergeCell ref="WD212:WD213"/>
    <mergeCell ref="WE212:WF213"/>
    <mergeCell ref="WG212:WG213"/>
    <mergeCell ref="VL215:VL217"/>
    <mergeCell ref="VX215:VY215"/>
    <mergeCell ref="VZ215:WA215"/>
    <mergeCell ref="WB215:WC215"/>
    <mergeCell ref="WD215:WG215"/>
    <mergeCell ref="VM216:VY217"/>
    <mergeCell ref="VZ216:WA217"/>
    <mergeCell ref="WB216:WC217"/>
    <mergeCell ref="WD216:WD217"/>
    <mergeCell ref="WE216:WF217"/>
    <mergeCell ref="WG216:WG217"/>
    <mergeCell ref="VL219:VL221"/>
    <mergeCell ref="VX219:VY219"/>
    <mergeCell ref="VZ219:WA219"/>
    <mergeCell ref="WB219:WC219"/>
    <mergeCell ref="WD219:WG219"/>
    <mergeCell ref="VM220:VY221"/>
    <mergeCell ref="VZ220:WA221"/>
    <mergeCell ref="WB220:WC221"/>
    <mergeCell ref="WD220:WD221"/>
    <mergeCell ref="WE220:WF221"/>
    <mergeCell ref="WG220:WG221"/>
    <mergeCell ref="VL223:VL225"/>
    <mergeCell ref="VX223:VY223"/>
    <mergeCell ref="VZ223:WA223"/>
    <mergeCell ref="WB223:WC223"/>
    <mergeCell ref="WD223:WG223"/>
    <mergeCell ref="VM224:VY225"/>
    <mergeCell ref="VZ224:WA225"/>
    <mergeCell ref="WB224:WC225"/>
    <mergeCell ref="WD224:WD225"/>
    <mergeCell ref="WE224:WF225"/>
    <mergeCell ref="WG224:WG225"/>
    <mergeCell ref="VL227:VL229"/>
    <mergeCell ref="VX227:VY227"/>
    <mergeCell ref="VZ227:WA227"/>
    <mergeCell ref="WB227:WC227"/>
    <mergeCell ref="WD227:WG227"/>
    <mergeCell ref="VM228:VY229"/>
    <mergeCell ref="VZ228:WA229"/>
    <mergeCell ref="WB228:WC229"/>
    <mergeCell ref="WD228:WD229"/>
    <mergeCell ref="WE228:WF229"/>
    <mergeCell ref="WG228:WG229"/>
    <mergeCell ref="VL231:VL233"/>
    <mergeCell ref="VX231:VY231"/>
    <mergeCell ref="VZ231:WA231"/>
    <mergeCell ref="WB231:WC231"/>
    <mergeCell ref="WD231:WG231"/>
    <mergeCell ref="VM232:VY233"/>
    <mergeCell ref="VZ232:WA233"/>
    <mergeCell ref="WB232:WC233"/>
    <mergeCell ref="WD232:WD233"/>
    <mergeCell ref="WE232:WF233"/>
    <mergeCell ref="WG232:WG233"/>
    <mergeCell ref="ZG107:ZG109"/>
    <mergeCell ref="ZS107:ZT107"/>
    <mergeCell ref="ZU107:ZV107"/>
    <mergeCell ref="ZW107:ZX107"/>
    <mergeCell ref="ZY107:AAB107"/>
    <mergeCell ref="ZH108:ZT109"/>
    <mergeCell ref="ZU108:ZV109"/>
    <mergeCell ref="ZW108:ZX109"/>
    <mergeCell ref="ZY108:ZY109"/>
    <mergeCell ref="ZZ108:AAA109"/>
    <mergeCell ref="AAB108:AAB109"/>
    <mergeCell ref="ZG111:ZG113"/>
    <mergeCell ref="ZS111:ZT111"/>
    <mergeCell ref="ZU111:ZV111"/>
    <mergeCell ref="ZW111:ZX111"/>
    <mergeCell ref="ZY111:AAB111"/>
    <mergeCell ref="ZH112:ZT113"/>
    <mergeCell ref="ZU112:ZV113"/>
    <mergeCell ref="ZW112:ZX113"/>
    <mergeCell ref="ZY112:ZY113"/>
    <mergeCell ref="ZZ112:AAA113"/>
    <mergeCell ref="AAB112:AAB113"/>
    <mergeCell ref="ZU115:ZV115"/>
    <mergeCell ref="ZW115:ZX115"/>
    <mergeCell ref="ZY115:AAB115"/>
    <mergeCell ref="ZH116:ZT117"/>
    <mergeCell ref="ZU116:ZV117"/>
    <mergeCell ref="ZW116:ZX117"/>
    <mergeCell ref="ZY116:ZY117"/>
    <mergeCell ref="ZZ116:AAA117"/>
    <mergeCell ref="AAB116:AAB117"/>
    <mergeCell ref="ZG119:ZG121"/>
    <mergeCell ref="ZS119:ZT119"/>
    <mergeCell ref="ZU119:ZV119"/>
    <mergeCell ref="ZW119:ZX119"/>
    <mergeCell ref="ZY119:AAB119"/>
    <mergeCell ref="ZH120:ZT121"/>
    <mergeCell ref="ZU120:ZV121"/>
    <mergeCell ref="ZW120:ZX121"/>
    <mergeCell ref="ZY120:ZY121"/>
    <mergeCell ref="ZZ120:AAA121"/>
    <mergeCell ref="AAB120:AAB121"/>
    <mergeCell ref="ZU123:ZV123"/>
    <mergeCell ref="ZW123:ZX123"/>
    <mergeCell ref="ZY123:AAB123"/>
    <mergeCell ref="ZH124:ZT125"/>
    <mergeCell ref="ZU124:ZV125"/>
    <mergeCell ref="ZW124:ZX125"/>
    <mergeCell ref="ZY124:ZY125"/>
    <mergeCell ref="ZZ124:AAA125"/>
    <mergeCell ref="AAB124:AAB125"/>
    <mergeCell ref="ZG127:ZG129"/>
    <mergeCell ref="ZS127:ZT127"/>
    <mergeCell ref="ZU127:ZV127"/>
    <mergeCell ref="ZW127:ZX127"/>
    <mergeCell ref="ZY127:AAB127"/>
    <mergeCell ref="ZH128:ZT129"/>
    <mergeCell ref="ZU128:ZV129"/>
    <mergeCell ref="ZW128:ZX129"/>
    <mergeCell ref="ZY128:ZY129"/>
    <mergeCell ref="ZZ128:AAA129"/>
    <mergeCell ref="AAB128:AAB129"/>
    <mergeCell ref="ZU139:ZV139"/>
    <mergeCell ref="ZW139:ZX139"/>
    <mergeCell ref="ZY139:AAB139"/>
    <mergeCell ref="ZH140:ZT141"/>
    <mergeCell ref="ZU140:ZV141"/>
    <mergeCell ref="ZW140:ZX141"/>
    <mergeCell ref="ZY140:ZY141"/>
    <mergeCell ref="ZZ140:AAA141"/>
    <mergeCell ref="AAB140:AAB141"/>
    <mergeCell ref="ZG131:ZG133"/>
    <mergeCell ref="ZS131:ZT131"/>
    <mergeCell ref="ZU131:ZV131"/>
    <mergeCell ref="ZW131:ZX131"/>
    <mergeCell ref="ZY131:AAB131"/>
    <mergeCell ref="ZH132:ZT133"/>
    <mergeCell ref="ZU132:ZV133"/>
    <mergeCell ref="ZW132:ZX133"/>
    <mergeCell ref="ZY132:ZY133"/>
    <mergeCell ref="ZZ132:AAA133"/>
    <mergeCell ref="AAB132:AAB133"/>
    <mergeCell ref="ZG135:ZG137"/>
    <mergeCell ref="ZS135:ZT135"/>
    <mergeCell ref="ZU135:ZV135"/>
    <mergeCell ref="ZW135:ZX135"/>
    <mergeCell ref="ZY135:AAB135"/>
    <mergeCell ref="ZH136:ZT137"/>
    <mergeCell ref="ZU136:ZV137"/>
    <mergeCell ref="ZW136:ZX137"/>
    <mergeCell ref="ZY136:ZY137"/>
    <mergeCell ref="ZZ136:AAA137"/>
    <mergeCell ref="AAB136:AAB137"/>
    <mergeCell ref="GT119:GW119"/>
    <mergeCell ref="GT120:GW121"/>
    <mergeCell ref="II125:IU126"/>
    <mergeCell ref="IV125:IW126"/>
    <mergeCell ref="IX125:IY126"/>
    <mergeCell ref="II127:IU128"/>
    <mergeCell ref="IV127:IW128"/>
    <mergeCell ref="IX127:IY128"/>
    <mergeCell ref="II129:IU130"/>
    <mergeCell ref="IV129:IW130"/>
    <mergeCell ref="IX129:IY130"/>
    <mergeCell ref="II131:IU132"/>
    <mergeCell ref="IV131:IW132"/>
    <mergeCell ref="IX131:IY132"/>
    <mergeCell ref="ZG139:ZG141"/>
    <mergeCell ref="ZS139:ZT139"/>
    <mergeCell ref="ZG123:ZG125"/>
    <mergeCell ref="ZS123:ZT123"/>
    <mergeCell ref="ZG115:ZG117"/>
    <mergeCell ref="ZS115:ZT115"/>
    <mergeCell ref="VL139:VL141"/>
    <mergeCell ref="VX139:VY139"/>
    <mergeCell ref="VZ139:WA139"/>
    <mergeCell ref="WB139:WC139"/>
    <mergeCell ref="WD139:WG139"/>
    <mergeCell ref="VM140:VY141"/>
    <mergeCell ref="VZ140:WA141"/>
    <mergeCell ref="WB140:WC141"/>
    <mergeCell ref="WD140:WD141"/>
    <mergeCell ref="WE140:WF141"/>
    <mergeCell ref="WG140:WG141"/>
  </mergeCells>
  <hyperlinks>
    <hyperlink ref="Y6" r:id="rId1"/>
    <hyperlink ref="N6" r:id="rId2"/>
    <hyperlink ref="P6" r:id="rId3"/>
    <hyperlink ref="O6" r:id="rId4"/>
    <hyperlink ref="AK11" location="'Описание компонентов'!A1" display=""/>
    <hyperlink ref="AD11" location="'Описание компонентов'!A1" display="в1"/>
    <hyperlink ref="AE11" location="'Описание компонентов'!A1" display="в2"/>
    <hyperlink ref="AF11" location="'Выборочные таблицы'!A1" display="h1"/>
    <hyperlink ref="AK15" location="'Описание компонентов'!A1" display=""/>
    <hyperlink ref="AD15" location="'Описание компонентов'!A1" display="в1"/>
    <hyperlink ref="AE15" location="'Описание компонентов'!A1" display="в2"/>
    <hyperlink ref="AF15" location="'Выборочные таблицы'!A1" display="h1"/>
    <hyperlink ref="AK19" location="'Описание компонентов'!A1" display=""/>
    <hyperlink ref="AD19" location="'Описание компонентов'!A1" display="в1"/>
    <hyperlink ref="AE19" location="'Описание компонентов'!A1" display="в2"/>
    <hyperlink ref="AF19" location="'Выборочные таблицы'!A1" display="h1"/>
    <hyperlink ref="AK23" location="'Описание компонентов'!A1" display=""/>
    <hyperlink ref="AD23" location="'Описание компонентов'!A1" display="в1"/>
    <hyperlink ref="AE23" location="'Описание компонентов'!A1" display="в2"/>
    <hyperlink ref="AF23" location="'Выборочные таблицы'!A1" display="h1"/>
    <hyperlink ref="AN27" location="'Описание компонентов'!A1" display=""/>
    <hyperlink ref="AS20:AT21" location="'Раздел (1-11)'!AE18" display="DA"/>
    <hyperlink ref="AK31" location="'Описание компонентов'!A1" display=""/>
    <hyperlink ref="AK35" location="'Описание компонентов'!A1" display=""/>
    <hyperlink ref="AN43" location="'Описание компонентов'!A1" display=""/>
    <hyperlink ref="AN47" location="'Описание компонентов'!A1" display=""/>
    <hyperlink ref="AN51" location="'Описание компонентов'!A1" display=""/>
    <hyperlink ref="AK39" location="'Описание компонентов'!A1" display=""/>
    <hyperlink ref="AN55" location="'Описание компонентов'!A1" display=""/>
    <hyperlink ref="AN59" location="'Описание компонентов'!A1" display=""/>
    <hyperlink ref="AK63" location="'Описание компонентов'!A1" display=""/>
    <hyperlink ref="AL68" location="'Описание компонентов'!A1" display=""/>
    <hyperlink ref="AK72" location="'Описание компонентов'!A1" display=""/>
    <hyperlink ref="AK76" location="'Описание компонентов'!A1" display=""/>
    <hyperlink ref="AI23" location="'Программные таблицы'!R2" display=""/>
    <hyperlink ref="Y7" r:id="rId5"/>
    <hyperlink ref="Y8" r:id="rId6"/>
    <hyperlink ref="V4" r:id="rId7"/>
    <hyperlink ref="AL51" location="'Программные таблицы'!S38" display=""/>
    <hyperlink ref="AL27" location="'Программные таблицы'!L38" display=""/>
    <hyperlink ref="AL55" location="'Программные таблицы'!AB37" display=""/>
    <hyperlink ref="Y9" r:id="rId8"/>
    <hyperlink ref="AK80" location="'Описание компонентов'!A1" display=""/>
    <hyperlink ref="BZ75" location="'Описание компонентов'!A1" display=""/>
    <hyperlink ref="BZ11" location="'Описание компонентов'!A1" display=""/>
    <hyperlink ref="BZ15" location="'Описание компонентов'!A1" display=""/>
    <hyperlink ref="BZ19" location="'Описание компонентов'!A1" display=""/>
    <hyperlink ref="BZ23" location="'Описание компонентов'!A1" display=""/>
    <hyperlink ref="BZ27" location="'Описание компонентов'!A1" display=""/>
    <hyperlink ref="BZ35" location="'Описание компонентов'!A1" display=""/>
    <hyperlink ref="BZ39" location="'Описание компонентов'!A1" display=""/>
    <hyperlink ref="BZ47" location="'Описание компонентов'!A1" display=""/>
    <hyperlink ref="BZ43" location="'Описание компонентов'!A1" display=""/>
    <hyperlink ref="CA31" location="'Описание компонентов'!A1" display=""/>
    <hyperlink ref="BX11" location="'Программные таблицы'!AV49" display=""/>
    <hyperlink ref="BX15" location="'Программные таблицы'!AV49" display=""/>
    <hyperlink ref="AL59" location="'Программные таблицы'!AB37" display=""/>
    <hyperlink ref="BK2" r:id="rId9"/>
    <hyperlink ref="BK3" r:id="rId10"/>
    <hyperlink ref="BK4" r:id="rId11"/>
    <hyperlink ref="BK5" r:id="rId12"/>
    <hyperlink ref="DM3" r:id="rId13"/>
    <hyperlink ref="DM4" r:id="rId14"/>
    <hyperlink ref="DM5" r:id="rId15"/>
    <hyperlink ref="DM6" r:id="rId16"/>
    <hyperlink ref="CC51" location="'Описание компонентов'!A1" display=""/>
    <hyperlink ref="BZ55" location="'Описание компонентов'!A1" display=""/>
    <hyperlink ref="EE15" location="'Описание компонентов'!A1" display=""/>
    <hyperlink ref="BZ59" location="'Описание компонентов'!A1" display=""/>
    <hyperlink ref="BZ63" location="'Описание компонентов'!A1" display=""/>
    <hyperlink ref="BZ67" location="'Описание компонентов'!A1" display=""/>
    <hyperlink ref="BZ71" location="'Описание компонентов'!A1" display=""/>
    <hyperlink ref="CA51" location="'Программные таблицы'!AJ50" display=""/>
    <hyperlink ref="BZ79" location="'Описание компонентов'!A1" display=""/>
    <hyperlink ref="EB23" location="'Описание компонентов'!A1" display=""/>
    <hyperlink ref="BZ87" location="'Описание компонентов'!A1" display=""/>
    <hyperlink ref="BZ83" location="'Описание компонентов'!A1" display=""/>
    <hyperlink ref="AL47" location="'Программные таблицы'!AP33" display=""/>
    <hyperlink ref="AL43" location="'Программные таблицы'!AP33" display=""/>
    <hyperlink ref="BS67" location="'Вывод расчетов (1-11)'!AE60" display="А"/>
    <hyperlink ref="BX75" location="'Программные таблицы'!H48" display=""/>
    <hyperlink ref="BZ91" location="'Описание компонентов'!A1" display=""/>
    <hyperlink ref="CC95" location="'Описание компонентов'!A1" display=""/>
    <hyperlink ref="EE19" location="'Описание компонентов'!A1" display=""/>
    <hyperlink ref="BZ111" location="'Описание компонентов'!A1" display=""/>
    <hyperlink ref="BZ99" location="'Описание компонентов'!A1" display=""/>
    <hyperlink ref="CC103" location="'Описание компонентов'!A1" display=""/>
    <hyperlink ref="CC107" location="'Описание компонентов'!A1" display=""/>
    <hyperlink ref="BT87" location="'Вывод расчетов (1-11)'!AE32" display="D"/>
    <hyperlink ref="CA95" location="'Программные таблицы'!BQ52" display=""/>
    <hyperlink ref="BZ115" location="'Описание компонентов'!A1" display=""/>
    <hyperlink ref="BS115" location="'Вывод расчетов (1-11)'!AE20" display="Da"/>
    <hyperlink ref="CA103" location="'Программные таблицы'!U60" display=""/>
    <hyperlink ref="BS111" location="'Вывод расчетов (1-11)'!BT100" display="="/>
    <hyperlink ref="BS99" location="'Вывод расчетов (1-11)'!BT112" display="="/>
    <hyperlink ref="EE11" location="'Описание компонентов'!A1" display=""/>
    <hyperlink ref="EB27" location="'Описание компонентов'!A1" display=""/>
    <hyperlink ref="EB31" location="'Описание компонентов'!A1" display=""/>
    <hyperlink ref="EB35" location="'Описание компонентов'!A1" display=""/>
    <hyperlink ref="EB39" location="'Описание компонентов'!A1" display=""/>
    <hyperlink ref="EB43" location="'Описание компонентов'!A1" display=""/>
    <hyperlink ref="EB47" location="'Описание компонентов'!A1" display=""/>
    <hyperlink ref="EB51" location="'Описание компонентов'!A1" display=""/>
    <hyperlink ref="EB67" location="'Описание компонентов'!A1" display=""/>
    <hyperlink ref="EB71" location="'Описание компонентов'!A1" display=""/>
    <hyperlink ref="EB75" location="'Описание компонентов'!A1" display=""/>
    <hyperlink ref="EB79" location="'Описание компонентов'!A1" display=""/>
    <hyperlink ref="EB83" location="'Описание компонентов'!A1" display=""/>
    <hyperlink ref="EB87" location="'Описание компонентов'!A1" display=""/>
    <hyperlink ref="EB91" location="'Описание компонентов'!A1" display=""/>
    <hyperlink ref="EB95" location="'Описание компонентов'!A1" display=""/>
    <hyperlink ref="EB99" location="'Описание компонентов'!A1" display=""/>
    <hyperlink ref="EB103" location="'Описание компонентов'!AD20" display=""/>
    <hyperlink ref="GH11" location="'Описание компонентов'!A1" display=""/>
    <hyperlink ref="GH15" location="'Описание компонентов'!A1" display=""/>
    <hyperlink ref="GH19" location="'Описание компонентов'!A1" display=""/>
    <hyperlink ref="EB55" location="'Описание компонентов'!A1" display=""/>
    <hyperlink ref="EB59" location="'Описание компонентов'!A1" display=""/>
    <hyperlink ref="EB63" location="'Описание компонентов'!A1" display=""/>
    <hyperlink ref="FU3" r:id="rId17"/>
    <hyperlink ref="FU4" r:id="rId18"/>
    <hyperlink ref="FU5" r:id="rId19"/>
    <hyperlink ref="FU6" r:id="rId20"/>
    <hyperlink ref="IG3" r:id="rId21"/>
    <hyperlink ref="IG4" r:id="rId22"/>
    <hyperlink ref="IG5" r:id="rId23"/>
    <hyperlink ref="IG6" r:id="rId24"/>
    <hyperlink ref="LN3" r:id="rId25"/>
    <hyperlink ref="LN4" r:id="rId26"/>
    <hyperlink ref="LN5" r:id="rId27"/>
    <hyperlink ref="LN6" r:id="rId28"/>
    <hyperlink ref="OT3" r:id="rId29"/>
    <hyperlink ref="OT4" r:id="rId30"/>
    <hyperlink ref="OT5" r:id="rId31"/>
    <hyperlink ref="OT6" r:id="rId32"/>
    <hyperlink ref="RP3" r:id="rId33"/>
    <hyperlink ref="RP4" r:id="rId34"/>
    <hyperlink ref="RP5" r:id="rId35"/>
    <hyperlink ref="RP6" r:id="rId36"/>
    <hyperlink ref="GH23" location="'Описание компонентов'!A1" display=""/>
    <hyperlink ref="GH27" location="'Описание компонентов'!A1" display=""/>
    <hyperlink ref="GH31" location="'Описание компонентов'!A1" display=""/>
    <hyperlink ref="GH43" location="'Описание компонентов'!A1" display=""/>
    <hyperlink ref="GH39" location="'Описание компонентов'!A1" display=""/>
    <hyperlink ref="GH35" location="'Описание компонентов'!A1" display=""/>
    <hyperlink ref="IS11" location="'Описание компонентов'!A1" display=""/>
    <hyperlink ref="IS19" location="'Описание компонентов'!A1" display=""/>
    <hyperlink ref="IS23" location="'Описание компонентов'!A1" display=""/>
    <hyperlink ref="IS27" location="'Описание компонентов'!A1" display=""/>
    <hyperlink ref="IS31" location="'Описание компонентов'!A1" display=""/>
    <hyperlink ref="IS39" location="'Описание компонентов'!A1" display=""/>
    <hyperlink ref="IS35" location="'Описание компонентов'!A1" display=""/>
    <hyperlink ref="MA11" location="'Описание компонентов'!A1" display=""/>
    <hyperlink ref="MA15" location="'Описание компонентов'!A1" display=""/>
    <hyperlink ref="MA19" location="'Описание компонентов'!A1" display=""/>
    <hyperlink ref="MA23" location="'Описание компонентов'!A1" display=""/>
    <hyperlink ref="MA27" location="'Описание компонентов'!A1" display=""/>
    <hyperlink ref="MA31" location="'Описание компонентов'!A1" display=""/>
    <hyperlink ref="MA39" location="'Описание компонентов'!A1" display=""/>
    <hyperlink ref="MA35" location="'Описание компонентов'!A1" display=""/>
    <hyperlink ref="PK11" location="'Описание компонентов'!A1" display=""/>
    <hyperlink ref="PK15" location="'Описание компонентов'!A1" display=""/>
    <hyperlink ref="PK19" location="'Описание компонентов'!A1" display=""/>
    <hyperlink ref="PK23" location="'Описание компонентов'!A1" display=""/>
    <hyperlink ref="PK27" location="'Описание компонентов'!A1" display=""/>
    <hyperlink ref="PK31" location="'Описание компонентов'!A1" display=""/>
    <hyperlink ref="PK39" location="'Описание компонентов'!A1" display=""/>
    <hyperlink ref="PK35" location="'Описание компонентов'!A1" display=""/>
    <hyperlink ref="SI11" location="'Описание компонентов'!A1" display=""/>
    <hyperlink ref="SI15" location="'Описание компонентов'!A1" display=""/>
    <hyperlink ref="SI19" location="'Описание компонентов'!A1" display=""/>
    <hyperlink ref="SI23" location="'Описание компонентов'!A1" display=""/>
    <hyperlink ref="SI27" location="'Описание компонентов'!A1" display=""/>
    <hyperlink ref="SI31" location="'Описание компонентов'!A1" display=""/>
    <hyperlink ref="SI39" location="'Описание компонентов'!A1" display=""/>
    <hyperlink ref="SI35" location="'Описание компонентов'!A1" display=""/>
    <hyperlink ref="BB2" r:id="rId37"/>
    <hyperlink ref="DD3" r:id="rId38"/>
    <hyperlink ref="FL4" r:id="rId39"/>
    <hyperlink ref="HX4" r:id="rId40"/>
    <hyperlink ref="LE4" r:id="rId41"/>
    <hyperlink ref="OK4" r:id="rId42"/>
    <hyperlink ref="RG4" r:id="rId43"/>
    <hyperlink ref="VW11" location="'Описание компонентов'!A1" display=""/>
    <hyperlink ref="VW15" location="'Описание компонентов'!A1" display=""/>
    <hyperlink ref="VW19" location="'Описание компонентов'!A1" display=""/>
    <hyperlink ref="VW23" location="'Описание компонентов'!A1" display=""/>
    <hyperlink ref="VW27" location="'Описание компонентов'!A1" display=""/>
    <hyperlink ref="VW31" location="'Описание компонентов'!A1" display=""/>
    <hyperlink ref="VW39" location="'Описание компонентов'!A1" display=""/>
    <hyperlink ref="VW35" location="'Описание компонентов'!A1" display=""/>
    <hyperlink ref="ZR11" location="'Описание компонентов'!A1" display=""/>
    <hyperlink ref="ZR15" location="'Описание компонентов'!A1" display=""/>
    <hyperlink ref="ZR19" location="'Описание компонентов'!A1" display=""/>
    <hyperlink ref="ZR23" location="'Описание компонентов'!A1" display=""/>
    <hyperlink ref="ZR27" location="'Описание компонентов'!A1" display=""/>
    <hyperlink ref="ZR31" location="'Описание компонентов'!A1" display=""/>
    <hyperlink ref="ZR39" location="'Описание компонентов'!A1" display=""/>
    <hyperlink ref="ZR35" location="'Описание компонентов'!A1" display=""/>
    <hyperlink ref="ACQ11" location="'Описание компонентов'!A1" display=""/>
    <hyperlink ref="ACQ15" location="'Описание компонентов'!A1" display=""/>
    <hyperlink ref="ACQ19" location="'Описание компонентов'!A1" display=""/>
    <hyperlink ref="ACQ23" location="'Описание компонентов'!A1" display=""/>
    <hyperlink ref="ACQ27" location="'Описание компонентов'!A1" display=""/>
    <hyperlink ref="ACQ31" location="'Описание компонентов'!A1" display=""/>
    <hyperlink ref="ACQ39" location="'Описание компонентов'!A1" display=""/>
    <hyperlink ref="ACQ35" location="'Описание компонентов'!A1" display=""/>
    <hyperlink ref="VI3" r:id="rId44"/>
    <hyperlink ref="VI4" r:id="rId45"/>
    <hyperlink ref="VI5" r:id="rId46"/>
    <hyperlink ref="VI6" r:id="rId47"/>
    <hyperlink ref="UZ4" r:id="rId48"/>
    <hyperlink ref="ZA3" r:id="rId49"/>
    <hyperlink ref="ZA4" r:id="rId50"/>
    <hyperlink ref="ZA5" r:id="rId51"/>
    <hyperlink ref="ZA6" r:id="rId52"/>
    <hyperlink ref="YR4" r:id="rId53"/>
    <hyperlink ref="ABV3" r:id="rId54"/>
    <hyperlink ref="ABV4" r:id="rId55"/>
    <hyperlink ref="ABV5" r:id="rId56"/>
    <hyperlink ref="ABV6" r:id="rId57"/>
    <hyperlink ref="ABM4" r:id="rId58"/>
    <hyperlink ref="GH47" location="'Описание компонентов'!A1" display=""/>
    <hyperlink ref="GH51" location="'Описание компонентов'!A1" display=""/>
    <hyperlink ref="GH63" location="'Описание компонентов'!A1" display=""/>
    <hyperlink ref="GH59" location="'Описание компонентов'!A1" display=""/>
    <hyperlink ref="GH55" location="'Описание компонентов'!A1" display=""/>
    <hyperlink ref="GH67" location="'Описание компонентов'!A1" display=""/>
    <hyperlink ref="GH71" location="'Описание компонентов'!A1" display=""/>
    <hyperlink ref="GH83" location="'Описание компонентов'!A1" display=""/>
    <hyperlink ref="GH79" location="'Описание компонентов'!A1" display=""/>
    <hyperlink ref="GH75" location="'Описание компонентов'!A1" display=""/>
    <hyperlink ref="GH87" location="'Описание компонентов'!A1" display=""/>
    <hyperlink ref="GH91" location="'Описание компонентов'!A1" display=""/>
    <hyperlink ref="GH103" location="'Описание компонентов'!A1" display=""/>
    <hyperlink ref="GH99" location="'Описание компонентов'!A1" display=""/>
    <hyperlink ref="GH95" location="'Описание компонентов'!A1" display=""/>
    <hyperlink ref="GH107" location="'Описание компонентов'!A1" display=""/>
    <hyperlink ref="GH111" location="'Описание компонентов'!A1" display=""/>
    <hyperlink ref="GH123" location="'Описание компонентов'!A1" display=""/>
    <hyperlink ref="GH119" location="'Описание компонентов'!A1" display=""/>
    <hyperlink ref="GH115" location="'Описание компонентов'!A1" display=""/>
    <hyperlink ref="GH127" location="'Описание компонентов'!A1" display=""/>
    <hyperlink ref="GH131" location="'Описание компонентов'!A1" display=""/>
    <hyperlink ref="IS51" location="'Описание компонентов'!A1" display=""/>
    <hyperlink ref="IS47" location="'Описание компонентов'!A1" display=""/>
    <hyperlink ref="IS43" location="'Описание компонентов'!A1" display=""/>
    <hyperlink ref="IS55" location="'Описание компонентов'!A1" display=""/>
    <hyperlink ref="IS59" location="'Описание компонентов'!A1" display=""/>
    <hyperlink ref="IS63" location="'Описание компонентов'!A1" display=""/>
    <hyperlink ref="IS71" location="'Описание компонентов'!A1" display=""/>
    <hyperlink ref="IS67" location="'Описание компонентов'!A1" display=""/>
    <hyperlink ref="IS83" location="'Описание компонентов'!A1" display=""/>
    <hyperlink ref="IS79" location="'Описание компонентов'!A1" display=""/>
    <hyperlink ref="IS75" location="'Описание компонентов'!A1" display=""/>
    <hyperlink ref="MA43" location="'Описание компонентов'!A1" display=""/>
    <hyperlink ref="MA47" location="'Описание компонентов'!A1" display=""/>
    <hyperlink ref="MA51" location="'Описание компонентов'!A1" display=""/>
    <hyperlink ref="MA59" location="'Описание компонентов'!A1" display=""/>
    <hyperlink ref="MA55" location="'Описание компонентов'!A1" display=""/>
    <hyperlink ref="MA71" location="'Описание компонентов'!A1" display=""/>
    <hyperlink ref="MA67" location="'Описание компонентов'!A1" display=""/>
    <hyperlink ref="MA63" location="'Описание компонентов'!A1" display=""/>
    <hyperlink ref="MA75" location="'Описание компонентов'!A1" display=""/>
    <hyperlink ref="MA79" location="'Описание компонентов'!A1" display=""/>
    <hyperlink ref="MA83" location="'Описание компонентов'!A1" display=""/>
    <hyperlink ref="MA91" location="'Описание компонентов'!A1" display=""/>
    <hyperlink ref="MA87" location="'Описание компонентов'!A1" display=""/>
    <hyperlink ref="MA103" location="'Описание компонентов'!A1" display=""/>
    <hyperlink ref="MA99" location="'Описание компонентов'!A1" display=""/>
    <hyperlink ref="MA95" location="'Описание компонентов'!A1" display=""/>
    <hyperlink ref="IS87" location="'Описание компонентов'!A1" display=""/>
    <hyperlink ref="IS91" location="'Описание компонентов'!A1" display=""/>
    <hyperlink ref="IS95" location="'Описание компонентов'!A1" display=""/>
    <hyperlink ref="IS103" location="'Описание компонентов'!A1" display=""/>
    <hyperlink ref="IS99" location="'Описание компонентов'!A1" display=""/>
    <hyperlink ref="IS115" location="'Описание компонентов'!A1" display=""/>
    <hyperlink ref="IS111" location="'Описание компонентов'!A1" display=""/>
    <hyperlink ref="IS107" location="'Описание компонентов'!A1" display=""/>
    <hyperlink ref="PK43" location="'Описание компонентов'!A1" display=""/>
    <hyperlink ref="PK47" location="'Описание компонентов'!A1" display=""/>
    <hyperlink ref="PK51" location="'Описание компонентов'!A1" display=""/>
    <hyperlink ref="PK55" location="'Описание компонентов'!A1" display=""/>
    <hyperlink ref="PK59" location="'Описание компонентов'!A1" display=""/>
    <hyperlink ref="PK63" location="'Описание компонентов'!A1" display=""/>
    <hyperlink ref="PK71" location="'Описание компонентов'!A1" display=""/>
    <hyperlink ref="PK67" location="'Описание компонентов'!A1" display=""/>
    <hyperlink ref="ZR43" location="'Описание компонентов'!A1" display=""/>
    <hyperlink ref="ZR47" location="'Описание компонентов'!A1" display=""/>
    <hyperlink ref="ZR51" location="'Описание компонентов'!A1" display=""/>
    <hyperlink ref="ZR55" location="'Описание компонентов'!A1" display=""/>
    <hyperlink ref="ZR59" location="'Описание компонентов'!A1" display=""/>
    <hyperlink ref="ZR63" location="'Описание компонентов'!A1" display=""/>
    <hyperlink ref="ZR71" location="'Описание компонентов'!A1" display=""/>
    <hyperlink ref="ZR67" location="'Описание компонентов'!A1" display=""/>
    <hyperlink ref="ZR75" location="'Описание компонентов'!A1" display=""/>
    <hyperlink ref="ZR79" location="'Описание компонентов'!A1" display=""/>
    <hyperlink ref="ZR83" location="'Описание компонентов'!A1" display=""/>
    <hyperlink ref="ZR87" location="'Описание компонентов'!A1" display=""/>
    <hyperlink ref="ZR91" location="'Описание компонентов'!A1" display=""/>
    <hyperlink ref="ZR95" location="'Описание компонентов'!A1" display=""/>
    <hyperlink ref="ZR103" location="'Описание компонентов'!A1" display=""/>
    <hyperlink ref="ZR99" location="'Описание компонентов'!A1" display=""/>
    <hyperlink ref="VW43" location="'Описание компонентов'!A1" display=""/>
    <hyperlink ref="VW47" location="'Описание компонентов'!A1" display=""/>
    <hyperlink ref="VW51" location="'Описание компонентов'!A1" display=""/>
    <hyperlink ref="VW55" location="'Описание компонентов'!A1" display=""/>
    <hyperlink ref="VW59" location="'Описание компонентов'!A1" display=""/>
    <hyperlink ref="VW63" location="'Описание компонентов'!A1" display=""/>
    <hyperlink ref="VW71" location="'Описание компонентов'!A1" display=""/>
    <hyperlink ref="VW67" location="'Описание компонентов'!A1" display=""/>
    <hyperlink ref="VW75" location="'Описание компонентов'!A1" display=""/>
    <hyperlink ref="VW79" location="'Описание компонентов'!A1" display=""/>
    <hyperlink ref="VW83" location="'Описание компонентов'!A1" display=""/>
    <hyperlink ref="VW87" location="'Описание компонентов'!A1" display=""/>
    <hyperlink ref="VW91" location="'Описание компонентов'!A1" display=""/>
    <hyperlink ref="VW95" location="'Описание компонентов'!A1" display=""/>
    <hyperlink ref="VW103" location="'Описание компонентов'!A1" display=""/>
    <hyperlink ref="VW99" location="'Описание компонентов'!A1" display=""/>
    <hyperlink ref="VW107" location="'Описание компонентов'!A1" display=""/>
    <hyperlink ref="VW111" location="'Описание компонентов'!A1" display=""/>
    <hyperlink ref="VW115" location="'Описание компонентов'!A1" display=""/>
    <hyperlink ref="VW119" location="'Описание компонентов'!A1" display=""/>
    <hyperlink ref="VW123" location="'Описание компонентов'!A1" display=""/>
    <hyperlink ref="VW127" location="'Описание компонентов'!A1" display=""/>
    <hyperlink ref="VW135" location="'Описание компонентов'!A1" display=""/>
    <hyperlink ref="VW131" location="'Описание компонентов'!A1" display=""/>
    <hyperlink ref="VW139" location="'Описание компонентов'!A1" display=""/>
    <hyperlink ref="VW143" location="'Описание компонентов'!A1" display=""/>
    <hyperlink ref="VW147" location="'Описание компонентов'!A1" display=""/>
    <hyperlink ref="VW151" location="'Описание компонентов'!A1" display=""/>
    <hyperlink ref="VW155" location="'Описание компонентов'!A1" display=""/>
    <hyperlink ref="VW159" location="'Описание компонентов'!A1" display=""/>
    <hyperlink ref="VW167" location="'Описание компонентов'!A1" display=""/>
    <hyperlink ref="VW163" location="'Описание компонентов'!A1" display=""/>
    <hyperlink ref="VW171" location="'Описание компонентов'!A1" display=""/>
    <hyperlink ref="VW175" location="'Описание компонентов'!A1" display=""/>
    <hyperlink ref="VW179" location="'Описание компонентов'!A1" display=""/>
    <hyperlink ref="VW183" location="'Описание компонентов'!A1" display=""/>
    <hyperlink ref="VW187" location="'Описание компонентов'!A1" display=""/>
    <hyperlink ref="VW191" location="'Описание компонентов'!A1" display=""/>
    <hyperlink ref="VW199" location="'Описание компонентов'!A1" display=""/>
    <hyperlink ref="VW195" location="'Описание компонентов'!A1" display=""/>
    <hyperlink ref="VW203" location="'Описание компонентов'!A1" display=""/>
    <hyperlink ref="VW207" location="'Описание компонентов'!A1" display=""/>
    <hyperlink ref="VW211" location="'Описание компонентов'!A1" display=""/>
    <hyperlink ref="VW215" location="'Описание компонентов'!A1" display=""/>
    <hyperlink ref="VW219" location="'Описание компонентов'!A1" display=""/>
    <hyperlink ref="VW223" location="'Описание компонентов'!A1" display=""/>
    <hyperlink ref="VW227" location="'Описание компонентов'!A1" display=""/>
    <hyperlink ref="ZR107" location="'Описание компонентов'!A1" display=""/>
    <hyperlink ref="VW231" location="'Описание компонентов'!A1" display=""/>
    <hyperlink ref="ZR111" location="'Описание компонентов'!A1" display=""/>
    <hyperlink ref="ZR115" location="'Описание компонентов'!A1" display=""/>
    <hyperlink ref="ZR119" location="'Описание компонентов'!A1" display=""/>
    <hyperlink ref="ZR123" location="'Описание компонентов'!A1" display=""/>
    <hyperlink ref="ZR127" location="'Описание компонентов'!A1" display=""/>
    <hyperlink ref="ZR131" location="'Описание компонентов'!A1" display=""/>
    <hyperlink ref="ZR139" location="'Описание компонентов'!A1" display=""/>
    <hyperlink ref="ZR135" location="'Описание компонентов'!A1" display=""/>
    <hyperlink ref="IS15" location="'Описание компонентов'!A1" display=""/>
    <hyperlink ref="HS25" location="'Описание компонентов'!A1" display=""/>
    <hyperlink ref="HS29" location="'Описание компонентов'!A1" display=""/>
    <hyperlink ref="IS119" location="'Описание компонентов'!A1" display=""/>
    <hyperlink ref="MA111" location="'Описание компонентов'!A1" display=""/>
    <hyperlink ref="MA107" location="'Описание компонентов'!A1" display=""/>
    <hyperlink ref="MA119" location="'Описание компонентов'!A1" display=""/>
    <hyperlink ref="MA115" location="'Описание компонентов'!A1" display=""/>
    <hyperlink ref="MA127" location="'Описание компонентов'!A1" display=""/>
    <hyperlink ref="MA123" location="'Описание компонентов'!A1" display=""/>
    <hyperlink ref="MA135" location="'Описание компонентов'!A1" display=""/>
    <hyperlink ref="MA131" location="'Описание компонентов'!A1" display=""/>
    <hyperlink ref="MA143" location="'Описание компонентов'!A1" display=""/>
    <hyperlink ref="MA139" location="'Описание компонентов'!A1" display=""/>
    <hyperlink ref="MA151" location="'Описание компонентов'!A1" display=""/>
    <hyperlink ref="MA147" location="'Описание компонентов'!A1" display=""/>
    <hyperlink ref="MA159" location="'Описание компонентов'!A1" display=""/>
    <hyperlink ref="MA155" location="'Описание компонентов'!A1" display=""/>
    <hyperlink ref="MA167" location="'Описание компонентов'!A1" display=""/>
    <hyperlink ref="MA163" location="'Описание компонентов'!A1" display=""/>
    <hyperlink ref="PK75" location="'Описание компонентов'!A1" display=""/>
    <hyperlink ref="MA171" location="'Описание компонентов'!A1" display=""/>
  </hyperlinks>
  <pageMargins left="0.7" right="0.7" top="0.75" bottom="0.75" header="0.3" footer="0.3"/>
  <pageSetup paperSize="9" orientation="landscape" r:id="rId59"/>
  <drawing r:id="rId60"/>
  <legacyDrawing r:id="rId61"/>
  <oleObjects>
    <mc:AlternateContent xmlns:mc="http://schemas.openxmlformats.org/markup-compatibility/2006">
      <mc:Choice Requires="x14">
        <oleObject progId="Equation.DSMT4" shapeId="1048" r:id="rId62">
          <objectPr defaultSize="0" autoPict="0" r:id="rId63">
            <anchor moveWithCells="1">
              <from>
                <xdr:col>47</xdr:col>
                <xdr:colOff>95250</xdr:colOff>
                <xdr:row>76</xdr:row>
                <xdr:rowOff>161925</xdr:rowOff>
              </from>
              <to>
                <xdr:col>52</xdr:col>
                <xdr:colOff>457200</xdr:colOff>
                <xdr:row>77</xdr:row>
                <xdr:rowOff>438150</xdr:rowOff>
              </to>
            </anchor>
          </objectPr>
        </oleObject>
      </mc:Choice>
      <mc:Fallback>
        <oleObject progId="Equation.DSMT4" shapeId="1048" r:id="rId62"/>
      </mc:Fallback>
    </mc:AlternateContent>
    <mc:AlternateContent xmlns:mc="http://schemas.openxmlformats.org/markup-compatibility/2006">
      <mc:Choice Requires="x14">
        <oleObject progId="Equation.DSMT4" shapeId="1165" r:id="rId64">
          <objectPr defaultSize="0" autoPict="0" r:id="rId65">
            <anchor moveWithCells="1">
              <from>
                <xdr:col>207</xdr:col>
                <xdr:colOff>314325</xdr:colOff>
                <xdr:row>78</xdr:row>
                <xdr:rowOff>228600</xdr:rowOff>
              </from>
              <to>
                <xdr:col>212</xdr:col>
                <xdr:colOff>19050</xdr:colOff>
                <xdr:row>80</xdr:row>
                <xdr:rowOff>447675</xdr:rowOff>
              </to>
            </anchor>
          </objectPr>
        </oleObject>
      </mc:Choice>
      <mc:Fallback>
        <oleObject progId="Equation.DSMT4" shapeId="1165" r:id="rId64"/>
      </mc:Fallback>
    </mc:AlternateContent>
    <mc:AlternateContent xmlns:mc="http://schemas.openxmlformats.org/markup-compatibility/2006">
      <mc:Choice Requires="x14">
        <oleObject progId="Equation.DSMT4" shapeId="1166" r:id="rId66">
          <objectPr defaultSize="0" autoPict="0" r:id="rId67">
            <anchor moveWithCells="1">
              <from>
                <xdr:col>200</xdr:col>
                <xdr:colOff>161925</xdr:colOff>
                <xdr:row>79</xdr:row>
                <xdr:rowOff>123825</xdr:rowOff>
              </from>
              <to>
                <xdr:col>206</xdr:col>
                <xdr:colOff>476250</xdr:colOff>
                <xdr:row>80</xdr:row>
                <xdr:rowOff>419100</xdr:rowOff>
              </to>
            </anchor>
          </objectPr>
        </oleObject>
      </mc:Choice>
      <mc:Fallback>
        <oleObject progId="Equation.DSMT4" shapeId="1166" r:id="rId66"/>
      </mc:Fallback>
    </mc:AlternateContent>
    <mc:AlternateContent xmlns:mc="http://schemas.openxmlformats.org/markup-compatibility/2006">
      <mc:Choice Requires="x14">
        <oleObject progId="Equation.DSMT4" shapeId="1167" r:id="rId68">
          <objectPr defaultSize="0" autoPict="0" r:id="rId69">
            <anchor moveWithCells="1">
              <from>
                <xdr:col>200</xdr:col>
                <xdr:colOff>180975</xdr:colOff>
                <xdr:row>75</xdr:row>
                <xdr:rowOff>152400</xdr:rowOff>
              </from>
              <to>
                <xdr:col>204</xdr:col>
                <xdr:colOff>390525</xdr:colOff>
                <xdr:row>76</xdr:row>
                <xdr:rowOff>485775</xdr:rowOff>
              </to>
            </anchor>
          </objectPr>
        </oleObject>
      </mc:Choice>
      <mc:Fallback>
        <oleObject progId="Equation.DSMT4" shapeId="1167" r:id="rId68"/>
      </mc:Fallback>
    </mc:AlternateContent>
    <mc:AlternateContent xmlns:mc="http://schemas.openxmlformats.org/markup-compatibility/2006">
      <mc:Choice Requires="x14">
        <oleObject progId="Equation.DSMT4" shapeId="1168" r:id="rId70">
          <objectPr defaultSize="0" autoPict="0" r:id="rId71">
            <anchor moveWithCells="1">
              <from>
                <xdr:col>200</xdr:col>
                <xdr:colOff>400050</xdr:colOff>
                <xdr:row>91</xdr:row>
                <xdr:rowOff>295275</xdr:rowOff>
              </from>
              <to>
                <xdr:col>203</xdr:col>
                <xdr:colOff>304800</xdr:colOff>
                <xdr:row>92</xdr:row>
                <xdr:rowOff>352425</xdr:rowOff>
              </to>
            </anchor>
          </objectPr>
        </oleObject>
      </mc:Choice>
      <mc:Fallback>
        <oleObject progId="Equation.DSMT4" shapeId="1168" r:id="rId70"/>
      </mc:Fallback>
    </mc:AlternateContent>
    <mc:AlternateContent xmlns:mc="http://schemas.openxmlformats.org/markup-compatibility/2006">
      <mc:Choice Requires="x14">
        <oleObject progId="Equation.DSMT4" shapeId="1170" r:id="rId72">
          <objectPr defaultSize="0" autoPict="0" r:id="rId73">
            <anchor moveWithCells="1">
              <from>
                <xdr:col>200</xdr:col>
                <xdr:colOff>390525</xdr:colOff>
                <xdr:row>95</xdr:row>
                <xdr:rowOff>190500</xdr:rowOff>
              </from>
              <to>
                <xdr:col>206</xdr:col>
                <xdr:colOff>381000</xdr:colOff>
                <xdr:row>96</xdr:row>
                <xdr:rowOff>419100</xdr:rowOff>
              </to>
            </anchor>
          </objectPr>
        </oleObject>
      </mc:Choice>
      <mc:Fallback>
        <oleObject progId="Equation.DSMT4" shapeId="1170" r:id="rId72"/>
      </mc:Fallback>
    </mc:AlternateContent>
    <mc:AlternateContent xmlns:mc="http://schemas.openxmlformats.org/markup-compatibility/2006">
      <mc:Choice Requires="x14">
        <oleObject progId="Equation.DSMT4" shapeId="1171" r:id="rId74">
          <objectPr defaultSize="0" autoPict="0" r:id="rId75">
            <anchor moveWithCells="1">
              <from>
                <xdr:col>200</xdr:col>
                <xdr:colOff>276225</xdr:colOff>
                <xdr:row>99</xdr:row>
                <xdr:rowOff>228600</xdr:rowOff>
              </from>
              <to>
                <xdr:col>206</xdr:col>
                <xdr:colOff>361950</xdr:colOff>
                <xdr:row>100</xdr:row>
                <xdr:rowOff>390525</xdr:rowOff>
              </to>
            </anchor>
          </objectPr>
        </oleObject>
      </mc:Choice>
      <mc:Fallback>
        <oleObject progId="Equation.DSMT4" shapeId="1171" r:id="rId74"/>
      </mc:Fallback>
    </mc:AlternateContent>
    <mc:AlternateContent xmlns:mc="http://schemas.openxmlformats.org/markup-compatibility/2006">
      <mc:Choice Requires="x14">
        <oleObject progId="Equation.DSMT4" shapeId="1172" r:id="rId76">
          <objectPr defaultSize="0" autoPict="0" r:id="rId77">
            <anchor moveWithCells="1">
              <from>
                <xdr:col>201</xdr:col>
                <xdr:colOff>304800</xdr:colOff>
                <xdr:row>103</xdr:row>
                <xdr:rowOff>161925</xdr:rowOff>
              </from>
              <to>
                <xdr:col>203</xdr:col>
                <xdr:colOff>247650</xdr:colOff>
                <xdr:row>104</xdr:row>
                <xdr:rowOff>466725</xdr:rowOff>
              </to>
            </anchor>
          </objectPr>
        </oleObject>
      </mc:Choice>
      <mc:Fallback>
        <oleObject progId="Equation.DSMT4" shapeId="1172" r:id="rId76"/>
      </mc:Fallback>
    </mc:AlternateContent>
    <mc:AlternateContent xmlns:mc="http://schemas.openxmlformats.org/markup-compatibility/2006">
      <mc:Choice Requires="x14">
        <oleObject progId="Equation.DSMT4" shapeId="1173" r:id="rId78">
          <objectPr defaultSize="0" autoPict="0" r:id="rId79">
            <anchor moveWithCells="1">
              <from>
                <xdr:col>200</xdr:col>
                <xdr:colOff>171450</xdr:colOff>
                <xdr:row>107</xdr:row>
                <xdr:rowOff>171450</xdr:rowOff>
              </from>
              <to>
                <xdr:col>202</xdr:col>
                <xdr:colOff>266700</xdr:colOff>
                <xdr:row>108</xdr:row>
                <xdr:rowOff>381000</xdr:rowOff>
              </to>
            </anchor>
          </objectPr>
        </oleObject>
      </mc:Choice>
      <mc:Fallback>
        <oleObject progId="Equation.DSMT4" shapeId="1173" r:id="rId78"/>
      </mc:Fallback>
    </mc:AlternateContent>
    <mc:AlternateContent xmlns:mc="http://schemas.openxmlformats.org/markup-compatibility/2006">
      <mc:Choice Requires="x14">
        <oleObject progId="Equation.DSMT4" shapeId="1174" r:id="rId80">
          <objectPr defaultSize="0" r:id="rId81">
            <anchor moveWithCells="1">
              <from>
                <xdr:col>142</xdr:col>
                <xdr:colOff>200025</xdr:colOff>
                <xdr:row>51</xdr:row>
                <xdr:rowOff>352425</xdr:rowOff>
              </from>
              <to>
                <xdr:col>145</xdr:col>
                <xdr:colOff>152400</xdr:colOff>
                <xdr:row>52</xdr:row>
                <xdr:rowOff>400050</xdr:rowOff>
              </to>
            </anchor>
          </objectPr>
        </oleObject>
      </mc:Choice>
      <mc:Fallback>
        <oleObject progId="Equation.DSMT4" shapeId="1174" r:id="rId80"/>
      </mc:Fallback>
    </mc:AlternateContent>
    <mc:AlternateContent xmlns:mc="http://schemas.openxmlformats.org/markup-compatibility/2006">
      <mc:Choice Requires="x14">
        <oleObject progId="Equation.DSMT4" shapeId="1175" r:id="rId82">
          <objectPr defaultSize="0" autoPict="0" r:id="rId83">
            <anchor moveWithCells="1">
              <from>
                <xdr:col>142</xdr:col>
                <xdr:colOff>238125</xdr:colOff>
                <xdr:row>67</xdr:row>
                <xdr:rowOff>228600</xdr:rowOff>
              </from>
              <to>
                <xdr:col>146</xdr:col>
                <xdr:colOff>19050</xdr:colOff>
                <xdr:row>68</xdr:row>
                <xdr:rowOff>381000</xdr:rowOff>
              </to>
            </anchor>
          </objectPr>
        </oleObject>
      </mc:Choice>
      <mc:Fallback>
        <oleObject progId="Equation.DSMT4" shapeId="1175" r:id="rId82"/>
      </mc:Fallback>
    </mc:AlternateContent>
    <mc:AlternateContent xmlns:mc="http://schemas.openxmlformats.org/markup-compatibility/2006">
      <mc:Choice Requires="x14">
        <oleObject progId="Equation.DSMT4" shapeId="1176" r:id="rId84">
          <objectPr defaultSize="0" r:id="rId85">
            <anchor moveWithCells="1">
              <from>
                <xdr:col>142</xdr:col>
                <xdr:colOff>209550</xdr:colOff>
                <xdr:row>71</xdr:row>
                <xdr:rowOff>219075</xdr:rowOff>
              </from>
              <to>
                <xdr:col>147</xdr:col>
                <xdr:colOff>457200</xdr:colOff>
                <xdr:row>72</xdr:row>
                <xdr:rowOff>352425</xdr:rowOff>
              </to>
            </anchor>
          </objectPr>
        </oleObject>
      </mc:Choice>
      <mc:Fallback>
        <oleObject progId="Equation.DSMT4" shapeId="1176" r:id="rId84"/>
      </mc:Fallback>
    </mc:AlternateContent>
    <mc:AlternateContent xmlns:mc="http://schemas.openxmlformats.org/markup-compatibility/2006">
      <mc:Choice Requires="x14">
        <oleObject progId="Equation.DSMT4" shapeId="1177" r:id="rId86">
          <objectPr defaultSize="0" autoPict="0" r:id="rId87">
            <anchor moveWithCells="1">
              <from>
                <xdr:col>142</xdr:col>
                <xdr:colOff>276225</xdr:colOff>
                <xdr:row>75</xdr:row>
                <xdr:rowOff>285750</xdr:rowOff>
              </from>
              <to>
                <xdr:col>146</xdr:col>
                <xdr:colOff>361950</xdr:colOff>
                <xdr:row>76</xdr:row>
                <xdr:rowOff>400050</xdr:rowOff>
              </to>
            </anchor>
          </objectPr>
        </oleObject>
      </mc:Choice>
      <mc:Fallback>
        <oleObject progId="Equation.DSMT4" shapeId="1177" r:id="rId86"/>
      </mc:Fallback>
    </mc:AlternateContent>
    <mc:AlternateContent xmlns:mc="http://schemas.openxmlformats.org/markup-compatibility/2006">
      <mc:Choice Requires="x14">
        <oleObject progId="Equation.DSMT4" shapeId="1178" r:id="rId88">
          <objectPr defaultSize="0" autoPict="0" r:id="rId89">
            <anchor moveWithCells="1">
              <from>
                <xdr:col>142</xdr:col>
                <xdr:colOff>238125</xdr:colOff>
                <xdr:row>79</xdr:row>
                <xdr:rowOff>371475</xdr:rowOff>
              </from>
              <to>
                <xdr:col>145</xdr:col>
                <xdr:colOff>190500</xdr:colOff>
                <xdr:row>80</xdr:row>
                <xdr:rowOff>257175</xdr:rowOff>
              </to>
            </anchor>
          </objectPr>
        </oleObject>
      </mc:Choice>
      <mc:Fallback>
        <oleObject progId="Equation.DSMT4" shapeId="1178" r:id="rId88"/>
      </mc:Fallback>
    </mc:AlternateContent>
    <mc:AlternateContent xmlns:mc="http://schemas.openxmlformats.org/markup-compatibility/2006">
      <mc:Choice Requires="x14">
        <oleObject progId="Equation.DSMT4" shapeId="1179" r:id="rId90">
          <objectPr defaultSize="0" autoPict="0" r:id="rId91">
            <anchor moveWithCells="1">
              <from>
                <xdr:col>142</xdr:col>
                <xdr:colOff>323850</xdr:colOff>
                <xdr:row>83</xdr:row>
                <xdr:rowOff>400050</xdr:rowOff>
              </from>
              <to>
                <xdr:col>145</xdr:col>
                <xdr:colOff>219075</xdr:colOff>
                <xdr:row>84</xdr:row>
                <xdr:rowOff>228600</xdr:rowOff>
              </to>
            </anchor>
          </objectPr>
        </oleObject>
      </mc:Choice>
      <mc:Fallback>
        <oleObject progId="Equation.DSMT4" shapeId="1179" r:id="rId90"/>
      </mc:Fallback>
    </mc:AlternateContent>
    <mc:AlternateContent xmlns:mc="http://schemas.openxmlformats.org/markup-compatibility/2006">
      <mc:Choice Requires="x14">
        <oleObject progId="Equation.DSMT4" shapeId="1180" r:id="rId92">
          <objectPr defaultSize="0" autoPict="0" r:id="rId93">
            <anchor moveWithCells="1">
              <from>
                <xdr:col>142</xdr:col>
                <xdr:colOff>219075</xdr:colOff>
                <xdr:row>87</xdr:row>
                <xdr:rowOff>323850</xdr:rowOff>
              </from>
              <to>
                <xdr:col>145</xdr:col>
                <xdr:colOff>295275</xdr:colOff>
                <xdr:row>88</xdr:row>
                <xdr:rowOff>238125</xdr:rowOff>
              </to>
            </anchor>
          </objectPr>
        </oleObject>
      </mc:Choice>
      <mc:Fallback>
        <oleObject progId="Equation.DSMT4" shapeId="1180" r:id="rId92"/>
      </mc:Fallback>
    </mc:AlternateContent>
    <mc:AlternateContent xmlns:mc="http://schemas.openxmlformats.org/markup-compatibility/2006">
      <mc:Choice Requires="x14">
        <oleObject progId="Equation.DSMT4" shapeId="1181" r:id="rId94">
          <objectPr defaultSize="0" autoPict="0" r:id="rId95">
            <anchor moveWithCells="1">
              <from>
                <xdr:col>142</xdr:col>
                <xdr:colOff>161925</xdr:colOff>
                <xdr:row>91</xdr:row>
                <xdr:rowOff>247650</xdr:rowOff>
              </from>
              <to>
                <xdr:col>146</xdr:col>
                <xdr:colOff>466725</xdr:colOff>
                <xdr:row>92</xdr:row>
                <xdr:rowOff>352425</xdr:rowOff>
              </to>
            </anchor>
          </objectPr>
        </oleObject>
      </mc:Choice>
      <mc:Fallback>
        <oleObject progId="Equation.DSMT4" shapeId="1181" r:id="rId94"/>
      </mc:Fallback>
    </mc:AlternateContent>
    <mc:AlternateContent xmlns:mc="http://schemas.openxmlformats.org/markup-compatibility/2006">
      <mc:Choice Requires="x14">
        <oleObject progId="Equation.DSMT4" shapeId="1182" r:id="rId96">
          <objectPr defaultSize="0" autoPict="0" r:id="rId97">
            <anchor moveWithCells="1">
              <from>
                <xdr:col>142</xdr:col>
                <xdr:colOff>133350</xdr:colOff>
                <xdr:row>95</xdr:row>
                <xdr:rowOff>419100</xdr:rowOff>
              </from>
              <to>
                <xdr:col>146</xdr:col>
                <xdr:colOff>333375</xdr:colOff>
                <xdr:row>96</xdr:row>
                <xdr:rowOff>180975</xdr:rowOff>
              </to>
            </anchor>
          </objectPr>
        </oleObject>
      </mc:Choice>
      <mc:Fallback>
        <oleObject progId="Equation.DSMT4" shapeId="1182" r:id="rId96"/>
      </mc:Fallback>
    </mc:AlternateContent>
    <mc:AlternateContent xmlns:mc="http://schemas.openxmlformats.org/markup-compatibility/2006">
      <mc:Choice Requires="x14">
        <oleObject progId="Equation.DSMT4" shapeId="1183" r:id="rId98">
          <objectPr defaultSize="0" autoPict="0" r:id="rId99">
            <anchor moveWithCells="1">
              <from>
                <xdr:col>142</xdr:col>
                <xdr:colOff>180975</xdr:colOff>
                <xdr:row>99</xdr:row>
                <xdr:rowOff>361950</xdr:rowOff>
              </from>
              <to>
                <xdr:col>146</xdr:col>
                <xdr:colOff>295275</xdr:colOff>
                <xdr:row>100</xdr:row>
                <xdr:rowOff>238125</xdr:rowOff>
              </to>
            </anchor>
          </objectPr>
        </oleObject>
      </mc:Choice>
      <mc:Fallback>
        <oleObject progId="Equation.DSMT4" shapeId="1183" r:id="rId98"/>
      </mc:Fallback>
    </mc:AlternateContent>
    <mc:AlternateContent xmlns:mc="http://schemas.openxmlformats.org/markup-compatibility/2006">
      <mc:Choice Requires="x14">
        <oleObject progId="Equation.DSMT4" shapeId="1184" r:id="rId100">
          <objectPr defaultSize="0" autoPict="0" r:id="rId101">
            <anchor moveWithCells="1">
              <from>
                <xdr:col>88</xdr:col>
                <xdr:colOff>276225</xdr:colOff>
                <xdr:row>19</xdr:row>
                <xdr:rowOff>95250</xdr:rowOff>
              </from>
              <to>
                <xdr:col>91</xdr:col>
                <xdr:colOff>200025</xdr:colOff>
                <xdr:row>20</xdr:row>
                <xdr:rowOff>400050</xdr:rowOff>
              </to>
            </anchor>
          </objectPr>
        </oleObject>
      </mc:Choice>
      <mc:Fallback>
        <oleObject progId="Equation.DSMT4" shapeId="1184" r:id="rId100"/>
      </mc:Fallback>
    </mc:AlternateContent>
    <mc:AlternateContent xmlns:mc="http://schemas.openxmlformats.org/markup-compatibility/2006">
      <mc:Choice Requires="x14">
        <oleObject progId="Equation.DSMT4" shapeId="1187" r:id="rId102">
          <objectPr defaultSize="0" autoPict="0" r:id="rId103">
            <anchor moveWithCells="1">
              <from>
                <xdr:col>88</xdr:col>
                <xdr:colOff>514350</xdr:colOff>
                <xdr:row>35</xdr:row>
                <xdr:rowOff>171450</xdr:rowOff>
              </from>
              <to>
                <xdr:col>91</xdr:col>
                <xdr:colOff>152400</xdr:colOff>
                <xdr:row>36</xdr:row>
                <xdr:rowOff>447675</xdr:rowOff>
              </to>
            </anchor>
          </objectPr>
        </oleObject>
      </mc:Choice>
      <mc:Fallback>
        <oleObject progId="Equation.DSMT4" shapeId="1187" r:id="rId102"/>
      </mc:Fallback>
    </mc:AlternateContent>
    <mc:AlternateContent xmlns:mc="http://schemas.openxmlformats.org/markup-compatibility/2006">
      <mc:Choice Requires="x14">
        <oleObject progId="Equation.DSMT4" shapeId="1188" r:id="rId104">
          <objectPr defaultSize="0" autoPict="0" r:id="rId105">
            <anchor moveWithCells="1">
              <from>
                <xdr:col>88</xdr:col>
                <xdr:colOff>276225</xdr:colOff>
                <xdr:row>39</xdr:row>
                <xdr:rowOff>123825</xdr:rowOff>
              </from>
              <to>
                <xdr:col>91</xdr:col>
                <xdr:colOff>219075</xdr:colOff>
                <xdr:row>40</xdr:row>
                <xdr:rowOff>390525</xdr:rowOff>
              </to>
            </anchor>
          </objectPr>
        </oleObject>
      </mc:Choice>
      <mc:Fallback>
        <oleObject progId="Equation.DSMT4" shapeId="1188" r:id="rId104"/>
      </mc:Fallback>
    </mc:AlternateContent>
    <mc:AlternateContent xmlns:mc="http://schemas.openxmlformats.org/markup-compatibility/2006">
      <mc:Choice Requires="x14">
        <oleObject progId="Equation.DSMT4" shapeId="1189" r:id="rId106">
          <objectPr defaultSize="0" autoPict="0" r:id="rId107">
            <anchor moveWithCells="1">
              <from>
                <xdr:col>90</xdr:col>
                <xdr:colOff>333375</xdr:colOff>
                <xdr:row>43</xdr:row>
                <xdr:rowOff>190500</xdr:rowOff>
              </from>
              <to>
                <xdr:col>93</xdr:col>
                <xdr:colOff>200025</xdr:colOff>
                <xdr:row>44</xdr:row>
                <xdr:rowOff>428625</xdr:rowOff>
              </to>
            </anchor>
          </objectPr>
        </oleObject>
      </mc:Choice>
      <mc:Fallback>
        <oleObject progId="Equation.DSMT4" shapeId="1189" r:id="rId106"/>
      </mc:Fallback>
    </mc:AlternateContent>
    <mc:AlternateContent xmlns:mc="http://schemas.openxmlformats.org/markup-compatibility/2006">
      <mc:Choice Requires="x14">
        <oleObject progId="Equation.DSMT4" shapeId="1190" r:id="rId108">
          <objectPr defaultSize="0" autoPict="0" r:id="rId109">
            <anchor moveWithCells="1">
              <from>
                <xdr:col>88</xdr:col>
                <xdr:colOff>180975</xdr:colOff>
                <xdr:row>55</xdr:row>
                <xdr:rowOff>190500</xdr:rowOff>
              </from>
              <to>
                <xdr:col>91</xdr:col>
                <xdr:colOff>342900</xdr:colOff>
                <xdr:row>56</xdr:row>
                <xdr:rowOff>285750</xdr:rowOff>
              </to>
            </anchor>
          </objectPr>
        </oleObject>
      </mc:Choice>
      <mc:Fallback>
        <oleObject progId="Equation.DSMT4" shapeId="1190" r:id="rId108"/>
      </mc:Fallback>
    </mc:AlternateContent>
    <mc:AlternateContent xmlns:mc="http://schemas.openxmlformats.org/markup-compatibility/2006">
      <mc:Choice Requires="x14">
        <oleObject progId="Equation.DSMT4" shapeId="1191" r:id="rId110">
          <objectPr defaultSize="0" autoPict="0" r:id="rId111">
            <anchor moveWithCells="1">
              <from>
                <xdr:col>88</xdr:col>
                <xdr:colOff>95250</xdr:colOff>
                <xdr:row>63</xdr:row>
                <xdr:rowOff>190500</xdr:rowOff>
              </from>
              <to>
                <xdr:col>90</xdr:col>
                <xdr:colOff>466725</xdr:colOff>
                <xdr:row>64</xdr:row>
                <xdr:rowOff>428625</xdr:rowOff>
              </to>
            </anchor>
          </objectPr>
        </oleObject>
      </mc:Choice>
      <mc:Fallback>
        <oleObject progId="Equation.DSMT4" shapeId="1191" r:id="rId110"/>
      </mc:Fallback>
    </mc:AlternateContent>
    <mc:AlternateContent xmlns:mc="http://schemas.openxmlformats.org/markup-compatibility/2006">
      <mc:Choice Requires="x14">
        <oleObject progId="Equation.DSMT4" shapeId="1192" r:id="rId112">
          <objectPr defaultSize="0" autoPict="0" r:id="rId113">
            <anchor moveWithCells="1">
              <from>
                <xdr:col>88</xdr:col>
                <xdr:colOff>95250</xdr:colOff>
                <xdr:row>67</xdr:row>
                <xdr:rowOff>142875</xdr:rowOff>
              </from>
              <to>
                <xdr:col>91</xdr:col>
                <xdr:colOff>466725</xdr:colOff>
                <xdr:row>68</xdr:row>
                <xdr:rowOff>409575</xdr:rowOff>
              </to>
            </anchor>
          </objectPr>
        </oleObject>
      </mc:Choice>
      <mc:Fallback>
        <oleObject progId="Equation.DSMT4" shapeId="1192" r:id="rId112"/>
      </mc:Fallback>
    </mc:AlternateContent>
    <mc:AlternateContent xmlns:mc="http://schemas.openxmlformats.org/markup-compatibility/2006">
      <mc:Choice Requires="x14">
        <oleObject progId="Equation.DSMT4" shapeId="1193" r:id="rId114">
          <objectPr defaultSize="0" autoPict="0" r:id="rId115">
            <anchor moveWithCells="1">
              <from>
                <xdr:col>88</xdr:col>
                <xdr:colOff>180975</xdr:colOff>
                <xdr:row>71</xdr:row>
                <xdr:rowOff>381000</xdr:rowOff>
              </from>
              <to>
                <xdr:col>91</xdr:col>
                <xdr:colOff>409575</xdr:colOff>
                <xdr:row>72</xdr:row>
                <xdr:rowOff>304800</xdr:rowOff>
              </to>
            </anchor>
          </objectPr>
        </oleObject>
      </mc:Choice>
      <mc:Fallback>
        <oleObject progId="Equation.DSMT4" shapeId="1193" r:id="rId114"/>
      </mc:Fallback>
    </mc:AlternateContent>
    <mc:AlternateContent xmlns:mc="http://schemas.openxmlformats.org/markup-compatibility/2006">
      <mc:Choice Requires="x14">
        <oleObject progId="Equation.DSMT4" shapeId="1194" r:id="rId116">
          <objectPr defaultSize="0" autoPict="0" r:id="rId117">
            <anchor moveWithCells="1">
              <from>
                <xdr:col>88</xdr:col>
                <xdr:colOff>104775</xdr:colOff>
                <xdr:row>83</xdr:row>
                <xdr:rowOff>228600</xdr:rowOff>
              </from>
              <to>
                <xdr:col>92</xdr:col>
                <xdr:colOff>419100</xdr:colOff>
                <xdr:row>84</xdr:row>
                <xdr:rowOff>476250</xdr:rowOff>
              </to>
            </anchor>
          </objectPr>
        </oleObject>
      </mc:Choice>
      <mc:Fallback>
        <oleObject progId="Equation.DSMT4" shapeId="1194" r:id="rId116"/>
      </mc:Fallback>
    </mc:AlternateContent>
    <mc:AlternateContent xmlns:mc="http://schemas.openxmlformats.org/markup-compatibility/2006">
      <mc:Choice Requires="x14">
        <oleObject progId="Equation.DSMT4" shapeId="1195" r:id="rId118">
          <objectPr defaultSize="0" autoPict="0" r:id="rId119">
            <anchor moveWithCells="1">
              <from>
                <xdr:col>88</xdr:col>
                <xdr:colOff>209550</xdr:colOff>
                <xdr:row>87</xdr:row>
                <xdr:rowOff>180975</xdr:rowOff>
              </from>
              <to>
                <xdr:col>90</xdr:col>
                <xdr:colOff>161925</xdr:colOff>
                <xdr:row>88</xdr:row>
                <xdr:rowOff>352425</xdr:rowOff>
              </to>
            </anchor>
          </objectPr>
        </oleObject>
      </mc:Choice>
      <mc:Fallback>
        <oleObject progId="Equation.DSMT4" shapeId="1195" r:id="rId118"/>
      </mc:Fallback>
    </mc:AlternateContent>
    <mc:AlternateContent xmlns:mc="http://schemas.openxmlformats.org/markup-compatibility/2006">
      <mc:Choice Requires="x14">
        <oleObject progId="Equation.DSMT4" shapeId="1196" r:id="rId120">
          <objectPr defaultSize="0" autoPict="0" r:id="rId121">
            <anchor moveWithCells="1">
              <from>
                <xdr:col>89</xdr:col>
                <xdr:colOff>304800</xdr:colOff>
                <xdr:row>91</xdr:row>
                <xdr:rowOff>161925</xdr:rowOff>
              </from>
              <to>
                <xdr:col>92</xdr:col>
                <xdr:colOff>47625</xdr:colOff>
                <xdr:row>92</xdr:row>
                <xdr:rowOff>342900</xdr:rowOff>
              </to>
            </anchor>
          </objectPr>
        </oleObject>
      </mc:Choice>
      <mc:Fallback>
        <oleObject progId="Equation.DSMT4" shapeId="1196" r:id="rId120"/>
      </mc:Fallback>
    </mc:AlternateContent>
    <mc:AlternateContent xmlns:mc="http://schemas.openxmlformats.org/markup-compatibility/2006">
      <mc:Choice Requires="x14">
        <oleObject progId="Equation.DSMT4" shapeId="1197" r:id="rId122">
          <objectPr defaultSize="0" autoPict="0" r:id="rId123">
            <anchor moveWithCells="1">
              <from>
                <xdr:col>96</xdr:col>
                <xdr:colOff>266700</xdr:colOff>
                <xdr:row>99</xdr:row>
                <xdr:rowOff>76200</xdr:rowOff>
              </from>
              <to>
                <xdr:col>99</xdr:col>
                <xdr:colOff>314325</xdr:colOff>
                <xdr:row>100</xdr:row>
                <xdr:rowOff>514350</xdr:rowOff>
              </to>
            </anchor>
          </objectPr>
        </oleObject>
      </mc:Choice>
      <mc:Fallback>
        <oleObject progId="Equation.DSMT4" shapeId="1197" r:id="rId122"/>
      </mc:Fallback>
    </mc:AlternateContent>
    <mc:AlternateContent xmlns:mc="http://schemas.openxmlformats.org/markup-compatibility/2006">
      <mc:Choice Requires="x14">
        <oleObject progId="Equation.DSMT4" shapeId="1199" r:id="rId124">
          <objectPr defaultSize="0" autoPict="0" r:id="rId125">
            <anchor moveWithCells="1">
              <from>
                <xdr:col>88</xdr:col>
                <xdr:colOff>161925</xdr:colOff>
                <xdr:row>115</xdr:row>
                <xdr:rowOff>142875</xdr:rowOff>
              </from>
              <to>
                <xdr:col>91</xdr:col>
                <xdr:colOff>428625</xdr:colOff>
                <xdr:row>116</xdr:row>
                <xdr:rowOff>476250</xdr:rowOff>
              </to>
            </anchor>
          </objectPr>
        </oleObject>
      </mc:Choice>
      <mc:Fallback>
        <oleObject progId="Equation.DSMT4" shapeId="1199" r:id="rId124"/>
      </mc:Fallback>
    </mc:AlternateContent>
    <mc:AlternateContent xmlns:mc="http://schemas.openxmlformats.org/markup-compatibility/2006">
      <mc:Choice Requires="x14">
        <oleObject progId="Equation.DSMT4" shapeId="1200" r:id="rId126">
          <objectPr defaultSize="0" autoPict="0" r:id="rId127">
            <anchor moveWithCells="1">
              <from>
                <xdr:col>200</xdr:col>
                <xdr:colOff>295275</xdr:colOff>
                <xdr:row>55</xdr:row>
                <xdr:rowOff>76200</xdr:rowOff>
              </from>
              <to>
                <xdr:col>202</xdr:col>
                <xdr:colOff>171450</xdr:colOff>
                <xdr:row>56</xdr:row>
                <xdr:rowOff>476250</xdr:rowOff>
              </to>
            </anchor>
          </objectPr>
        </oleObject>
      </mc:Choice>
      <mc:Fallback>
        <oleObject progId="Equation.DSMT4" shapeId="1200" r:id="rId126"/>
      </mc:Fallback>
    </mc:AlternateContent>
    <mc:AlternateContent xmlns:mc="http://schemas.openxmlformats.org/markup-compatibility/2006">
      <mc:Choice Requires="x14">
        <oleObject progId="Equation.DSMT4" shapeId="1201" r:id="rId128">
          <objectPr defaultSize="0" r:id="rId129">
            <anchor moveWithCells="1">
              <from>
                <xdr:col>200</xdr:col>
                <xdr:colOff>428625</xdr:colOff>
                <xdr:row>47</xdr:row>
                <xdr:rowOff>161925</xdr:rowOff>
              </from>
              <to>
                <xdr:col>203</xdr:col>
                <xdr:colOff>514350</xdr:colOff>
                <xdr:row>48</xdr:row>
                <xdr:rowOff>295275</xdr:rowOff>
              </to>
            </anchor>
          </objectPr>
        </oleObject>
      </mc:Choice>
      <mc:Fallback>
        <oleObject progId="Equation.DSMT4" shapeId="1201" r:id="rId128"/>
      </mc:Fallback>
    </mc:AlternateContent>
    <mc:AlternateContent xmlns:mc="http://schemas.openxmlformats.org/markup-compatibility/2006">
      <mc:Choice Requires="x14">
        <oleObject progId="Equation.DSMT4" shapeId="1202" r:id="rId130">
          <objectPr defaultSize="0" autoPict="0" r:id="rId131">
            <anchor moveWithCells="1">
              <from>
                <xdr:col>200</xdr:col>
                <xdr:colOff>504825</xdr:colOff>
                <xdr:row>43</xdr:row>
                <xdr:rowOff>314325</xdr:rowOff>
              </from>
              <to>
                <xdr:col>203</xdr:col>
                <xdr:colOff>142875</xdr:colOff>
                <xdr:row>44</xdr:row>
                <xdr:rowOff>133350</xdr:rowOff>
              </to>
            </anchor>
          </objectPr>
        </oleObject>
      </mc:Choice>
      <mc:Fallback>
        <oleObject progId="Equation.DSMT4" shapeId="1202" r:id="rId130"/>
      </mc:Fallback>
    </mc:AlternateContent>
    <mc:AlternateContent xmlns:mc="http://schemas.openxmlformats.org/markup-compatibility/2006">
      <mc:Choice Requires="x14">
        <oleObject progId="Equation.DSMT4" shapeId="1203" r:id="rId132">
          <objectPr defaultSize="0" autoPict="0" r:id="rId133">
            <anchor moveWithCells="1">
              <from>
                <xdr:col>200</xdr:col>
                <xdr:colOff>219075</xdr:colOff>
                <xdr:row>111</xdr:row>
                <xdr:rowOff>123825</xdr:rowOff>
              </from>
              <to>
                <xdr:col>202</xdr:col>
                <xdr:colOff>219075</xdr:colOff>
                <xdr:row>112</xdr:row>
                <xdr:rowOff>333375</xdr:rowOff>
              </to>
            </anchor>
          </objectPr>
        </oleObject>
      </mc:Choice>
      <mc:Fallback>
        <oleObject progId="Equation.DSMT4" shapeId="1203" r:id="rId132"/>
      </mc:Fallback>
    </mc:AlternateContent>
    <mc:AlternateContent xmlns:mc="http://schemas.openxmlformats.org/markup-compatibility/2006">
      <mc:Choice Requires="x14">
        <oleObject progId="Equation.DSMT4" shapeId="1204" r:id="rId134">
          <objectPr defaultSize="0" autoPict="0" r:id="rId135">
            <anchor moveWithCells="1">
              <from>
                <xdr:col>200</xdr:col>
                <xdr:colOff>400050</xdr:colOff>
                <xdr:row>115</xdr:row>
                <xdr:rowOff>180975</xdr:rowOff>
              </from>
              <to>
                <xdr:col>203</xdr:col>
                <xdr:colOff>257175</xdr:colOff>
                <xdr:row>116</xdr:row>
                <xdr:rowOff>381000</xdr:rowOff>
              </to>
            </anchor>
          </objectPr>
        </oleObject>
      </mc:Choice>
      <mc:Fallback>
        <oleObject progId="Equation.DSMT4" shapeId="1204" r:id="rId134"/>
      </mc:Fallback>
    </mc:AlternateContent>
    <mc:AlternateContent xmlns:mc="http://schemas.openxmlformats.org/markup-compatibility/2006">
      <mc:Choice Requires="x14">
        <oleObject progId="Equation.DSMT4" shapeId="1205" r:id="rId136">
          <objectPr defaultSize="0" r:id="rId137">
            <anchor moveWithCells="1">
              <from>
                <xdr:col>200</xdr:col>
                <xdr:colOff>238125</xdr:colOff>
                <xdr:row>123</xdr:row>
                <xdr:rowOff>504825</xdr:rowOff>
              </from>
              <to>
                <xdr:col>202</xdr:col>
                <xdr:colOff>495300</xdr:colOff>
                <xdr:row>124</xdr:row>
                <xdr:rowOff>238125</xdr:rowOff>
              </to>
            </anchor>
          </objectPr>
        </oleObject>
      </mc:Choice>
      <mc:Fallback>
        <oleObject progId="Equation.DSMT4" shapeId="1205" r:id="rId136"/>
      </mc:Fallback>
    </mc:AlternateContent>
    <mc:AlternateContent xmlns:mc="http://schemas.openxmlformats.org/markup-compatibility/2006">
      <mc:Choice Requires="x14">
        <oleObject progId="Equation.DSMT4" shapeId="1206" r:id="rId138">
          <objectPr defaultSize="0" autoPict="0" r:id="rId139">
            <anchor moveWithCells="1">
              <from>
                <xdr:col>200</xdr:col>
                <xdr:colOff>238125</xdr:colOff>
                <xdr:row>131</xdr:row>
                <xdr:rowOff>419100</xdr:rowOff>
              </from>
              <to>
                <xdr:col>204</xdr:col>
                <xdr:colOff>257175</xdr:colOff>
                <xdr:row>132</xdr:row>
                <xdr:rowOff>266700</xdr:rowOff>
              </to>
            </anchor>
          </objectPr>
        </oleObject>
      </mc:Choice>
      <mc:Fallback>
        <oleObject progId="Equation.DSMT4" shapeId="1206" r:id="rId138"/>
      </mc:Fallback>
    </mc:AlternateContent>
    <mc:AlternateContent xmlns:mc="http://schemas.openxmlformats.org/markup-compatibility/2006">
      <mc:Choice Requires="x14">
        <oleObject progId="Equation.DSMT4" shapeId="1207" r:id="rId140">
          <objectPr defaultSize="0" r:id="rId141">
            <anchor moveWithCells="1">
              <from>
                <xdr:col>200</xdr:col>
                <xdr:colOff>247650</xdr:colOff>
                <xdr:row>127</xdr:row>
                <xdr:rowOff>200025</xdr:rowOff>
              </from>
              <to>
                <xdr:col>202</xdr:col>
                <xdr:colOff>190500</xdr:colOff>
                <xdr:row>128</xdr:row>
                <xdr:rowOff>304800</xdr:rowOff>
              </to>
            </anchor>
          </objectPr>
        </oleObject>
      </mc:Choice>
      <mc:Fallback>
        <oleObject progId="Equation.DSMT4" shapeId="1207" r:id="rId140"/>
      </mc:Fallback>
    </mc:AlternateContent>
    <mc:AlternateContent xmlns:mc="http://schemas.openxmlformats.org/markup-compatibility/2006">
      <mc:Choice Requires="x14">
        <oleObject progId="Equation.DSMT4" shapeId="1208" r:id="rId142">
          <objectPr defaultSize="0" autoPict="0" r:id="rId143">
            <anchor moveWithCells="1">
              <from>
                <xdr:col>200</xdr:col>
                <xdr:colOff>304800</xdr:colOff>
                <xdr:row>27</xdr:row>
                <xdr:rowOff>342900</xdr:rowOff>
              </from>
              <to>
                <xdr:col>203</xdr:col>
                <xdr:colOff>238125</xdr:colOff>
                <xdr:row>28</xdr:row>
                <xdr:rowOff>209550</xdr:rowOff>
              </to>
            </anchor>
          </objectPr>
        </oleObject>
      </mc:Choice>
      <mc:Fallback>
        <oleObject progId="Equation.DSMT4" shapeId="1208" r:id="rId142"/>
      </mc:Fallback>
    </mc:AlternateContent>
    <mc:AlternateContent xmlns:mc="http://schemas.openxmlformats.org/markup-compatibility/2006">
      <mc:Choice Requires="x14">
        <oleObject progId="Equation.DSMT4" shapeId="1209" r:id="rId144">
          <objectPr defaultSize="0" autoPict="0" r:id="rId145">
            <anchor moveWithCells="1">
              <from>
                <xdr:col>200</xdr:col>
                <xdr:colOff>200025</xdr:colOff>
                <xdr:row>31</xdr:row>
                <xdr:rowOff>104775</xdr:rowOff>
              </from>
              <to>
                <xdr:col>202</xdr:col>
                <xdr:colOff>314325</xdr:colOff>
                <xdr:row>32</xdr:row>
                <xdr:rowOff>352425</xdr:rowOff>
              </to>
            </anchor>
          </objectPr>
        </oleObject>
      </mc:Choice>
      <mc:Fallback>
        <oleObject progId="Equation.DSMT4" shapeId="1209" r:id="rId144"/>
      </mc:Fallback>
    </mc:AlternateContent>
    <mc:AlternateContent xmlns:mc="http://schemas.openxmlformats.org/markup-compatibility/2006">
      <mc:Choice Requires="x14">
        <oleObject progId="Equation.DSMT4" shapeId="1210" r:id="rId146">
          <objectPr defaultSize="0" autoPict="0" r:id="rId147">
            <anchor moveWithCells="1">
              <from>
                <xdr:col>200</xdr:col>
                <xdr:colOff>123825</xdr:colOff>
                <xdr:row>35</xdr:row>
                <xdr:rowOff>409575</xdr:rowOff>
              </from>
              <to>
                <xdr:col>204</xdr:col>
                <xdr:colOff>381000</xdr:colOff>
                <xdr:row>36</xdr:row>
                <xdr:rowOff>361950</xdr:rowOff>
              </to>
            </anchor>
          </objectPr>
        </oleObject>
      </mc:Choice>
      <mc:Fallback>
        <oleObject progId="Equation.DSMT4" shapeId="1210" r:id="rId146"/>
      </mc:Fallback>
    </mc:AlternateContent>
    <mc:AlternateContent xmlns:mc="http://schemas.openxmlformats.org/markup-compatibility/2006">
      <mc:Choice Requires="x14">
        <oleObject progId="Equation.DSMT4" shapeId="1211" r:id="rId148">
          <objectPr defaultSize="0" r:id="rId149">
            <anchor moveWithCells="1">
              <from>
                <xdr:col>142</xdr:col>
                <xdr:colOff>285750</xdr:colOff>
                <xdr:row>103</xdr:row>
                <xdr:rowOff>266700</xdr:rowOff>
              </from>
              <to>
                <xdr:col>145</xdr:col>
                <xdr:colOff>276225</xdr:colOff>
                <xdr:row>104</xdr:row>
                <xdr:rowOff>447675</xdr:rowOff>
              </to>
            </anchor>
          </objectPr>
        </oleObject>
      </mc:Choice>
      <mc:Fallback>
        <oleObject progId="Equation.DSMT4" shapeId="1211" r:id="rId148"/>
      </mc:Fallback>
    </mc:AlternateContent>
    <mc:AlternateContent xmlns:mc="http://schemas.openxmlformats.org/markup-compatibility/2006">
      <mc:Choice Requires="x14">
        <oleObject progId="Equation.DSMT4" shapeId="1215" r:id="rId150">
          <objectPr defaultSize="0" autoPict="0" r:id="rId151">
            <anchor moveWithCells="1">
              <from>
                <xdr:col>266</xdr:col>
                <xdr:colOff>295275</xdr:colOff>
                <xdr:row>41</xdr:row>
                <xdr:rowOff>295275</xdr:rowOff>
              </from>
              <to>
                <xdr:col>269</xdr:col>
                <xdr:colOff>447675</xdr:colOff>
                <xdr:row>42</xdr:row>
                <xdr:rowOff>476250</xdr:rowOff>
              </to>
            </anchor>
          </objectPr>
        </oleObject>
      </mc:Choice>
      <mc:Fallback>
        <oleObject progId="Equation.DSMT4" shapeId="1215" r:id="rId150"/>
      </mc:Fallback>
    </mc:AlternateContent>
    <mc:AlternateContent xmlns:mc="http://schemas.openxmlformats.org/markup-compatibility/2006">
      <mc:Choice Requires="x14">
        <oleObject progId="Equation.DSMT4" shapeId="1216" r:id="rId152">
          <objectPr defaultSize="0" autoPict="0" r:id="rId153">
            <anchor moveWithCells="1">
              <from>
                <xdr:col>266</xdr:col>
                <xdr:colOff>266700</xdr:colOff>
                <xdr:row>42</xdr:row>
                <xdr:rowOff>314325</xdr:rowOff>
              </from>
              <to>
                <xdr:col>269</xdr:col>
                <xdr:colOff>523875</xdr:colOff>
                <xdr:row>43</xdr:row>
                <xdr:rowOff>476250</xdr:rowOff>
              </to>
            </anchor>
          </objectPr>
        </oleObject>
      </mc:Choice>
      <mc:Fallback>
        <oleObject progId="Equation.DSMT4" shapeId="1216" r:id="rId152"/>
      </mc:Fallback>
    </mc:AlternateContent>
    <mc:AlternateContent xmlns:mc="http://schemas.openxmlformats.org/markup-compatibility/2006">
      <mc:Choice Requires="x14">
        <oleObject progId="Equation.DSMT4" shapeId="1217" r:id="rId154">
          <objectPr defaultSize="0" autoPict="0" r:id="rId155">
            <anchor moveWithCells="1">
              <from>
                <xdr:col>266</xdr:col>
                <xdr:colOff>314325</xdr:colOff>
                <xdr:row>43</xdr:row>
                <xdr:rowOff>228600</xdr:rowOff>
              </from>
              <to>
                <xdr:col>269</xdr:col>
                <xdr:colOff>304800</xdr:colOff>
                <xdr:row>44</xdr:row>
                <xdr:rowOff>409575</xdr:rowOff>
              </to>
            </anchor>
          </objectPr>
        </oleObject>
      </mc:Choice>
      <mc:Fallback>
        <oleObject progId="Equation.DSMT4" shapeId="1217" r:id="rId154"/>
      </mc:Fallback>
    </mc:AlternateContent>
    <mc:AlternateContent xmlns:mc="http://schemas.openxmlformats.org/markup-compatibility/2006">
      <mc:Choice Requires="x14">
        <oleObject progId="Equation.DSMT4" shapeId="1218" r:id="rId156">
          <objectPr defaultSize="0" autoPict="0" r:id="rId157">
            <anchor moveWithCells="1">
              <from>
                <xdr:col>266</xdr:col>
                <xdr:colOff>295275</xdr:colOff>
                <xdr:row>44</xdr:row>
                <xdr:rowOff>295275</xdr:rowOff>
              </from>
              <to>
                <xdr:col>269</xdr:col>
                <xdr:colOff>352425</xdr:colOff>
                <xdr:row>45</xdr:row>
                <xdr:rowOff>381000</xdr:rowOff>
              </to>
            </anchor>
          </objectPr>
        </oleObject>
      </mc:Choice>
      <mc:Fallback>
        <oleObject progId="Equation.DSMT4" shapeId="1218" r:id="rId156"/>
      </mc:Fallback>
    </mc:AlternateContent>
    <mc:AlternateContent xmlns:mc="http://schemas.openxmlformats.org/markup-compatibility/2006">
      <mc:Choice Requires="x14">
        <oleObject progId="Equation.DSMT4" shapeId="1219" r:id="rId158">
          <objectPr defaultSize="0" autoPict="0" r:id="rId159">
            <anchor moveWithCells="1">
              <from>
                <xdr:col>266</xdr:col>
                <xdr:colOff>314325</xdr:colOff>
                <xdr:row>45</xdr:row>
                <xdr:rowOff>257175</xdr:rowOff>
              </from>
              <to>
                <xdr:col>269</xdr:col>
                <xdr:colOff>447675</xdr:colOff>
                <xdr:row>46</xdr:row>
                <xdr:rowOff>428625</xdr:rowOff>
              </to>
            </anchor>
          </objectPr>
        </oleObject>
      </mc:Choice>
      <mc:Fallback>
        <oleObject progId="Equation.DSMT4" shapeId="1219" r:id="rId158"/>
      </mc:Fallback>
    </mc:AlternateContent>
    <mc:AlternateContent xmlns:mc="http://schemas.openxmlformats.org/markup-compatibility/2006">
      <mc:Choice Requires="x14">
        <oleObject progId="Equation.DSMT4" shapeId="1220" r:id="rId160">
          <objectPr defaultSize="0" autoPict="0" r:id="rId161">
            <anchor moveWithCells="1">
              <from>
                <xdr:col>266</xdr:col>
                <xdr:colOff>333375</xdr:colOff>
                <xdr:row>46</xdr:row>
                <xdr:rowOff>276225</xdr:rowOff>
              </from>
              <to>
                <xdr:col>270</xdr:col>
                <xdr:colOff>352425</xdr:colOff>
                <xdr:row>47</xdr:row>
                <xdr:rowOff>428625</xdr:rowOff>
              </to>
            </anchor>
          </objectPr>
        </oleObject>
      </mc:Choice>
      <mc:Fallback>
        <oleObject progId="Equation.DSMT4" shapeId="1220" r:id="rId160"/>
      </mc:Fallback>
    </mc:AlternateContent>
    <mc:AlternateContent xmlns:mc="http://schemas.openxmlformats.org/markup-compatibility/2006">
      <mc:Choice Requires="x14">
        <oleObject progId="Equation.DSMT4" shapeId="1221" r:id="rId162">
          <objectPr defaultSize="0" autoPict="0" r:id="rId163">
            <anchor moveWithCells="1">
              <from>
                <xdr:col>266</xdr:col>
                <xdr:colOff>333375</xdr:colOff>
                <xdr:row>47</xdr:row>
                <xdr:rowOff>257175</xdr:rowOff>
              </from>
              <to>
                <xdr:col>269</xdr:col>
                <xdr:colOff>542925</xdr:colOff>
                <xdr:row>48</xdr:row>
                <xdr:rowOff>428625</xdr:rowOff>
              </to>
            </anchor>
          </objectPr>
        </oleObject>
      </mc:Choice>
      <mc:Fallback>
        <oleObject progId="Equation.DSMT4" shapeId="1221" r:id="rId162"/>
      </mc:Fallback>
    </mc:AlternateContent>
    <mc:AlternateContent xmlns:mc="http://schemas.openxmlformats.org/markup-compatibility/2006">
      <mc:Choice Requires="x14">
        <oleObject progId="Equation.DSMT4" shapeId="1222" r:id="rId164">
          <objectPr defaultSize="0" autoPict="0" r:id="rId165">
            <anchor moveWithCells="1">
              <from>
                <xdr:col>266</xdr:col>
                <xdr:colOff>352425</xdr:colOff>
                <xdr:row>49</xdr:row>
                <xdr:rowOff>257175</xdr:rowOff>
              </from>
              <to>
                <xdr:col>269</xdr:col>
                <xdr:colOff>133350</xdr:colOff>
                <xdr:row>50</xdr:row>
                <xdr:rowOff>428625</xdr:rowOff>
              </to>
            </anchor>
          </objectPr>
        </oleObject>
      </mc:Choice>
      <mc:Fallback>
        <oleObject progId="Equation.DSMT4" shapeId="1222" r:id="rId164"/>
      </mc:Fallback>
    </mc:AlternateContent>
    <mc:AlternateContent xmlns:mc="http://schemas.openxmlformats.org/markup-compatibility/2006">
      <mc:Choice Requires="x14">
        <oleObject progId="Equation.DSMT4" shapeId="1223" r:id="rId166">
          <objectPr defaultSize="0" autoPict="0" r:id="rId167">
            <anchor moveWithCells="1">
              <from>
                <xdr:col>266</xdr:col>
                <xdr:colOff>314325</xdr:colOff>
                <xdr:row>50</xdr:row>
                <xdr:rowOff>257175</xdr:rowOff>
              </from>
              <to>
                <xdr:col>269</xdr:col>
                <xdr:colOff>57150</xdr:colOff>
                <xdr:row>51</xdr:row>
                <xdr:rowOff>476250</xdr:rowOff>
              </to>
            </anchor>
          </objectPr>
        </oleObject>
      </mc:Choice>
      <mc:Fallback>
        <oleObject progId="Equation.DSMT4" shapeId="1223" r:id="rId166"/>
      </mc:Fallback>
    </mc:AlternateContent>
    <mc:AlternateContent xmlns:mc="http://schemas.openxmlformats.org/markup-compatibility/2006">
      <mc:Choice Requires="x14">
        <oleObject progId="Equation.DSMT4" shapeId="1224" r:id="rId168">
          <objectPr defaultSize="0" autoPict="0" r:id="rId169">
            <anchor moveWithCells="1">
              <from>
                <xdr:col>266</xdr:col>
                <xdr:colOff>314325</xdr:colOff>
                <xdr:row>51</xdr:row>
                <xdr:rowOff>257175</xdr:rowOff>
              </from>
              <to>
                <xdr:col>269</xdr:col>
                <xdr:colOff>161925</xdr:colOff>
                <xdr:row>52</xdr:row>
                <xdr:rowOff>0</xdr:rowOff>
              </to>
            </anchor>
          </objectPr>
        </oleObject>
      </mc:Choice>
      <mc:Fallback>
        <oleObject progId="Equation.DSMT4" shapeId="1224" r:id="rId168"/>
      </mc:Fallback>
    </mc:AlternateContent>
    <mc:AlternateContent xmlns:mc="http://schemas.openxmlformats.org/markup-compatibility/2006">
      <mc:Choice Requires="x14">
        <oleObject progId="Equation.DSMT4" shapeId="1226" r:id="rId170">
          <objectPr defaultSize="0" autoPict="0" r:id="rId171">
            <anchor moveWithCells="1">
              <from>
                <xdr:col>267</xdr:col>
                <xdr:colOff>142875</xdr:colOff>
                <xdr:row>48</xdr:row>
                <xdr:rowOff>504825</xdr:rowOff>
              </from>
              <to>
                <xdr:col>271</xdr:col>
                <xdr:colOff>104775</xdr:colOff>
                <xdr:row>49</xdr:row>
                <xdr:rowOff>266700</xdr:rowOff>
              </to>
            </anchor>
          </objectPr>
        </oleObject>
      </mc:Choice>
      <mc:Fallback>
        <oleObject progId="Equation.DSMT4" shapeId="1226" r:id="rId170"/>
      </mc:Fallback>
    </mc:AlternateContent>
    <mc:AlternateContent xmlns:mc="http://schemas.openxmlformats.org/markup-compatibility/2006">
      <mc:Choice Requires="x14">
        <oleObject progId="Equation.DSMT4" shapeId="1227" r:id="rId172">
          <objectPr defaultSize="0" r:id="rId173">
            <anchor moveWithCells="1">
              <from>
                <xdr:col>266</xdr:col>
                <xdr:colOff>276225</xdr:colOff>
                <xdr:row>54</xdr:row>
                <xdr:rowOff>295275</xdr:rowOff>
              </from>
              <to>
                <xdr:col>269</xdr:col>
                <xdr:colOff>190500</xdr:colOff>
                <xdr:row>55</xdr:row>
                <xdr:rowOff>47625</xdr:rowOff>
              </to>
            </anchor>
          </objectPr>
        </oleObject>
      </mc:Choice>
      <mc:Fallback>
        <oleObject progId="Equation.DSMT4" shapeId="1227" r:id="rId172"/>
      </mc:Fallback>
    </mc:AlternateContent>
    <mc:AlternateContent xmlns:mc="http://schemas.openxmlformats.org/markup-compatibility/2006">
      <mc:Choice Requires="x14">
        <oleObject progId="Equation.DSMT4" shapeId="1228" r:id="rId174">
          <objectPr defaultSize="0" r:id="rId175">
            <anchor moveWithCells="1">
              <from>
                <xdr:col>266</xdr:col>
                <xdr:colOff>257175</xdr:colOff>
                <xdr:row>55</xdr:row>
                <xdr:rowOff>295275</xdr:rowOff>
              </from>
              <to>
                <xdr:col>269</xdr:col>
                <xdr:colOff>209550</xdr:colOff>
                <xdr:row>56</xdr:row>
                <xdr:rowOff>47625</xdr:rowOff>
              </to>
            </anchor>
          </objectPr>
        </oleObject>
      </mc:Choice>
      <mc:Fallback>
        <oleObject progId="Equation.DSMT4" shapeId="1228" r:id="rId174"/>
      </mc:Fallback>
    </mc:AlternateContent>
    <mc:AlternateContent xmlns:mc="http://schemas.openxmlformats.org/markup-compatibility/2006">
      <mc:Choice Requires="x14">
        <oleObject progId="Equation.DSMT4" shapeId="1229" r:id="rId176">
          <objectPr defaultSize="0" autoPict="0" r:id="rId177">
            <anchor moveWithCells="1">
              <from>
                <xdr:col>266</xdr:col>
                <xdr:colOff>257175</xdr:colOff>
                <xdr:row>57</xdr:row>
                <xdr:rowOff>285750</xdr:rowOff>
              </from>
              <to>
                <xdr:col>270</xdr:col>
                <xdr:colOff>228600</xdr:colOff>
                <xdr:row>59</xdr:row>
                <xdr:rowOff>0</xdr:rowOff>
              </to>
            </anchor>
          </objectPr>
        </oleObject>
      </mc:Choice>
      <mc:Fallback>
        <oleObject progId="Equation.DSMT4" shapeId="1229" r:id="rId176"/>
      </mc:Fallback>
    </mc:AlternateContent>
    <mc:AlternateContent xmlns:mc="http://schemas.openxmlformats.org/markup-compatibility/2006">
      <mc:Choice Requires="x14">
        <oleObject progId="Equation.DSMT4" shapeId="1230" r:id="rId178">
          <objectPr defaultSize="0" autoPict="0" r:id="rId179">
            <anchor moveWithCells="1">
              <from>
                <xdr:col>266</xdr:col>
                <xdr:colOff>257175</xdr:colOff>
                <xdr:row>58</xdr:row>
                <xdr:rowOff>257175</xdr:rowOff>
              </from>
              <to>
                <xdr:col>269</xdr:col>
                <xdr:colOff>304800</xdr:colOff>
                <xdr:row>59</xdr:row>
                <xdr:rowOff>190500</xdr:rowOff>
              </to>
            </anchor>
          </objectPr>
        </oleObject>
      </mc:Choice>
      <mc:Fallback>
        <oleObject progId="Equation.DSMT4" shapeId="1230" r:id="rId178"/>
      </mc:Fallback>
    </mc:AlternateContent>
    <mc:AlternateContent xmlns:mc="http://schemas.openxmlformats.org/markup-compatibility/2006">
      <mc:Choice Requires="x14">
        <oleObject progId="Equation.DSMT4" shapeId="1231" r:id="rId180">
          <objectPr defaultSize="0" autoPict="0" r:id="rId181">
            <anchor moveWithCells="1">
              <from>
                <xdr:col>266</xdr:col>
                <xdr:colOff>257175</xdr:colOff>
                <xdr:row>59</xdr:row>
                <xdr:rowOff>276225</xdr:rowOff>
              </from>
              <to>
                <xdr:col>269</xdr:col>
                <xdr:colOff>190500</xdr:colOff>
                <xdr:row>60</xdr:row>
                <xdr:rowOff>476250</xdr:rowOff>
              </to>
            </anchor>
          </objectPr>
        </oleObject>
      </mc:Choice>
      <mc:Fallback>
        <oleObject progId="Equation.DSMT4" shapeId="1231" r:id="rId180"/>
      </mc:Fallback>
    </mc:AlternateContent>
    <mc:AlternateContent xmlns:mc="http://schemas.openxmlformats.org/markup-compatibility/2006">
      <mc:Choice Requires="x14">
        <oleObject progId="Equation.DSMT4" shapeId="1232" r:id="rId182">
          <objectPr defaultSize="0" r:id="rId183">
            <anchor moveWithCells="1">
              <from>
                <xdr:col>266</xdr:col>
                <xdr:colOff>266700</xdr:colOff>
                <xdr:row>62</xdr:row>
                <xdr:rowOff>257175</xdr:rowOff>
              </from>
              <to>
                <xdr:col>268</xdr:col>
                <xdr:colOff>342900</xdr:colOff>
                <xdr:row>63</xdr:row>
                <xdr:rowOff>47625</xdr:rowOff>
              </to>
            </anchor>
          </objectPr>
        </oleObject>
      </mc:Choice>
      <mc:Fallback>
        <oleObject progId="Equation.DSMT4" shapeId="1232" r:id="rId182"/>
      </mc:Fallback>
    </mc:AlternateContent>
    <mc:AlternateContent xmlns:mc="http://schemas.openxmlformats.org/markup-compatibility/2006">
      <mc:Choice Requires="x14">
        <oleObject progId="Equation.DSMT4" shapeId="1233" r:id="rId184">
          <objectPr defaultSize="0" autoPict="0" r:id="rId185">
            <anchor moveWithCells="1">
              <from>
                <xdr:col>266</xdr:col>
                <xdr:colOff>257175</xdr:colOff>
                <xdr:row>63</xdr:row>
                <xdr:rowOff>276225</xdr:rowOff>
              </from>
              <to>
                <xdr:col>269</xdr:col>
                <xdr:colOff>190500</xdr:colOff>
                <xdr:row>64</xdr:row>
                <xdr:rowOff>476250</xdr:rowOff>
              </to>
            </anchor>
          </objectPr>
        </oleObject>
      </mc:Choice>
      <mc:Fallback>
        <oleObject progId="Equation.DSMT4" shapeId="1233" r:id="rId184"/>
      </mc:Fallback>
    </mc:AlternateContent>
    <mc:AlternateContent xmlns:mc="http://schemas.openxmlformats.org/markup-compatibility/2006">
      <mc:Choice Requires="x14">
        <oleObject progId="Equation.DSMT4" shapeId="1234" r:id="rId186">
          <objectPr defaultSize="0" autoPict="0" r:id="rId187">
            <anchor moveWithCells="1">
              <from>
                <xdr:col>266</xdr:col>
                <xdr:colOff>266700</xdr:colOff>
                <xdr:row>64</xdr:row>
                <xdr:rowOff>247650</xdr:rowOff>
              </from>
              <to>
                <xdr:col>268</xdr:col>
                <xdr:colOff>0</xdr:colOff>
                <xdr:row>65</xdr:row>
                <xdr:rowOff>28575</xdr:rowOff>
              </to>
            </anchor>
          </objectPr>
        </oleObject>
      </mc:Choice>
      <mc:Fallback>
        <oleObject progId="Equation.DSMT4" shapeId="1234" r:id="rId186"/>
      </mc:Fallback>
    </mc:AlternateContent>
    <mc:AlternateContent xmlns:mc="http://schemas.openxmlformats.org/markup-compatibility/2006">
      <mc:Choice Requires="x14">
        <oleObject progId="Equation.DSMT4" shapeId="1235" r:id="rId188">
          <objectPr defaultSize="0" autoPict="0" r:id="rId189">
            <anchor moveWithCells="1">
              <from>
                <xdr:col>266</xdr:col>
                <xdr:colOff>276225</xdr:colOff>
                <xdr:row>65</xdr:row>
                <xdr:rowOff>247650</xdr:rowOff>
              </from>
              <to>
                <xdr:col>269</xdr:col>
                <xdr:colOff>495300</xdr:colOff>
                <xdr:row>66</xdr:row>
                <xdr:rowOff>361950</xdr:rowOff>
              </to>
            </anchor>
          </objectPr>
        </oleObject>
      </mc:Choice>
      <mc:Fallback>
        <oleObject progId="Equation.DSMT4" shapeId="1235" r:id="rId188"/>
      </mc:Fallback>
    </mc:AlternateContent>
    <mc:AlternateContent xmlns:mc="http://schemas.openxmlformats.org/markup-compatibility/2006">
      <mc:Choice Requires="x14">
        <oleObject progId="Equation.DSMT4" shapeId="1236" r:id="rId190">
          <objectPr defaultSize="0" r:id="rId191">
            <anchor moveWithCells="1">
              <from>
                <xdr:col>266</xdr:col>
                <xdr:colOff>276225</xdr:colOff>
                <xdr:row>67</xdr:row>
                <xdr:rowOff>276225</xdr:rowOff>
              </from>
              <to>
                <xdr:col>271</xdr:col>
                <xdr:colOff>333375</xdr:colOff>
                <xdr:row>68</xdr:row>
                <xdr:rowOff>47625</xdr:rowOff>
              </to>
            </anchor>
          </objectPr>
        </oleObject>
      </mc:Choice>
      <mc:Fallback>
        <oleObject progId="Equation.DSMT4" shapeId="1236" r:id="rId190"/>
      </mc:Fallback>
    </mc:AlternateContent>
    <mc:AlternateContent xmlns:mc="http://schemas.openxmlformats.org/markup-compatibility/2006">
      <mc:Choice Requires="x14">
        <oleObject progId="Equation.DSMT4" shapeId="1237" r:id="rId192">
          <objectPr defaultSize="0" autoPict="0" r:id="rId193">
            <anchor moveWithCells="1">
              <from>
                <xdr:col>266</xdr:col>
                <xdr:colOff>276225</xdr:colOff>
                <xdr:row>68</xdr:row>
                <xdr:rowOff>238125</xdr:rowOff>
              </from>
              <to>
                <xdr:col>268</xdr:col>
                <xdr:colOff>123825</xdr:colOff>
                <xdr:row>69</xdr:row>
                <xdr:rowOff>457200</xdr:rowOff>
              </to>
            </anchor>
          </objectPr>
        </oleObject>
      </mc:Choice>
      <mc:Fallback>
        <oleObject progId="Equation.DSMT4" shapeId="1237" r:id="rId192"/>
      </mc:Fallback>
    </mc:AlternateContent>
    <mc:AlternateContent xmlns:mc="http://schemas.openxmlformats.org/markup-compatibility/2006">
      <mc:Choice Requires="x14">
        <oleObject progId="Equation.DSMT4" shapeId="1238" r:id="rId194">
          <objectPr defaultSize="0" autoPict="0" r:id="rId195">
            <anchor moveWithCells="1">
              <from>
                <xdr:col>266</xdr:col>
                <xdr:colOff>266700</xdr:colOff>
                <xdr:row>69</xdr:row>
                <xdr:rowOff>247650</xdr:rowOff>
              </from>
              <to>
                <xdr:col>270</xdr:col>
                <xdr:colOff>47625</xdr:colOff>
                <xdr:row>70</xdr:row>
                <xdr:rowOff>457200</xdr:rowOff>
              </to>
            </anchor>
          </objectPr>
        </oleObject>
      </mc:Choice>
      <mc:Fallback>
        <oleObject progId="Equation.DSMT4" shapeId="1238" r:id="rId194"/>
      </mc:Fallback>
    </mc:AlternateContent>
    <mc:AlternateContent xmlns:mc="http://schemas.openxmlformats.org/markup-compatibility/2006">
      <mc:Choice Requires="x14">
        <oleObject progId="Equation.DSMT4" shapeId="1240" r:id="rId196">
          <objectPr defaultSize="0" autoPict="0" r:id="rId197">
            <anchor moveWithCells="1">
              <from>
                <xdr:col>266</xdr:col>
                <xdr:colOff>295275</xdr:colOff>
                <xdr:row>71</xdr:row>
                <xdr:rowOff>257175</xdr:rowOff>
              </from>
              <to>
                <xdr:col>268</xdr:col>
                <xdr:colOff>28575</xdr:colOff>
                <xdr:row>72</xdr:row>
                <xdr:rowOff>476250</xdr:rowOff>
              </to>
            </anchor>
          </objectPr>
        </oleObject>
      </mc:Choice>
      <mc:Fallback>
        <oleObject progId="Equation.DSMT4" shapeId="1240" r:id="rId196"/>
      </mc:Fallback>
    </mc:AlternateContent>
    <mc:AlternateContent xmlns:mc="http://schemas.openxmlformats.org/markup-compatibility/2006">
      <mc:Choice Requires="x14">
        <oleObject progId="Equation.DSMT4" shapeId="1241" r:id="rId198">
          <objectPr defaultSize="0" autoPict="0" r:id="rId199">
            <anchor moveWithCells="1">
              <from>
                <xdr:col>350</xdr:col>
                <xdr:colOff>57150</xdr:colOff>
                <xdr:row>16</xdr:row>
                <xdr:rowOff>409575</xdr:rowOff>
              </from>
              <to>
                <xdr:col>352</xdr:col>
                <xdr:colOff>381000</xdr:colOff>
                <xdr:row>18</xdr:row>
                <xdr:rowOff>0</xdr:rowOff>
              </to>
            </anchor>
          </objectPr>
        </oleObject>
      </mc:Choice>
      <mc:Fallback>
        <oleObject progId="Equation.DSMT4" shapeId="1241" r:id="rId198"/>
      </mc:Fallback>
    </mc:AlternateContent>
    <mc:AlternateContent xmlns:mc="http://schemas.openxmlformats.org/markup-compatibility/2006">
      <mc:Choice Requires="x14">
        <oleObject progId="Equation.DSMT4" shapeId="1242" r:id="rId200">
          <objectPr defaultSize="0" autoPict="0" r:id="rId201">
            <anchor moveWithCells="1">
              <from>
                <xdr:col>350</xdr:col>
                <xdr:colOff>47625</xdr:colOff>
                <xdr:row>20</xdr:row>
                <xdr:rowOff>390525</xdr:rowOff>
              </from>
              <to>
                <xdr:col>353</xdr:col>
                <xdr:colOff>247650</xdr:colOff>
                <xdr:row>21</xdr:row>
                <xdr:rowOff>381000</xdr:rowOff>
              </to>
            </anchor>
          </objectPr>
        </oleObject>
      </mc:Choice>
      <mc:Fallback>
        <oleObject progId="Equation.DSMT4" shapeId="1242" r:id="rId200"/>
      </mc:Fallback>
    </mc:AlternateContent>
    <mc:AlternateContent xmlns:mc="http://schemas.openxmlformats.org/markup-compatibility/2006">
      <mc:Choice Requires="x14">
        <oleObject progId="Equation.DSMT4" shapeId="1243" r:id="rId202">
          <objectPr defaultSize="0" autoPict="0" r:id="rId203">
            <anchor moveWithCells="1">
              <from>
                <xdr:col>350</xdr:col>
                <xdr:colOff>76200</xdr:colOff>
                <xdr:row>21</xdr:row>
                <xdr:rowOff>409575</xdr:rowOff>
              </from>
              <to>
                <xdr:col>354</xdr:col>
                <xdr:colOff>266700</xdr:colOff>
                <xdr:row>22</xdr:row>
                <xdr:rowOff>381000</xdr:rowOff>
              </to>
            </anchor>
          </objectPr>
        </oleObject>
      </mc:Choice>
      <mc:Fallback>
        <oleObject progId="Equation.DSMT4" shapeId="1243" r:id="rId202"/>
      </mc:Fallback>
    </mc:AlternateContent>
    <mc:AlternateContent xmlns:mc="http://schemas.openxmlformats.org/markup-compatibility/2006">
      <mc:Choice Requires="x14">
        <oleObject progId="Equation.DSMT4" shapeId="1245" r:id="rId204">
          <objectPr defaultSize="0" autoPict="0" r:id="rId205">
            <anchor moveWithCells="1">
              <from>
                <xdr:col>350</xdr:col>
                <xdr:colOff>28575</xdr:colOff>
                <xdr:row>22</xdr:row>
                <xdr:rowOff>485775</xdr:rowOff>
              </from>
              <to>
                <xdr:col>354</xdr:col>
                <xdr:colOff>266700</xdr:colOff>
                <xdr:row>23</xdr:row>
                <xdr:rowOff>381000</xdr:rowOff>
              </to>
            </anchor>
          </objectPr>
        </oleObject>
      </mc:Choice>
      <mc:Fallback>
        <oleObject progId="Equation.DSMT4" shapeId="1245" r:id="rId204"/>
      </mc:Fallback>
    </mc:AlternateContent>
    <mc:AlternateContent xmlns:mc="http://schemas.openxmlformats.org/markup-compatibility/2006">
      <mc:Choice Requires="x14">
        <oleObject progId="Equation.DSMT4" shapeId="1246" r:id="rId206">
          <objectPr defaultSize="0" autoPict="0" r:id="rId207">
            <anchor moveWithCells="1">
              <from>
                <xdr:col>350</xdr:col>
                <xdr:colOff>47625</xdr:colOff>
                <xdr:row>23</xdr:row>
                <xdr:rowOff>438150</xdr:rowOff>
              </from>
              <to>
                <xdr:col>353</xdr:col>
                <xdr:colOff>323850</xdr:colOff>
                <xdr:row>25</xdr:row>
                <xdr:rowOff>0</xdr:rowOff>
              </to>
            </anchor>
          </objectPr>
        </oleObject>
      </mc:Choice>
      <mc:Fallback>
        <oleObject progId="Equation.DSMT4" shapeId="1246" r:id="rId206"/>
      </mc:Fallback>
    </mc:AlternateContent>
    <mc:AlternateContent xmlns:mc="http://schemas.openxmlformats.org/markup-compatibility/2006">
      <mc:Choice Requires="x14">
        <oleObject progId="Equation.DSMT4" shapeId="1248" r:id="rId208">
          <objectPr defaultSize="0" autoPict="0" r:id="rId209">
            <anchor moveWithCells="1">
              <from>
                <xdr:col>350</xdr:col>
                <xdr:colOff>66675</xdr:colOff>
                <xdr:row>26</xdr:row>
                <xdr:rowOff>390525</xdr:rowOff>
              </from>
              <to>
                <xdr:col>352</xdr:col>
                <xdr:colOff>28575</xdr:colOff>
                <xdr:row>28</xdr:row>
                <xdr:rowOff>0</xdr:rowOff>
              </to>
            </anchor>
          </objectPr>
        </oleObject>
      </mc:Choice>
      <mc:Fallback>
        <oleObject progId="Equation.DSMT4" shapeId="1248" r:id="rId208"/>
      </mc:Fallback>
    </mc:AlternateContent>
    <mc:AlternateContent xmlns:mc="http://schemas.openxmlformats.org/markup-compatibility/2006">
      <mc:Choice Requires="x14">
        <oleObject progId="Equation.DSMT4" shapeId="1249" r:id="rId210">
          <objectPr defaultSize="0" autoPict="0" r:id="rId211">
            <anchor moveWithCells="1">
              <from>
                <xdr:col>350</xdr:col>
                <xdr:colOff>47625</xdr:colOff>
                <xdr:row>28</xdr:row>
                <xdr:rowOff>457200</xdr:rowOff>
              </from>
              <to>
                <xdr:col>353</xdr:col>
                <xdr:colOff>419100</xdr:colOff>
                <xdr:row>30</xdr:row>
                <xdr:rowOff>266700</xdr:rowOff>
              </to>
            </anchor>
          </objectPr>
        </oleObject>
      </mc:Choice>
      <mc:Fallback>
        <oleObject progId="Equation.DSMT4" shapeId="1249" r:id="rId210"/>
      </mc:Fallback>
    </mc:AlternateContent>
    <mc:AlternateContent xmlns:mc="http://schemas.openxmlformats.org/markup-compatibility/2006">
      <mc:Choice Requires="x14">
        <oleObject progId="Equation.DSMT4" shapeId="1250" r:id="rId212">
          <objectPr defaultSize="0" autoPict="0" r:id="rId213">
            <anchor moveWithCells="1">
              <from>
                <xdr:col>350</xdr:col>
                <xdr:colOff>114300</xdr:colOff>
                <xdr:row>29</xdr:row>
                <xdr:rowOff>485775</xdr:rowOff>
              </from>
              <to>
                <xdr:col>353</xdr:col>
                <xdr:colOff>19050</xdr:colOff>
                <xdr:row>31</xdr:row>
                <xdr:rowOff>333375</xdr:rowOff>
              </to>
            </anchor>
          </objectPr>
        </oleObject>
      </mc:Choice>
      <mc:Fallback>
        <oleObject progId="Equation.DSMT4" shapeId="1250" r:id="rId212"/>
      </mc:Fallback>
    </mc:AlternateContent>
    <mc:AlternateContent xmlns:mc="http://schemas.openxmlformats.org/markup-compatibility/2006">
      <mc:Choice Requires="x14">
        <oleObject progId="Equation.DSMT4" shapeId="1251" r:id="rId214">
          <objectPr defaultSize="0" autoPict="0" r:id="rId215">
            <anchor moveWithCells="1">
              <from>
                <xdr:col>350</xdr:col>
                <xdr:colOff>28575</xdr:colOff>
                <xdr:row>30</xdr:row>
                <xdr:rowOff>438150</xdr:rowOff>
              </from>
              <to>
                <xdr:col>354</xdr:col>
                <xdr:colOff>19050</xdr:colOff>
                <xdr:row>32</xdr:row>
                <xdr:rowOff>238125</xdr:rowOff>
              </to>
            </anchor>
          </objectPr>
        </oleObject>
      </mc:Choice>
      <mc:Fallback>
        <oleObject progId="Equation.DSMT4" shapeId="1251" r:id="rId214"/>
      </mc:Fallback>
    </mc:AlternateContent>
    <mc:AlternateContent xmlns:mc="http://schemas.openxmlformats.org/markup-compatibility/2006">
      <mc:Choice Requires="x14">
        <oleObject progId="Equation.DSMT4" shapeId="1252" r:id="rId216">
          <objectPr defaultSize="0" autoPict="0" r:id="rId217">
            <anchor moveWithCells="1">
              <from>
                <xdr:col>350</xdr:col>
                <xdr:colOff>9525</xdr:colOff>
                <xdr:row>33</xdr:row>
                <xdr:rowOff>438150</xdr:rowOff>
              </from>
              <to>
                <xdr:col>355</xdr:col>
                <xdr:colOff>238125</xdr:colOff>
                <xdr:row>35</xdr:row>
                <xdr:rowOff>266700</xdr:rowOff>
              </to>
            </anchor>
          </objectPr>
        </oleObject>
      </mc:Choice>
      <mc:Fallback>
        <oleObject progId="Equation.DSMT4" shapeId="1252" r:id="rId216"/>
      </mc:Fallback>
    </mc:AlternateContent>
    <mc:AlternateContent xmlns:mc="http://schemas.openxmlformats.org/markup-compatibility/2006">
      <mc:Choice Requires="x14">
        <oleObject progId="Equation.DSMT4" shapeId="1253" r:id="rId218">
          <objectPr defaultSize="0" autoPict="0" r:id="rId219">
            <anchor moveWithCells="1">
              <from>
                <xdr:col>350</xdr:col>
                <xdr:colOff>76200</xdr:colOff>
                <xdr:row>34</xdr:row>
                <xdr:rowOff>504825</xdr:rowOff>
              </from>
              <to>
                <xdr:col>353</xdr:col>
                <xdr:colOff>104775</xdr:colOff>
                <xdr:row>36</xdr:row>
                <xdr:rowOff>361950</xdr:rowOff>
              </to>
            </anchor>
          </objectPr>
        </oleObject>
      </mc:Choice>
      <mc:Fallback>
        <oleObject progId="Equation.DSMT4" shapeId="1253" r:id="rId218"/>
      </mc:Fallback>
    </mc:AlternateContent>
    <mc:AlternateContent xmlns:mc="http://schemas.openxmlformats.org/markup-compatibility/2006">
      <mc:Choice Requires="x14">
        <oleObject progId="Equation.DSMT4" shapeId="1254" r:id="rId220">
          <objectPr defaultSize="0" autoPict="0" r:id="rId221">
            <anchor moveWithCells="1">
              <from>
                <xdr:col>350</xdr:col>
                <xdr:colOff>66675</xdr:colOff>
                <xdr:row>35</xdr:row>
                <xdr:rowOff>561975</xdr:rowOff>
              </from>
              <to>
                <xdr:col>359</xdr:col>
                <xdr:colOff>152400</xdr:colOff>
                <xdr:row>37</xdr:row>
                <xdr:rowOff>381000</xdr:rowOff>
              </to>
            </anchor>
          </objectPr>
        </oleObject>
      </mc:Choice>
      <mc:Fallback>
        <oleObject progId="Equation.DSMT4" shapeId="1254" r:id="rId220"/>
      </mc:Fallback>
    </mc:AlternateContent>
    <mc:AlternateContent xmlns:mc="http://schemas.openxmlformats.org/markup-compatibility/2006">
      <mc:Choice Requires="x14">
        <oleObject progId="Equation.DSMT4" shapeId="1255" r:id="rId222">
          <objectPr defaultSize="0" r:id="rId223">
            <anchor moveWithCells="1">
              <from>
                <xdr:col>142</xdr:col>
                <xdr:colOff>171450</xdr:colOff>
                <xdr:row>27</xdr:row>
                <xdr:rowOff>133350</xdr:rowOff>
              </from>
              <to>
                <xdr:col>145</xdr:col>
                <xdr:colOff>247650</xdr:colOff>
                <xdr:row>28</xdr:row>
                <xdr:rowOff>257175</xdr:rowOff>
              </to>
            </anchor>
          </objectPr>
        </oleObject>
      </mc:Choice>
      <mc:Fallback>
        <oleObject progId="Equation.DSMT4" shapeId="1255" r:id="rId222"/>
      </mc:Fallback>
    </mc:AlternateContent>
    <mc:AlternateContent xmlns:mc="http://schemas.openxmlformats.org/markup-compatibility/2006">
      <mc:Choice Requires="x14">
        <oleObject progId="Equation.DSMT4" shapeId="1256" r:id="rId224">
          <objectPr defaultSize="0" autoPict="0" r:id="rId225">
            <anchor moveWithCells="1">
              <from>
                <xdr:col>142</xdr:col>
                <xdr:colOff>228600</xdr:colOff>
                <xdr:row>31</xdr:row>
                <xdr:rowOff>152400</xdr:rowOff>
              </from>
              <to>
                <xdr:col>146</xdr:col>
                <xdr:colOff>285750</xdr:colOff>
                <xdr:row>32</xdr:row>
                <xdr:rowOff>495300</xdr:rowOff>
              </to>
            </anchor>
          </objectPr>
        </oleObject>
      </mc:Choice>
      <mc:Fallback>
        <oleObject progId="Equation.DSMT4" shapeId="1256" r:id="rId224"/>
      </mc:Fallback>
    </mc:AlternateContent>
    <mc:AlternateContent xmlns:mc="http://schemas.openxmlformats.org/markup-compatibility/2006">
      <mc:Choice Requires="x14">
        <oleObject progId="Equation.DSMT4" shapeId="1268" r:id="rId226">
          <objectPr defaultSize="0" r:id="rId227">
            <anchor moveWithCells="1">
              <from>
                <xdr:col>88</xdr:col>
                <xdr:colOff>266700</xdr:colOff>
                <xdr:row>79</xdr:row>
                <xdr:rowOff>190500</xdr:rowOff>
              </from>
              <to>
                <xdr:col>91</xdr:col>
                <xdr:colOff>66675</xdr:colOff>
                <xdr:row>80</xdr:row>
                <xdr:rowOff>333375</xdr:rowOff>
              </to>
            </anchor>
          </objectPr>
        </oleObject>
      </mc:Choice>
      <mc:Fallback>
        <oleObject progId="Equation.DSMT4" shapeId="1268" r:id="rId226"/>
      </mc:Fallback>
    </mc:AlternateContent>
    <mc:AlternateContent xmlns:mc="http://schemas.openxmlformats.org/markup-compatibility/2006">
      <mc:Choice Requires="x14">
        <oleObject progId="Equation.DSMT4" shapeId="1270" r:id="rId228">
          <objectPr defaultSize="0" autoPict="0" r:id="rId229">
            <anchor moveWithCells="1">
              <from>
                <xdr:col>91</xdr:col>
                <xdr:colOff>428625</xdr:colOff>
                <xdr:row>79</xdr:row>
                <xdr:rowOff>76200</xdr:rowOff>
              </from>
              <to>
                <xdr:col>95</xdr:col>
                <xdr:colOff>466725</xdr:colOff>
                <xdr:row>80</xdr:row>
                <xdr:rowOff>466725</xdr:rowOff>
              </to>
            </anchor>
          </objectPr>
        </oleObject>
      </mc:Choice>
      <mc:Fallback>
        <oleObject progId="Equation.DSMT4" shapeId="1270" r:id="rId228"/>
      </mc:Fallback>
    </mc:AlternateContent>
    <mc:AlternateContent xmlns:mc="http://schemas.openxmlformats.org/markup-compatibility/2006">
      <mc:Choice Requires="x14">
        <oleObject progId="Equation.DSMT4" shapeId="1272" r:id="rId230">
          <objectPr defaultSize="0" autoPict="0" r:id="rId231">
            <anchor moveWithCells="1">
              <from>
                <xdr:col>125</xdr:col>
                <xdr:colOff>266700</xdr:colOff>
                <xdr:row>4</xdr:row>
                <xdr:rowOff>190500</xdr:rowOff>
              </from>
              <to>
                <xdr:col>138</xdr:col>
                <xdr:colOff>228600</xdr:colOff>
                <xdr:row>6</xdr:row>
                <xdr:rowOff>123825</xdr:rowOff>
              </to>
            </anchor>
          </objectPr>
        </oleObject>
      </mc:Choice>
      <mc:Fallback>
        <oleObject progId="Equation.DSMT4" shapeId="1272" r:id="rId230"/>
      </mc:Fallback>
    </mc:AlternateContent>
    <mc:AlternateContent xmlns:mc="http://schemas.openxmlformats.org/markup-compatibility/2006">
      <mc:Choice Requires="x14">
        <oleObject progId="Equation.DSMT4" shapeId="1275" r:id="rId232">
          <objectPr defaultSize="0" autoPict="0" r:id="rId233">
            <anchor moveWithCells="1">
              <from>
                <xdr:col>355</xdr:col>
                <xdr:colOff>47625</xdr:colOff>
                <xdr:row>21</xdr:row>
                <xdr:rowOff>390525</xdr:rowOff>
              </from>
              <to>
                <xdr:col>355</xdr:col>
                <xdr:colOff>561975</xdr:colOff>
                <xdr:row>22</xdr:row>
                <xdr:rowOff>428625</xdr:rowOff>
              </to>
            </anchor>
          </objectPr>
        </oleObject>
      </mc:Choice>
      <mc:Fallback>
        <oleObject progId="Equation.DSMT4" shapeId="1275" r:id="rId232"/>
      </mc:Fallback>
    </mc:AlternateContent>
    <mc:AlternateContent xmlns:mc="http://schemas.openxmlformats.org/markup-compatibility/2006">
      <mc:Choice Requires="x14">
        <oleObject progId="Equation.DSMT4" shapeId="1276" r:id="rId234">
          <objectPr defaultSize="0" autoPict="0" r:id="rId235">
            <anchor moveWithCells="1">
              <from>
                <xdr:col>355</xdr:col>
                <xdr:colOff>28575</xdr:colOff>
                <xdr:row>20</xdr:row>
                <xdr:rowOff>419100</xdr:rowOff>
              </from>
              <to>
                <xdr:col>356</xdr:col>
                <xdr:colOff>9525</xdr:colOff>
                <xdr:row>21</xdr:row>
                <xdr:rowOff>381000</xdr:rowOff>
              </to>
            </anchor>
          </objectPr>
        </oleObject>
      </mc:Choice>
      <mc:Fallback>
        <oleObject progId="Equation.DSMT4" shapeId="1276" r:id="rId234"/>
      </mc:Fallback>
    </mc:AlternateContent>
    <mc:AlternateContent xmlns:mc="http://schemas.openxmlformats.org/markup-compatibility/2006">
      <mc:Choice Requires="x14">
        <oleObject progId="Equation.DSMT4" shapeId="1277" r:id="rId236">
          <objectPr defaultSize="0" autoPict="0" r:id="rId237">
            <anchor moveWithCells="1">
              <from>
                <xdr:col>355</xdr:col>
                <xdr:colOff>76200</xdr:colOff>
                <xdr:row>22</xdr:row>
                <xdr:rowOff>495300</xdr:rowOff>
              </from>
              <to>
                <xdr:col>356</xdr:col>
                <xdr:colOff>0</xdr:colOff>
                <xdr:row>23</xdr:row>
                <xdr:rowOff>381000</xdr:rowOff>
              </to>
            </anchor>
          </objectPr>
        </oleObject>
      </mc:Choice>
      <mc:Fallback>
        <oleObject progId="Equation.DSMT4" shapeId="1277" r:id="rId236"/>
      </mc:Fallback>
    </mc:AlternateContent>
    <mc:AlternateContent xmlns:mc="http://schemas.openxmlformats.org/markup-compatibility/2006">
      <mc:Choice Requires="x14">
        <oleObject progId="Equation.DSMT4" shapeId="1279" r:id="rId238">
          <objectPr defaultSize="0" autoPict="0" r:id="rId239">
            <anchor moveWithCells="1">
              <from>
                <xdr:col>350</xdr:col>
                <xdr:colOff>76200</xdr:colOff>
                <xdr:row>31</xdr:row>
                <xdr:rowOff>542925</xdr:rowOff>
              </from>
              <to>
                <xdr:col>354</xdr:col>
                <xdr:colOff>247650</xdr:colOff>
                <xdr:row>33</xdr:row>
                <xdr:rowOff>28575</xdr:rowOff>
              </to>
            </anchor>
          </objectPr>
        </oleObject>
      </mc:Choice>
      <mc:Fallback>
        <oleObject progId="Equation.DSMT4" shapeId="1279" r:id="rId238"/>
      </mc:Fallback>
    </mc:AlternateContent>
    <mc:AlternateContent xmlns:mc="http://schemas.openxmlformats.org/markup-compatibility/2006">
      <mc:Choice Requires="x14">
        <oleObject progId="Equation.DSMT4" shapeId="1280" r:id="rId240">
          <objectPr defaultSize="0" autoPict="0" r:id="rId241">
            <anchor moveWithCells="1">
              <from>
                <xdr:col>350</xdr:col>
                <xdr:colOff>19050</xdr:colOff>
                <xdr:row>39</xdr:row>
                <xdr:rowOff>438150</xdr:rowOff>
              </from>
              <to>
                <xdr:col>353</xdr:col>
                <xdr:colOff>0</xdr:colOff>
                <xdr:row>40</xdr:row>
                <xdr:rowOff>523875</xdr:rowOff>
              </to>
            </anchor>
          </objectPr>
        </oleObject>
      </mc:Choice>
      <mc:Fallback>
        <oleObject progId="Equation.DSMT4" shapeId="1280" r:id="rId240"/>
      </mc:Fallback>
    </mc:AlternateContent>
    <mc:AlternateContent xmlns:mc="http://schemas.openxmlformats.org/markup-compatibility/2006">
      <mc:Choice Requires="x14">
        <oleObject progId="Equation.DSMT4" shapeId="1281" r:id="rId242">
          <objectPr defaultSize="0" autoPict="0" r:id="rId243">
            <anchor moveWithCells="1">
              <from>
                <xdr:col>350</xdr:col>
                <xdr:colOff>76200</xdr:colOff>
                <xdr:row>40</xdr:row>
                <xdr:rowOff>438150</xdr:rowOff>
              </from>
              <to>
                <xdr:col>354</xdr:col>
                <xdr:colOff>28575</xdr:colOff>
                <xdr:row>41</xdr:row>
                <xdr:rowOff>381000</xdr:rowOff>
              </to>
            </anchor>
          </objectPr>
        </oleObject>
      </mc:Choice>
      <mc:Fallback>
        <oleObject progId="Equation.DSMT4" shapeId="1281" r:id="rId242"/>
      </mc:Fallback>
    </mc:AlternateContent>
    <mc:AlternateContent xmlns:mc="http://schemas.openxmlformats.org/markup-compatibility/2006">
      <mc:Choice Requires="x14">
        <oleObject progId="Equation.DSMT4" shapeId="1282" r:id="rId244">
          <objectPr defaultSize="0" autoPict="0" r:id="rId245">
            <anchor moveWithCells="1">
              <from>
                <xdr:col>350</xdr:col>
                <xdr:colOff>85725</xdr:colOff>
                <xdr:row>41</xdr:row>
                <xdr:rowOff>419100</xdr:rowOff>
              </from>
              <to>
                <xdr:col>354</xdr:col>
                <xdr:colOff>19050</xdr:colOff>
                <xdr:row>42</xdr:row>
                <xdr:rowOff>381000</xdr:rowOff>
              </to>
            </anchor>
          </objectPr>
        </oleObject>
      </mc:Choice>
      <mc:Fallback>
        <oleObject progId="Equation.DSMT4" shapeId="1282" r:id="rId244"/>
      </mc:Fallback>
    </mc:AlternateContent>
    <mc:AlternateContent xmlns:mc="http://schemas.openxmlformats.org/markup-compatibility/2006">
      <mc:Choice Requires="x14">
        <oleObject progId="Equation.DSMT4" shapeId="1283" r:id="rId246">
          <objectPr defaultSize="0" autoPict="0" r:id="rId247">
            <anchor moveWithCells="1">
              <from>
                <xdr:col>350</xdr:col>
                <xdr:colOff>47625</xdr:colOff>
                <xdr:row>42</xdr:row>
                <xdr:rowOff>419100</xdr:rowOff>
              </from>
              <to>
                <xdr:col>354</xdr:col>
                <xdr:colOff>342900</xdr:colOff>
                <xdr:row>43</xdr:row>
                <xdr:rowOff>409575</xdr:rowOff>
              </to>
            </anchor>
          </objectPr>
        </oleObject>
      </mc:Choice>
      <mc:Fallback>
        <oleObject progId="Equation.DSMT4" shapeId="1283" r:id="rId246"/>
      </mc:Fallback>
    </mc:AlternateContent>
    <mc:AlternateContent xmlns:mc="http://schemas.openxmlformats.org/markup-compatibility/2006">
      <mc:Choice Requires="x14">
        <oleObject progId="Equation.DSMT4" shapeId="1284" r:id="rId248">
          <objectPr defaultSize="0" autoPict="0" r:id="rId249">
            <anchor moveWithCells="1">
              <from>
                <xdr:col>350</xdr:col>
                <xdr:colOff>9525</xdr:colOff>
                <xdr:row>38</xdr:row>
                <xdr:rowOff>419100</xdr:rowOff>
              </from>
              <to>
                <xdr:col>352</xdr:col>
                <xdr:colOff>476250</xdr:colOff>
                <xdr:row>39</xdr:row>
                <xdr:rowOff>381000</xdr:rowOff>
              </to>
            </anchor>
          </objectPr>
        </oleObject>
      </mc:Choice>
      <mc:Fallback>
        <oleObject progId="Equation.DSMT4" shapeId="1284" r:id="rId248"/>
      </mc:Fallback>
    </mc:AlternateContent>
    <mc:AlternateContent xmlns:mc="http://schemas.openxmlformats.org/markup-compatibility/2006">
      <mc:Choice Requires="x14">
        <oleObject progId="Equation.DSMT4" shapeId="1285" r:id="rId250">
          <objectPr defaultSize="0" autoPict="0" r:id="rId251">
            <anchor moveWithCells="1">
              <from>
                <xdr:col>350</xdr:col>
                <xdr:colOff>19050</xdr:colOff>
                <xdr:row>43</xdr:row>
                <xdr:rowOff>409575</xdr:rowOff>
              </from>
              <to>
                <xdr:col>355</xdr:col>
                <xdr:colOff>333375</xdr:colOff>
                <xdr:row>44</xdr:row>
                <xdr:rowOff>476250</xdr:rowOff>
              </to>
            </anchor>
          </objectPr>
        </oleObject>
      </mc:Choice>
      <mc:Fallback>
        <oleObject progId="Equation.DSMT4" shapeId="1285" r:id="rId250"/>
      </mc:Fallback>
    </mc:AlternateContent>
    <mc:AlternateContent xmlns:mc="http://schemas.openxmlformats.org/markup-compatibility/2006">
      <mc:Choice Requires="x14">
        <oleObject progId="Equation.DSMT4" shapeId="1286" r:id="rId252">
          <objectPr defaultSize="0" autoPict="0" r:id="rId253">
            <anchor moveWithCells="1">
              <from>
                <xdr:col>350</xdr:col>
                <xdr:colOff>9525</xdr:colOff>
                <xdr:row>47</xdr:row>
                <xdr:rowOff>466725</xdr:rowOff>
              </from>
              <to>
                <xdr:col>357</xdr:col>
                <xdr:colOff>352425</xdr:colOff>
                <xdr:row>49</xdr:row>
                <xdr:rowOff>476250</xdr:rowOff>
              </to>
            </anchor>
          </objectPr>
        </oleObject>
      </mc:Choice>
      <mc:Fallback>
        <oleObject progId="Equation.DSMT4" shapeId="1286" r:id="rId252"/>
      </mc:Fallback>
    </mc:AlternateContent>
    <mc:AlternateContent xmlns:mc="http://schemas.openxmlformats.org/markup-compatibility/2006">
      <mc:Choice Requires="x14">
        <oleObject progId="Equation.DSMT4" shapeId="1287" r:id="rId254">
          <objectPr defaultSize="0" autoPict="0" r:id="rId255">
            <anchor moveWithCells="1">
              <from>
                <xdr:col>350</xdr:col>
                <xdr:colOff>9525</xdr:colOff>
                <xdr:row>48</xdr:row>
                <xdr:rowOff>438150</xdr:rowOff>
              </from>
              <to>
                <xdr:col>353</xdr:col>
                <xdr:colOff>485775</xdr:colOff>
                <xdr:row>50</xdr:row>
                <xdr:rowOff>238125</xdr:rowOff>
              </to>
            </anchor>
          </objectPr>
        </oleObject>
      </mc:Choice>
      <mc:Fallback>
        <oleObject progId="Equation.DSMT4" shapeId="1287" r:id="rId254"/>
      </mc:Fallback>
    </mc:AlternateContent>
    <mc:AlternateContent xmlns:mc="http://schemas.openxmlformats.org/markup-compatibility/2006">
      <mc:Choice Requires="x14">
        <oleObject progId="Equation.DSMT4" shapeId="1288" r:id="rId256">
          <objectPr defaultSize="0" autoPict="0" r:id="rId257">
            <anchor moveWithCells="1">
              <from>
                <xdr:col>350</xdr:col>
                <xdr:colOff>28575</xdr:colOff>
                <xdr:row>50</xdr:row>
                <xdr:rowOff>438150</xdr:rowOff>
              </from>
              <to>
                <xdr:col>358</xdr:col>
                <xdr:colOff>9525</xdr:colOff>
                <xdr:row>52</xdr:row>
                <xdr:rowOff>504825</xdr:rowOff>
              </to>
            </anchor>
          </objectPr>
        </oleObject>
      </mc:Choice>
      <mc:Fallback>
        <oleObject progId="Equation.DSMT4" shapeId="1288" r:id="rId256"/>
      </mc:Fallback>
    </mc:AlternateContent>
    <mc:AlternateContent xmlns:mc="http://schemas.openxmlformats.org/markup-compatibility/2006">
      <mc:Choice Requires="x14">
        <oleObject progId="Equation.DSMT4" shapeId="1289" r:id="rId258">
          <objectPr defaultSize="0" autoPict="0" r:id="rId259">
            <anchor moveWithCells="1">
              <from>
                <xdr:col>350</xdr:col>
                <xdr:colOff>47625</xdr:colOff>
                <xdr:row>51</xdr:row>
                <xdr:rowOff>438150</xdr:rowOff>
              </from>
              <to>
                <xdr:col>358</xdr:col>
                <xdr:colOff>38100</xdr:colOff>
                <xdr:row>53</xdr:row>
                <xdr:rowOff>428625</xdr:rowOff>
              </to>
            </anchor>
          </objectPr>
        </oleObject>
      </mc:Choice>
      <mc:Fallback>
        <oleObject progId="Equation.DSMT4" shapeId="1289" r:id="rId258"/>
      </mc:Fallback>
    </mc:AlternateContent>
    <mc:AlternateContent xmlns:mc="http://schemas.openxmlformats.org/markup-compatibility/2006">
      <mc:Choice Requires="x14">
        <oleObject progId="Equation.DSMT4" shapeId="1303" r:id="rId260">
          <objectPr defaultSize="0" autoPict="0" r:id="rId261">
            <anchor moveWithCells="1">
              <from>
                <xdr:col>350</xdr:col>
                <xdr:colOff>76200</xdr:colOff>
                <xdr:row>53</xdr:row>
                <xdr:rowOff>419100</xdr:rowOff>
              </from>
              <to>
                <xdr:col>352</xdr:col>
                <xdr:colOff>95250</xdr:colOff>
                <xdr:row>55</xdr:row>
                <xdr:rowOff>142875</xdr:rowOff>
              </to>
            </anchor>
          </objectPr>
        </oleObject>
      </mc:Choice>
      <mc:Fallback>
        <oleObject progId="Equation.DSMT4" shapeId="1303" r:id="rId260"/>
      </mc:Fallback>
    </mc:AlternateContent>
    <mc:AlternateContent xmlns:mc="http://schemas.openxmlformats.org/markup-compatibility/2006">
      <mc:Choice Requires="x14">
        <oleObject progId="Equation.DSMT4" shapeId="1308" r:id="rId262">
          <objectPr defaultSize="0" autoPict="0" r:id="rId263">
            <anchor moveWithCells="1">
              <from>
                <xdr:col>350</xdr:col>
                <xdr:colOff>133350</xdr:colOff>
                <xdr:row>55</xdr:row>
                <xdr:rowOff>457200</xdr:rowOff>
              </from>
              <to>
                <xdr:col>351</xdr:col>
                <xdr:colOff>180975</xdr:colOff>
                <xdr:row>56</xdr:row>
                <xdr:rowOff>523875</xdr:rowOff>
              </to>
            </anchor>
          </objectPr>
        </oleObject>
      </mc:Choice>
      <mc:Fallback>
        <oleObject progId="Equation.DSMT4" shapeId="1308" r:id="rId262"/>
      </mc:Fallback>
    </mc:AlternateContent>
    <mc:AlternateContent xmlns:mc="http://schemas.openxmlformats.org/markup-compatibility/2006">
      <mc:Choice Requires="x14">
        <oleObject progId="Equation.DSMT4" shapeId="1309" r:id="rId264">
          <objectPr defaultSize="0" autoPict="0" r:id="rId265">
            <anchor moveWithCells="1">
              <from>
                <xdr:col>350</xdr:col>
                <xdr:colOff>76200</xdr:colOff>
                <xdr:row>54</xdr:row>
                <xdr:rowOff>523875</xdr:rowOff>
              </from>
              <to>
                <xdr:col>351</xdr:col>
                <xdr:colOff>133350</xdr:colOff>
                <xdr:row>56</xdr:row>
                <xdr:rowOff>28575</xdr:rowOff>
              </to>
            </anchor>
          </objectPr>
        </oleObject>
      </mc:Choice>
      <mc:Fallback>
        <oleObject progId="Equation.DSMT4" shapeId="1309" r:id="rId264"/>
      </mc:Fallback>
    </mc:AlternateContent>
    <mc:AlternateContent xmlns:mc="http://schemas.openxmlformats.org/markup-compatibility/2006">
      <mc:Choice Requires="x14">
        <oleObject progId="Equation.DSMT4" shapeId="1310" r:id="rId266">
          <objectPr defaultSize="0" autoPict="0" r:id="rId267">
            <anchor moveWithCells="1">
              <from>
                <xdr:col>350</xdr:col>
                <xdr:colOff>142875</xdr:colOff>
                <xdr:row>46</xdr:row>
                <xdr:rowOff>428625</xdr:rowOff>
              </from>
              <to>
                <xdr:col>351</xdr:col>
                <xdr:colOff>133350</xdr:colOff>
                <xdr:row>47</xdr:row>
                <xdr:rowOff>476250</xdr:rowOff>
              </to>
            </anchor>
          </objectPr>
        </oleObject>
      </mc:Choice>
      <mc:Fallback>
        <oleObject progId="Equation.DSMT4" shapeId="1310" r:id="rId266"/>
      </mc:Fallback>
    </mc:AlternateContent>
    <mc:AlternateContent xmlns:mc="http://schemas.openxmlformats.org/markup-compatibility/2006">
      <mc:Choice Requires="x14">
        <oleObject progId="Equation.DSMT4" shapeId="1311" r:id="rId268">
          <objectPr defaultSize="0" autoPict="0" r:id="rId269">
            <anchor moveWithCells="1">
              <from>
                <xdr:col>350</xdr:col>
                <xdr:colOff>161925</xdr:colOff>
                <xdr:row>45</xdr:row>
                <xdr:rowOff>409575</xdr:rowOff>
              </from>
              <to>
                <xdr:col>351</xdr:col>
                <xdr:colOff>133350</xdr:colOff>
                <xdr:row>46</xdr:row>
                <xdr:rowOff>504825</xdr:rowOff>
              </to>
            </anchor>
          </objectPr>
        </oleObject>
      </mc:Choice>
      <mc:Fallback>
        <oleObject progId="Equation.DSMT4" shapeId="1311" r:id="rId268"/>
      </mc:Fallback>
    </mc:AlternateContent>
    <mc:AlternateContent xmlns:mc="http://schemas.openxmlformats.org/markup-compatibility/2006">
      <mc:Choice Requires="x14">
        <oleObject progId="Equation.DSMT4" shapeId="1312" r:id="rId270">
          <objectPr defaultSize="0" autoPict="0" r:id="rId271">
            <anchor moveWithCells="1">
              <from>
                <xdr:col>355</xdr:col>
                <xdr:colOff>47625</xdr:colOff>
                <xdr:row>55</xdr:row>
                <xdr:rowOff>419100</xdr:rowOff>
              </from>
              <to>
                <xdr:col>355</xdr:col>
                <xdr:colOff>381000</xdr:colOff>
                <xdr:row>57</xdr:row>
                <xdr:rowOff>95250</xdr:rowOff>
              </to>
            </anchor>
          </objectPr>
        </oleObject>
      </mc:Choice>
      <mc:Fallback>
        <oleObject progId="Equation.DSMT4" shapeId="1312" r:id="rId270"/>
      </mc:Fallback>
    </mc:AlternateContent>
    <mc:AlternateContent xmlns:mc="http://schemas.openxmlformats.org/markup-compatibility/2006">
      <mc:Choice Requires="x14">
        <oleObject progId="Equation.DSMT4" shapeId="1313" r:id="rId272">
          <objectPr defaultSize="0" autoPict="0" r:id="rId273">
            <anchor moveWithCells="1">
              <from>
                <xdr:col>350</xdr:col>
                <xdr:colOff>95250</xdr:colOff>
                <xdr:row>49</xdr:row>
                <xdr:rowOff>457200</xdr:rowOff>
              </from>
              <to>
                <xdr:col>351</xdr:col>
                <xdr:colOff>542925</xdr:colOff>
                <xdr:row>51</xdr:row>
                <xdr:rowOff>171450</xdr:rowOff>
              </to>
            </anchor>
          </objectPr>
        </oleObject>
      </mc:Choice>
      <mc:Fallback>
        <oleObject progId="Equation.DSMT4" shapeId="1313" r:id="rId272"/>
      </mc:Fallback>
    </mc:AlternateContent>
    <mc:AlternateContent xmlns:mc="http://schemas.openxmlformats.org/markup-compatibility/2006">
      <mc:Choice Requires="x14">
        <oleObject progId="Equation.DSMT4" shapeId="1314" r:id="rId274">
          <objectPr defaultSize="0" autoPict="0" r:id="rId275">
            <anchor moveWithCells="1">
              <from>
                <xdr:col>350</xdr:col>
                <xdr:colOff>76200</xdr:colOff>
                <xdr:row>61</xdr:row>
                <xdr:rowOff>438150</xdr:rowOff>
              </from>
              <to>
                <xdr:col>352</xdr:col>
                <xdr:colOff>285750</xdr:colOff>
                <xdr:row>63</xdr:row>
                <xdr:rowOff>76200</xdr:rowOff>
              </to>
            </anchor>
          </objectPr>
        </oleObject>
      </mc:Choice>
      <mc:Fallback>
        <oleObject progId="Equation.DSMT4" shapeId="1314" r:id="rId274"/>
      </mc:Fallback>
    </mc:AlternateContent>
    <mc:AlternateContent xmlns:mc="http://schemas.openxmlformats.org/markup-compatibility/2006">
      <mc:Choice Requires="x14">
        <oleObject progId="Equation.DSMT4" shapeId="1315" r:id="rId276">
          <objectPr defaultSize="0" autoPict="0" r:id="rId277">
            <anchor moveWithCells="1">
              <from>
                <xdr:col>350</xdr:col>
                <xdr:colOff>57150</xdr:colOff>
                <xdr:row>62</xdr:row>
                <xdr:rowOff>428625</xdr:rowOff>
              </from>
              <to>
                <xdr:col>359</xdr:col>
                <xdr:colOff>171450</xdr:colOff>
                <xdr:row>63</xdr:row>
                <xdr:rowOff>476250</xdr:rowOff>
              </to>
            </anchor>
          </objectPr>
        </oleObject>
      </mc:Choice>
      <mc:Fallback>
        <oleObject progId="Equation.DSMT4" shapeId="1315" r:id="rId276"/>
      </mc:Fallback>
    </mc:AlternateContent>
    <mc:AlternateContent xmlns:mc="http://schemas.openxmlformats.org/markup-compatibility/2006">
      <mc:Choice Requires="x14">
        <oleObject progId="Equation.DSMT4" shapeId="1316" r:id="rId278">
          <objectPr defaultSize="0" autoPict="0" r:id="rId279">
            <anchor moveWithCells="1">
              <from>
                <xdr:col>350</xdr:col>
                <xdr:colOff>95250</xdr:colOff>
                <xdr:row>63</xdr:row>
                <xdr:rowOff>438150</xdr:rowOff>
              </from>
              <to>
                <xdr:col>351</xdr:col>
                <xdr:colOff>304800</xdr:colOff>
                <xdr:row>64</xdr:row>
                <xdr:rowOff>523875</xdr:rowOff>
              </to>
            </anchor>
          </objectPr>
        </oleObject>
      </mc:Choice>
      <mc:Fallback>
        <oleObject progId="Equation.DSMT4" shapeId="1316" r:id="rId278"/>
      </mc:Fallback>
    </mc:AlternateContent>
    <mc:AlternateContent xmlns:mc="http://schemas.openxmlformats.org/markup-compatibility/2006">
      <mc:Choice Requires="x14">
        <oleObject progId="Equation.DSMT4" shapeId="1317" r:id="rId280">
          <objectPr defaultSize="0" autoPict="0" r:id="rId281">
            <anchor moveWithCells="1">
              <from>
                <xdr:col>350</xdr:col>
                <xdr:colOff>95250</xdr:colOff>
                <xdr:row>64</xdr:row>
                <xdr:rowOff>457200</xdr:rowOff>
              </from>
              <to>
                <xdr:col>354</xdr:col>
                <xdr:colOff>152400</xdr:colOff>
                <xdr:row>66</xdr:row>
                <xdr:rowOff>333375</xdr:rowOff>
              </to>
            </anchor>
          </objectPr>
        </oleObject>
      </mc:Choice>
      <mc:Fallback>
        <oleObject progId="Equation.DSMT4" shapeId="1317" r:id="rId280"/>
      </mc:Fallback>
    </mc:AlternateContent>
    <mc:AlternateContent xmlns:mc="http://schemas.openxmlformats.org/markup-compatibility/2006">
      <mc:Choice Requires="x14">
        <oleObject progId="Equation.DSMT4" shapeId="1320" r:id="rId282">
          <objectPr defaultSize="0" autoPict="0" r:id="rId283">
            <anchor moveWithCells="1">
              <from>
                <xdr:col>350</xdr:col>
                <xdr:colOff>133350</xdr:colOff>
                <xdr:row>65</xdr:row>
                <xdr:rowOff>504825</xdr:rowOff>
              </from>
              <to>
                <xdr:col>356</xdr:col>
                <xdr:colOff>542925</xdr:colOff>
                <xdr:row>67</xdr:row>
                <xdr:rowOff>381000</xdr:rowOff>
              </to>
            </anchor>
          </objectPr>
        </oleObject>
      </mc:Choice>
      <mc:Fallback>
        <oleObject progId="Equation.DSMT4" shapeId="1320" r:id="rId282"/>
      </mc:Fallback>
    </mc:AlternateContent>
    <mc:AlternateContent xmlns:mc="http://schemas.openxmlformats.org/markup-compatibility/2006">
      <mc:Choice Requires="x14">
        <oleObject progId="Equation.DSMT4" shapeId="1321" r:id="rId284">
          <objectPr defaultSize="0" autoPict="0" r:id="rId285">
            <anchor moveWithCells="1">
              <from>
                <xdr:col>350</xdr:col>
                <xdr:colOff>95250</xdr:colOff>
                <xdr:row>66</xdr:row>
                <xdr:rowOff>485775</xdr:rowOff>
              </from>
              <to>
                <xdr:col>358</xdr:col>
                <xdr:colOff>38100</xdr:colOff>
                <xdr:row>68</xdr:row>
                <xdr:rowOff>552450</xdr:rowOff>
              </to>
            </anchor>
          </objectPr>
        </oleObject>
      </mc:Choice>
      <mc:Fallback>
        <oleObject progId="Equation.DSMT4" shapeId="1321" r:id="rId284"/>
      </mc:Fallback>
    </mc:AlternateContent>
    <mc:AlternateContent xmlns:mc="http://schemas.openxmlformats.org/markup-compatibility/2006">
      <mc:Choice Requires="x14">
        <oleObject progId="Equation.DSMT4" shapeId="1323" r:id="rId286">
          <objectPr defaultSize="0" autoPict="0" r:id="rId287">
            <anchor moveWithCells="1">
              <from>
                <xdr:col>350</xdr:col>
                <xdr:colOff>133350</xdr:colOff>
                <xdr:row>67</xdr:row>
                <xdr:rowOff>457200</xdr:rowOff>
              </from>
              <to>
                <xdr:col>356</xdr:col>
                <xdr:colOff>85725</xdr:colOff>
                <xdr:row>69</xdr:row>
                <xdr:rowOff>381000</xdr:rowOff>
              </to>
            </anchor>
          </objectPr>
        </oleObject>
      </mc:Choice>
      <mc:Fallback>
        <oleObject progId="Equation.DSMT4" shapeId="1323" r:id="rId286"/>
      </mc:Fallback>
    </mc:AlternateContent>
    <mc:AlternateContent xmlns:mc="http://schemas.openxmlformats.org/markup-compatibility/2006">
      <mc:Choice Requires="x14">
        <oleObject progId="Equation.DSMT4" shapeId="1324" r:id="rId288">
          <objectPr defaultSize="0" autoPict="0" r:id="rId289">
            <anchor moveWithCells="1">
              <from>
                <xdr:col>350</xdr:col>
                <xdr:colOff>161925</xdr:colOff>
                <xdr:row>68</xdr:row>
                <xdr:rowOff>457200</xdr:rowOff>
              </from>
              <to>
                <xdr:col>353</xdr:col>
                <xdr:colOff>19050</xdr:colOff>
                <xdr:row>70</xdr:row>
                <xdr:rowOff>190500</xdr:rowOff>
              </to>
            </anchor>
          </objectPr>
        </oleObject>
      </mc:Choice>
      <mc:Fallback>
        <oleObject progId="Equation.DSMT4" shapeId="1324" r:id="rId288"/>
      </mc:Fallback>
    </mc:AlternateContent>
    <mc:AlternateContent xmlns:mc="http://schemas.openxmlformats.org/markup-compatibility/2006">
      <mc:Choice Requires="x14">
        <oleObject progId="Equation.DSMT4" shapeId="2" r:id="rId290">
          <objectPr defaultSize="0" autoPict="0" r:id="rId291">
            <anchor moveWithCells="1">
              <from>
                <xdr:col>374</xdr:col>
                <xdr:colOff>0</xdr:colOff>
                <xdr:row>90</xdr:row>
                <xdr:rowOff>314325</xdr:rowOff>
              </from>
              <to>
                <xdr:col>386</xdr:col>
                <xdr:colOff>381000</xdr:colOff>
                <xdr:row>92</xdr:row>
                <xdr:rowOff>238125</xdr:rowOff>
              </to>
            </anchor>
          </objectPr>
        </oleObject>
      </mc:Choice>
      <mc:Fallback>
        <oleObject progId="Equation.DSMT4" shapeId="1329" r:id="rId290"/>
      </mc:Fallback>
    </mc:AlternateContent>
    <mc:AlternateContent xmlns:mc="http://schemas.openxmlformats.org/markup-compatibility/2006">
      <mc:Choice Requires="x14">
        <oleObject progId="Equation.DSMT4" shapeId="3" r:id="rId292">
          <objectPr defaultSize="0" autoPict="0" r:id="rId293">
            <anchor moveWithCells="1">
              <from>
                <xdr:col>373</xdr:col>
                <xdr:colOff>314325</xdr:colOff>
                <xdr:row>88</xdr:row>
                <xdr:rowOff>200025</xdr:rowOff>
              </from>
              <to>
                <xdr:col>382</xdr:col>
                <xdr:colOff>304800</xdr:colOff>
                <xdr:row>89</xdr:row>
                <xdr:rowOff>171450</xdr:rowOff>
              </to>
            </anchor>
          </objectPr>
        </oleObject>
      </mc:Choice>
      <mc:Fallback>
        <oleObject progId="Equation.DSMT4" shapeId="1331" r:id="rId292"/>
      </mc:Fallback>
    </mc:AlternateContent>
    <mc:AlternateContent xmlns:mc="http://schemas.openxmlformats.org/markup-compatibility/2006">
      <mc:Choice Requires="x14">
        <oleObject progId="Equation.DSMT4" shapeId="4" r:id="rId294">
          <objectPr defaultSize="0" autoPict="0" r:id="rId295">
            <anchor moveWithCells="1">
              <from>
                <xdr:col>374</xdr:col>
                <xdr:colOff>409575</xdr:colOff>
                <xdr:row>93</xdr:row>
                <xdr:rowOff>409575</xdr:rowOff>
              </from>
              <to>
                <xdr:col>383</xdr:col>
                <xdr:colOff>466725</xdr:colOff>
                <xdr:row>94</xdr:row>
                <xdr:rowOff>485775</xdr:rowOff>
              </to>
            </anchor>
          </objectPr>
        </oleObject>
      </mc:Choice>
      <mc:Fallback>
        <oleObject progId="Equation.DSMT4" shapeId="1332" r:id="rId294"/>
      </mc:Fallback>
    </mc:AlternateContent>
    <mc:AlternateContent xmlns:mc="http://schemas.openxmlformats.org/markup-compatibility/2006">
      <mc:Choice Requires="x14">
        <oleObject progId="Equation.DSMT4" shapeId="1333" r:id="rId296">
          <objectPr defaultSize="0" autoPict="0" r:id="rId297">
            <anchor moveWithCells="1">
              <from>
                <xdr:col>375</xdr:col>
                <xdr:colOff>409575</xdr:colOff>
                <xdr:row>96</xdr:row>
                <xdr:rowOff>161925</xdr:rowOff>
              </from>
              <to>
                <xdr:col>382</xdr:col>
                <xdr:colOff>19050</xdr:colOff>
                <xdr:row>98</xdr:row>
                <xdr:rowOff>152400</xdr:rowOff>
              </to>
            </anchor>
          </objectPr>
        </oleObject>
      </mc:Choice>
      <mc:Fallback>
        <oleObject progId="Equation.DSMT4" shapeId="1333" r:id="rId296"/>
      </mc:Fallback>
    </mc:AlternateContent>
    <mc:AlternateContent xmlns:mc="http://schemas.openxmlformats.org/markup-compatibility/2006">
      <mc:Choice Requires="x14">
        <oleObject progId="Equation.DSMT4" shapeId="5" r:id="rId298">
          <objectPr defaultSize="0" autoPict="0" r:id="rId299">
            <anchor moveWithCells="1">
              <from>
                <xdr:col>375</xdr:col>
                <xdr:colOff>161925</xdr:colOff>
                <xdr:row>99</xdr:row>
                <xdr:rowOff>504825</xdr:rowOff>
              </from>
              <to>
                <xdr:col>384</xdr:col>
                <xdr:colOff>19050</xdr:colOff>
                <xdr:row>100</xdr:row>
                <xdr:rowOff>561975</xdr:rowOff>
              </to>
            </anchor>
          </objectPr>
        </oleObject>
      </mc:Choice>
      <mc:Fallback>
        <oleObject progId="Equation.DSMT4" shapeId="1335" r:id="rId298"/>
      </mc:Fallback>
    </mc:AlternateContent>
    <mc:AlternateContent xmlns:mc="http://schemas.openxmlformats.org/markup-compatibility/2006">
      <mc:Choice Requires="x14">
        <oleObject progId="Equation.DSMT4" shapeId="1340" r:id="rId300">
          <objectPr defaultSize="0" autoPict="0" r:id="rId301">
            <anchor moveWithCells="1">
              <from>
                <xdr:col>376</xdr:col>
                <xdr:colOff>142875</xdr:colOff>
                <xdr:row>114</xdr:row>
                <xdr:rowOff>0</xdr:rowOff>
              </from>
              <to>
                <xdr:col>383</xdr:col>
                <xdr:colOff>238125</xdr:colOff>
                <xdr:row>115</xdr:row>
                <xdr:rowOff>57150</xdr:rowOff>
              </to>
            </anchor>
          </objectPr>
        </oleObject>
      </mc:Choice>
      <mc:Fallback>
        <oleObject progId="Equation.DSMT4" shapeId="1340" r:id="rId300"/>
      </mc:Fallback>
    </mc:AlternateContent>
    <mc:AlternateContent xmlns:mc="http://schemas.openxmlformats.org/markup-compatibility/2006">
      <mc:Choice Requires="x14">
        <oleObject progId="Equation.DSMT4" shapeId="1341" r:id="rId302">
          <objectPr defaultSize="0" autoPict="0" r:id="rId303">
            <anchor moveWithCells="1">
              <from>
                <xdr:col>375</xdr:col>
                <xdr:colOff>485775</xdr:colOff>
                <xdr:row>118</xdr:row>
                <xdr:rowOff>409575</xdr:rowOff>
              </from>
              <to>
                <xdr:col>384</xdr:col>
                <xdr:colOff>19050</xdr:colOff>
                <xdr:row>121</xdr:row>
                <xdr:rowOff>9525</xdr:rowOff>
              </to>
            </anchor>
          </objectPr>
        </oleObject>
      </mc:Choice>
      <mc:Fallback>
        <oleObject progId="Equation.DSMT4" shapeId="1341" r:id="rId302"/>
      </mc:Fallback>
    </mc:AlternateContent>
    <mc:AlternateContent xmlns:mc="http://schemas.openxmlformats.org/markup-compatibility/2006">
      <mc:Choice Requires="x14">
        <oleObject progId="Equation.DSMT4" shapeId="1342" r:id="rId304">
          <objectPr defaultSize="0" autoPict="0" r:id="rId305">
            <anchor moveWithCells="1">
              <from>
                <xdr:col>375</xdr:col>
                <xdr:colOff>504825</xdr:colOff>
                <xdr:row>116</xdr:row>
                <xdr:rowOff>152400</xdr:rowOff>
              </from>
              <to>
                <xdr:col>382</xdr:col>
                <xdr:colOff>476250</xdr:colOff>
                <xdr:row>117</xdr:row>
                <xdr:rowOff>295275</xdr:rowOff>
              </to>
            </anchor>
          </objectPr>
        </oleObject>
      </mc:Choice>
      <mc:Fallback>
        <oleObject progId="Equation.DSMT4" shapeId="1342" r:id="rId304"/>
      </mc:Fallback>
    </mc:AlternateContent>
    <mc:AlternateContent xmlns:mc="http://schemas.openxmlformats.org/markup-compatibility/2006">
      <mc:Choice Requires="x14">
        <oleObject progId="Equation.DSMT4" shapeId="1343" r:id="rId306">
          <objectPr defaultSize="0" autoPict="0" r:id="rId307">
            <anchor moveWithCells="1">
              <from>
                <xdr:col>375</xdr:col>
                <xdr:colOff>28575</xdr:colOff>
                <xdr:row>101</xdr:row>
                <xdr:rowOff>381000</xdr:rowOff>
              </from>
              <to>
                <xdr:col>383</xdr:col>
                <xdr:colOff>438150</xdr:colOff>
                <xdr:row>103</xdr:row>
                <xdr:rowOff>485775</xdr:rowOff>
              </to>
            </anchor>
          </objectPr>
        </oleObject>
      </mc:Choice>
      <mc:Fallback>
        <oleObject progId="Equation.DSMT4" shapeId="1343" r:id="rId306"/>
      </mc:Fallback>
    </mc:AlternateContent>
    <mc:AlternateContent xmlns:mc="http://schemas.openxmlformats.org/markup-compatibility/2006">
      <mc:Choice Requires="x14">
        <oleObject progId="Equation.DSMT4" shapeId="1344" r:id="rId308">
          <objectPr defaultSize="0" autoPict="0" r:id="rId309">
            <anchor moveWithCells="1">
              <from>
                <xdr:col>373</xdr:col>
                <xdr:colOff>304800</xdr:colOff>
                <xdr:row>125</xdr:row>
                <xdr:rowOff>457200</xdr:rowOff>
              </from>
              <to>
                <xdr:col>382</xdr:col>
                <xdr:colOff>114300</xdr:colOff>
                <xdr:row>127</xdr:row>
                <xdr:rowOff>428625</xdr:rowOff>
              </to>
            </anchor>
          </objectPr>
        </oleObject>
      </mc:Choice>
      <mc:Fallback>
        <oleObject progId="Equation.DSMT4" shapeId="1344" r:id="rId308"/>
      </mc:Fallback>
    </mc:AlternateContent>
    <mc:AlternateContent xmlns:mc="http://schemas.openxmlformats.org/markup-compatibility/2006">
      <mc:Choice Requires="x14">
        <oleObject progId="Equation.DSMT4" shapeId="1345" r:id="rId310">
          <objectPr defaultSize="0" autoPict="0" r:id="rId311">
            <anchor moveWithCells="1">
              <from>
                <xdr:col>374</xdr:col>
                <xdr:colOff>47625</xdr:colOff>
                <xdr:row>128</xdr:row>
                <xdr:rowOff>142875</xdr:rowOff>
              </from>
              <to>
                <xdr:col>378</xdr:col>
                <xdr:colOff>466725</xdr:colOff>
                <xdr:row>129</xdr:row>
                <xdr:rowOff>419100</xdr:rowOff>
              </to>
            </anchor>
          </objectPr>
        </oleObject>
      </mc:Choice>
      <mc:Fallback>
        <oleObject progId="Equation.DSMT4" shapeId="1345" r:id="rId310"/>
      </mc:Fallback>
    </mc:AlternateContent>
    <mc:AlternateContent xmlns:mc="http://schemas.openxmlformats.org/markup-compatibility/2006">
      <mc:Choice Requires="x14">
        <oleObject progId="Equation.DSMT4" shapeId="1346" r:id="rId312">
          <objectPr defaultSize="0" autoPict="0" r:id="rId313">
            <anchor moveWithCells="1">
              <from>
                <xdr:col>375</xdr:col>
                <xdr:colOff>0</xdr:colOff>
                <xdr:row>131</xdr:row>
                <xdr:rowOff>47625</xdr:rowOff>
              </from>
              <to>
                <xdr:col>381</xdr:col>
                <xdr:colOff>161925</xdr:colOff>
                <xdr:row>132</xdr:row>
                <xdr:rowOff>561975</xdr:rowOff>
              </to>
            </anchor>
          </objectPr>
        </oleObject>
      </mc:Choice>
      <mc:Fallback>
        <oleObject progId="Equation.DSMT4" shapeId="1346" r:id="rId312"/>
      </mc:Fallback>
    </mc:AlternateContent>
    <mc:AlternateContent xmlns:mc="http://schemas.openxmlformats.org/markup-compatibility/2006">
      <mc:Choice Requires="x14">
        <oleObject progId="Equation.DSMT4" shapeId="1347" r:id="rId314">
          <objectPr defaultSize="0" autoPict="0" r:id="rId315">
            <anchor moveWithCells="1">
              <from>
                <xdr:col>373</xdr:col>
                <xdr:colOff>523875</xdr:colOff>
                <xdr:row>133</xdr:row>
                <xdr:rowOff>19050</xdr:rowOff>
              </from>
              <to>
                <xdr:col>378</xdr:col>
                <xdr:colOff>400050</xdr:colOff>
                <xdr:row>134</xdr:row>
                <xdr:rowOff>114300</xdr:rowOff>
              </to>
            </anchor>
          </objectPr>
        </oleObject>
      </mc:Choice>
      <mc:Fallback>
        <oleObject progId="Equation.DSMT4" shapeId="1347" r:id="rId314"/>
      </mc:Fallback>
    </mc:AlternateContent>
    <mc:AlternateContent xmlns:mc="http://schemas.openxmlformats.org/markup-compatibility/2006">
      <mc:Choice Requires="x14">
        <oleObject progId="Equation.DSMT4" shapeId="1348" r:id="rId316">
          <objectPr defaultSize="0" autoPict="0" r:id="rId317">
            <anchor moveWithCells="1">
              <from>
                <xdr:col>374</xdr:col>
                <xdr:colOff>47625</xdr:colOff>
                <xdr:row>135</xdr:row>
                <xdr:rowOff>476250</xdr:rowOff>
              </from>
              <to>
                <xdr:col>378</xdr:col>
                <xdr:colOff>0</xdr:colOff>
                <xdr:row>137</xdr:row>
                <xdr:rowOff>419100</xdr:rowOff>
              </to>
            </anchor>
          </objectPr>
        </oleObject>
      </mc:Choice>
      <mc:Fallback>
        <oleObject progId="Equation.DSMT4" shapeId="1348" r:id="rId316"/>
      </mc:Fallback>
    </mc:AlternateContent>
    <mc:AlternateContent xmlns:mc="http://schemas.openxmlformats.org/markup-compatibility/2006">
      <mc:Choice Requires="x14">
        <oleObject progId="Equation.DSMT4" shapeId="1349" r:id="rId318">
          <objectPr defaultSize="0" autoPict="0" r:id="rId319">
            <anchor moveWithCells="1">
              <from>
                <xdr:col>471</xdr:col>
                <xdr:colOff>285750</xdr:colOff>
                <xdr:row>72</xdr:row>
                <xdr:rowOff>142875</xdr:rowOff>
              </from>
              <to>
                <xdr:col>474</xdr:col>
                <xdr:colOff>57150</xdr:colOff>
                <xdr:row>74</xdr:row>
                <xdr:rowOff>19050</xdr:rowOff>
              </to>
            </anchor>
          </objectPr>
        </oleObject>
      </mc:Choice>
      <mc:Fallback>
        <oleObject progId="Equation.DSMT4" shapeId="1349" r:id="rId318"/>
      </mc:Fallback>
    </mc:AlternateContent>
    <mc:AlternateContent xmlns:mc="http://schemas.openxmlformats.org/markup-compatibility/2006">
      <mc:Choice Requires="x14">
        <oleObject progId="Equation.DSMT4" shapeId="1350" r:id="rId320">
          <objectPr defaultSize="0" autoPict="0" r:id="rId321">
            <anchor moveWithCells="1">
              <from>
                <xdr:col>471</xdr:col>
                <xdr:colOff>285750</xdr:colOff>
                <xdr:row>73</xdr:row>
                <xdr:rowOff>171450</xdr:rowOff>
              </from>
              <to>
                <xdr:col>473</xdr:col>
                <xdr:colOff>361950</xdr:colOff>
                <xdr:row>74</xdr:row>
                <xdr:rowOff>523875</xdr:rowOff>
              </to>
            </anchor>
          </objectPr>
        </oleObject>
      </mc:Choice>
      <mc:Fallback>
        <oleObject progId="Equation.DSMT4" shapeId="1350" r:id="rId320"/>
      </mc:Fallback>
    </mc:AlternateContent>
    <mc:AlternateContent xmlns:mc="http://schemas.openxmlformats.org/markup-compatibility/2006">
      <mc:Choice Requires="x14">
        <oleObject progId="Equation.DSMT4" shapeId="1351" r:id="rId322">
          <objectPr defaultSize="0" autoPict="0" r:id="rId323">
            <anchor moveWithCells="1">
              <from>
                <xdr:col>471</xdr:col>
                <xdr:colOff>219075</xdr:colOff>
                <xdr:row>74</xdr:row>
                <xdr:rowOff>95250</xdr:rowOff>
              </from>
              <to>
                <xdr:col>474</xdr:col>
                <xdr:colOff>400050</xdr:colOff>
                <xdr:row>76</xdr:row>
                <xdr:rowOff>171450</xdr:rowOff>
              </to>
            </anchor>
          </objectPr>
        </oleObject>
      </mc:Choice>
      <mc:Fallback>
        <oleObject progId="Equation.DSMT4" shapeId="1351" r:id="rId322"/>
      </mc:Fallback>
    </mc:AlternateContent>
    <mc:AlternateContent xmlns:mc="http://schemas.openxmlformats.org/markup-compatibility/2006">
      <mc:Choice Requires="x14">
        <oleObject progId="Equation.DSMT4" shapeId="1352" r:id="rId324">
          <objectPr defaultSize="0" autoPict="0" r:id="rId325">
            <anchor moveWithCells="1">
              <from>
                <xdr:col>471</xdr:col>
                <xdr:colOff>171450</xdr:colOff>
                <xdr:row>75</xdr:row>
                <xdr:rowOff>95250</xdr:rowOff>
              </from>
              <to>
                <xdr:col>475</xdr:col>
                <xdr:colOff>561975</xdr:colOff>
                <xdr:row>76</xdr:row>
                <xdr:rowOff>561975</xdr:rowOff>
              </to>
            </anchor>
          </objectPr>
        </oleObject>
      </mc:Choice>
      <mc:Fallback>
        <oleObject progId="Equation.DSMT4" shapeId="1352" r:id="rId324"/>
      </mc:Fallback>
    </mc:AlternateContent>
    <mc:AlternateContent xmlns:mc="http://schemas.openxmlformats.org/markup-compatibility/2006">
      <mc:Choice Requires="x14">
        <oleObject progId="Equation.DSMT4" shapeId="1353" r:id="rId326">
          <objectPr defaultSize="0" autoPict="0" r:id="rId327">
            <anchor moveWithCells="1">
              <from>
                <xdr:col>543</xdr:col>
                <xdr:colOff>123825</xdr:colOff>
                <xdr:row>98</xdr:row>
                <xdr:rowOff>123825</xdr:rowOff>
              </from>
              <to>
                <xdr:col>547</xdr:col>
                <xdr:colOff>352425</xdr:colOff>
                <xdr:row>99</xdr:row>
                <xdr:rowOff>552450</xdr:rowOff>
              </to>
            </anchor>
          </objectPr>
        </oleObject>
      </mc:Choice>
      <mc:Fallback>
        <oleObject progId="Equation.DSMT4" shapeId="1353" r:id="rId326"/>
      </mc:Fallback>
    </mc:AlternateContent>
    <mc:AlternateContent xmlns:mc="http://schemas.openxmlformats.org/markup-compatibility/2006">
      <mc:Choice Requires="x14">
        <oleObject progId="Equation.DSMT4" shapeId="1354" r:id="rId328">
          <objectPr defaultSize="0" autoPict="0" r:id="rId329">
            <anchor moveWithCells="1">
              <from>
                <xdr:col>543</xdr:col>
                <xdr:colOff>123825</xdr:colOff>
                <xdr:row>101</xdr:row>
                <xdr:rowOff>123825</xdr:rowOff>
              </from>
              <to>
                <xdr:col>548</xdr:col>
                <xdr:colOff>361950</xdr:colOff>
                <xdr:row>102</xdr:row>
                <xdr:rowOff>114300</xdr:rowOff>
              </to>
            </anchor>
          </objectPr>
        </oleObject>
      </mc:Choice>
      <mc:Fallback>
        <oleObject progId="Equation.DSMT4" shapeId="1354" r:id="rId328"/>
      </mc:Fallback>
    </mc:AlternateContent>
    <mc:AlternateContent xmlns:mc="http://schemas.openxmlformats.org/markup-compatibility/2006">
      <mc:Choice Requires="x14">
        <oleObject progId="Equation.DSMT4" shapeId="1355" r:id="rId330">
          <objectPr defaultSize="0" autoPict="0" r:id="rId331">
            <anchor moveWithCells="1">
              <from>
                <xdr:col>543</xdr:col>
                <xdr:colOff>123825</xdr:colOff>
                <xdr:row>102</xdr:row>
                <xdr:rowOff>95250</xdr:rowOff>
              </from>
              <to>
                <xdr:col>544</xdr:col>
                <xdr:colOff>28575</xdr:colOff>
                <xdr:row>103</xdr:row>
                <xdr:rowOff>76200</xdr:rowOff>
              </to>
            </anchor>
          </objectPr>
        </oleObject>
      </mc:Choice>
      <mc:Fallback>
        <oleObject progId="Equation.DSMT4" shapeId="1355" r:id="rId330"/>
      </mc:Fallback>
    </mc:AlternateContent>
    <mc:AlternateContent xmlns:mc="http://schemas.openxmlformats.org/markup-compatibility/2006">
      <mc:Choice Requires="x14">
        <oleObject progId="Equation.DSMT4" shapeId="1356" r:id="rId332">
          <objectPr defaultSize="0" autoPict="0" r:id="rId333">
            <anchor moveWithCells="1">
              <from>
                <xdr:col>367</xdr:col>
                <xdr:colOff>438150</xdr:colOff>
                <xdr:row>83</xdr:row>
                <xdr:rowOff>428625</xdr:rowOff>
              </from>
              <to>
                <xdr:col>376</xdr:col>
                <xdr:colOff>180975</xdr:colOff>
                <xdr:row>84</xdr:row>
                <xdr:rowOff>466725</xdr:rowOff>
              </to>
            </anchor>
          </objectPr>
        </oleObject>
      </mc:Choice>
      <mc:Fallback>
        <oleObject progId="Equation.DSMT4" shapeId="1356" r:id="rId332"/>
      </mc:Fallback>
    </mc:AlternateContent>
    <mc:AlternateContent xmlns:mc="http://schemas.openxmlformats.org/markup-compatibility/2006">
      <mc:Choice Requires="x14">
        <oleObject progId="Equation.DSMT4" shapeId="1357" r:id="rId334">
          <objectPr defaultSize="0" autoPict="0" r:id="rId335">
            <anchor moveWithCells="1">
              <from>
                <xdr:col>467</xdr:col>
                <xdr:colOff>333375</xdr:colOff>
                <xdr:row>68</xdr:row>
                <xdr:rowOff>171450</xdr:rowOff>
              </from>
              <to>
                <xdr:col>482</xdr:col>
                <xdr:colOff>257175</xdr:colOff>
                <xdr:row>70</xdr:row>
                <xdr:rowOff>409575</xdr:rowOff>
              </to>
            </anchor>
          </objectPr>
        </oleObject>
      </mc:Choice>
      <mc:Fallback>
        <oleObject progId="Equation.DSMT4" shapeId="1357" r:id="rId334"/>
      </mc:Fallback>
    </mc:AlternateContent>
    <mc:AlternateContent xmlns:mc="http://schemas.openxmlformats.org/markup-compatibility/2006">
      <mc:Choice Requires="x14">
        <oleObject progId="Equation.DSMT4" shapeId="1358" r:id="rId336">
          <objectPr defaultSize="0" autoPict="0" r:id="rId337">
            <anchor moveWithCells="1">
              <from>
                <xdr:col>467</xdr:col>
                <xdr:colOff>209550</xdr:colOff>
                <xdr:row>85</xdr:row>
                <xdr:rowOff>123825</xdr:rowOff>
              </from>
              <to>
                <xdr:col>483</xdr:col>
                <xdr:colOff>561975</xdr:colOff>
                <xdr:row>86</xdr:row>
                <xdr:rowOff>171450</xdr:rowOff>
              </to>
            </anchor>
          </objectPr>
        </oleObject>
      </mc:Choice>
      <mc:Fallback>
        <oleObject progId="Equation.DSMT4" shapeId="1358" r:id="rId336"/>
      </mc:Fallback>
    </mc:AlternateContent>
    <mc:AlternateContent xmlns:mc="http://schemas.openxmlformats.org/markup-compatibility/2006">
      <mc:Choice Requires="x14">
        <oleObject progId="Equation.DSMT4" shapeId="1359" r:id="rId338">
          <objectPr defaultSize="0" autoPict="0" r:id="rId339">
            <anchor moveWithCells="1">
              <from>
                <xdr:col>620</xdr:col>
                <xdr:colOff>133350</xdr:colOff>
                <xdr:row>120</xdr:row>
                <xdr:rowOff>142875</xdr:rowOff>
              </from>
              <to>
                <xdr:col>629</xdr:col>
                <xdr:colOff>247650</xdr:colOff>
                <xdr:row>121</xdr:row>
                <xdr:rowOff>104775</xdr:rowOff>
              </to>
            </anchor>
          </objectPr>
        </oleObject>
      </mc:Choice>
      <mc:Fallback>
        <oleObject progId="Equation.DSMT4" shapeId="1359" r:id="rId338"/>
      </mc:Fallback>
    </mc:AlternateContent>
    <mc:AlternateContent xmlns:mc="http://schemas.openxmlformats.org/markup-compatibility/2006">
      <mc:Choice Requires="x14">
        <oleObject progId="Equation.DSMT4" shapeId="1360" r:id="rId340">
          <objectPr defaultSize="0" autoPict="0" r:id="rId341">
            <anchor moveWithCells="1">
              <from>
                <xdr:col>543</xdr:col>
                <xdr:colOff>171450</xdr:colOff>
                <xdr:row>110</xdr:row>
                <xdr:rowOff>142875</xdr:rowOff>
              </from>
              <to>
                <xdr:col>545</xdr:col>
                <xdr:colOff>219075</xdr:colOff>
                <xdr:row>111</xdr:row>
                <xdr:rowOff>342900</xdr:rowOff>
              </to>
            </anchor>
          </objectPr>
        </oleObject>
      </mc:Choice>
      <mc:Fallback>
        <oleObject progId="Equation.DSMT4" shapeId="1360" r:id="rId340"/>
      </mc:Fallback>
    </mc:AlternateContent>
    <mc:AlternateContent xmlns:mc="http://schemas.openxmlformats.org/markup-compatibility/2006">
      <mc:Choice Requires="x14">
        <oleObject progId="Equation.DSMT4" shapeId="1362" r:id="rId342">
          <objectPr defaultSize="0" autoPict="0" r:id="rId343">
            <anchor moveWithCells="1">
              <from>
                <xdr:col>540</xdr:col>
                <xdr:colOff>171450</xdr:colOff>
                <xdr:row>112</xdr:row>
                <xdr:rowOff>142875</xdr:rowOff>
              </from>
              <to>
                <xdr:col>551</xdr:col>
                <xdr:colOff>266700</xdr:colOff>
                <xdr:row>121</xdr:row>
                <xdr:rowOff>38100</xdr:rowOff>
              </to>
            </anchor>
          </objectPr>
        </oleObject>
      </mc:Choice>
      <mc:Fallback>
        <oleObject progId="Equation.DSMT4" shapeId="1362" r:id="rId342"/>
      </mc:Fallback>
    </mc:AlternateContent>
    <mc:AlternateContent xmlns:mc="http://schemas.openxmlformats.org/markup-compatibility/2006">
      <mc:Choice Requires="x14">
        <oleObject progId="Equation.DSMT4" shapeId="1364" r:id="rId344">
          <objectPr defaultSize="0" autoPict="0" r:id="rId345">
            <anchor moveWithCells="1">
              <from>
                <xdr:col>543</xdr:col>
                <xdr:colOff>142875</xdr:colOff>
                <xdr:row>118</xdr:row>
                <xdr:rowOff>123825</xdr:rowOff>
              </from>
              <to>
                <xdr:col>545</xdr:col>
                <xdr:colOff>285750</xdr:colOff>
                <xdr:row>119</xdr:row>
                <xdr:rowOff>561975</xdr:rowOff>
              </to>
            </anchor>
          </objectPr>
        </oleObject>
      </mc:Choice>
      <mc:Fallback>
        <oleObject progId="Equation.DSMT4" shapeId="1364" r:id="rId344"/>
      </mc:Fallback>
    </mc:AlternateContent>
    <mc:AlternateContent xmlns:mc="http://schemas.openxmlformats.org/markup-compatibility/2006">
      <mc:Choice Requires="x14">
        <oleObject progId="Equation.DSMT4" shapeId="1365" r:id="rId346">
          <objectPr defaultSize="0" autoPict="0" r:id="rId347">
            <anchor moveWithCells="1">
              <from>
                <xdr:col>543</xdr:col>
                <xdr:colOff>171450</xdr:colOff>
                <xdr:row>119</xdr:row>
                <xdr:rowOff>190500</xdr:rowOff>
              </from>
              <to>
                <xdr:col>548</xdr:col>
                <xdr:colOff>561975</xdr:colOff>
                <xdr:row>121</xdr:row>
                <xdr:rowOff>0</xdr:rowOff>
              </to>
            </anchor>
          </objectPr>
        </oleObject>
      </mc:Choice>
      <mc:Fallback>
        <oleObject progId="Equation.DSMT4" shapeId="1365" r:id="rId346"/>
      </mc:Fallback>
    </mc:AlternateContent>
    <mc:AlternateContent xmlns:mc="http://schemas.openxmlformats.org/markup-compatibility/2006">
      <mc:Choice Requires="x14">
        <oleObject progId="Equation.DSMT4" shapeId="1366" r:id="rId348">
          <objectPr defaultSize="0" autoPict="0" r:id="rId349">
            <anchor moveWithCells="1">
              <from>
                <xdr:col>543</xdr:col>
                <xdr:colOff>123825</xdr:colOff>
                <xdr:row>120</xdr:row>
                <xdr:rowOff>123825</xdr:rowOff>
              </from>
              <to>
                <xdr:col>546</xdr:col>
                <xdr:colOff>238125</xdr:colOff>
                <xdr:row>121</xdr:row>
                <xdr:rowOff>161925</xdr:rowOff>
              </to>
            </anchor>
          </objectPr>
        </oleObject>
      </mc:Choice>
      <mc:Fallback>
        <oleObject progId="Equation.DSMT4" shapeId="1366" r:id="rId348"/>
      </mc:Fallback>
    </mc:AlternateContent>
    <mc:AlternateContent xmlns:mc="http://schemas.openxmlformats.org/markup-compatibility/2006">
      <mc:Choice Requires="x14">
        <oleObject progId="Equation.DSMT4" shapeId="1368" r:id="rId350">
          <objectPr defaultSize="0" autoPict="0" r:id="rId351">
            <anchor moveWithCells="1">
              <from>
                <xdr:col>543</xdr:col>
                <xdr:colOff>142875</xdr:colOff>
                <xdr:row>124</xdr:row>
                <xdr:rowOff>142875</xdr:rowOff>
              </from>
              <to>
                <xdr:col>555</xdr:col>
                <xdr:colOff>457200</xdr:colOff>
                <xdr:row>126</xdr:row>
                <xdr:rowOff>133350</xdr:rowOff>
              </to>
            </anchor>
          </objectPr>
        </oleObject>
      </mc:Choice>
      <mc:Fallback>
        <oleObject progId="Equation.DSMT4" shapeId="1368" r:id="rId350"/>
      </mc:Fallback>
    </mc:AlternateContent>
    <mc:AlternateContent xmlns:mc="http://schemas.openxmlformats.org/markup-compatibility/2006">
      <mc:Choice Requires="x14">
        <oleObject progId="Equation.DSMT4" shapeId="1369" r:id="rId352">
          <objectPr defaultSize="0" autoPict="0" r:id="rId353">
            <anchor moveWithCells="1">
              <from>
                <xdr:col>543</xdr:col>
                <xdr:colOff>142875</xdr:colOff>
                <xdr:row>125</xdr:row>
                <xdr:rowOff>123825</xdr:rowOff>
              </from>
              <to>
                <xdr:col>547</xdr:col>
                <xdr:colOff>47625</xdr:colOff>
                <xdr:row>126</xdr:row>
                <xdr:rowOff>247650</xdr:rowOff>
              </to>
            </anchor>
          </objectPr>
        </oleObject>
      </mc:Choice>
      <mc:Fallback>
        <oleObject progId="Equation.DSMT4" shapeId="1369" r:id="rId352"/>
      </mc:Fallback>
    </mc:AlternateContent>
    <mc:AlternateContent xmlns:mc="http://schemas.openxmlformats.org/markup-compatibility/2006">
      <mc:Choice Requires="x14">
        <oleObject progId="Equation.DSMT4" shapeId="1370" r:id="rId354">
          <objectPr defaultSize="0" autoPict="0" r:id="rId355">
            <anchor moveWithCells="1">
              <from>
                <xdr:col>543</xdr:col>
                <xdr:colOff>142875</xdr:colOff>
                <xdr:row>126</xdr:row>
                <xdr:rowOff>123825</xdr:rowOff>
              </from>
              <to>
                <xdr:col>552</xdr:col>
                <xdr:colOff>409575</xdr:colOff>
                <xdr:row>128</xdr:row>
                <xdr:rowOff>428625</xdr:rowOff>
              </to>
            </anchor>
          </objectPr>
        </oleObject>
      </mc:Choice>
      <mc:Fallback>
        <oleObject progId="Equation.DSMT4" shapeId="1370" r:id="rId354"/>
      </mc:Fallback>
    </mc:AlternateContent>
    <mc:AlternateContent xmlns:mc="http://schemas.openxmlformats.org/markup-compatibility/2006">
      <mc:Choice Requires="x14">
        <oleObject progId="Equation.DSMT4" shapeId="1371" r:id="rId356">
          <objectPr defaultSize="0" autoPict="0" r:id="rId357">
            <anchor moveWithCells="1">
              <from>
                <xdr:col>543</xdr:col>
                <xdr:colOff>171450</xdr:colOff>
                <xdr:row>127</xdr:row>
                <xdr:rowOff>171450</xdr:rowOff>
              </from>
              <to>
                <xdr:col>555</xdr:col>
                <xdr:colOff>476250</xdr:colOff>
                <xdr:row>129</xdr:row>
                <xdr:rowOff>171450</xdr:rowOff>
              </to>
            </anchor>
          </objectPr>
        </oleObject>
      </mc:Choice>
      <mc:Fallback>
        <oleObject progId="Equation.DSMT4" shapeId="1371" r:id="rId356"/>
      </mc:Fallback>
    </mc:AlternateContent>
    <mc:AlternateContent xmlns:mc="http://schemas.openxmlformats.org/markup-compatibility/2006">
      <mc:Choice Requires="x14">
        <oleObject progId="Equation.DSMT4" shapeId="1373" r:id="rId358">
          <objectPr defaultSize="0" autoPict="0" r:id="rId359">
            <anchor moveWithCells="1">
              <from>
                <xdr:col>543</xdr:col>
                <xdr:colOff>142875</xdr:colOff>
                <xdr:row>131</xdr:row>
                <xdr:rowOff>142875</xdr:rowOff>
              </from>
              <to>
                <xdr:col>548</xdr:col>
                <xdr:colOff>552450</xdr:colOff>
                <xdr:row>133</xdr:row>
                <xdr:rowOff>76200</xdr:rowOff>
              </to>
            </anchor>
          </objectPr>
        </oleObject>
      </mc:Choice>
      <mc:Fallback>
        <oleObject progId="Equation.DSMT4" shapeId="1373" r:id="rId358"/>
      </mc:Fallback>
    </mc:AlternateContent>
    <mc:AlternateContent xmlns:mc="http://schemas.openxmlformats.org/markup-compatibility/2006">
      <mc:Choice Requires="x14">
        <oleObject progId="Equation.DSMT4" shapeId="1374" r:id="rId360">
          <objectPr defaultSize="0" autoPict="0" r:id="rId361">
            <anchor moveWithCells="1">
              <from>
                <xdr:col>543</xdr:col>
                <xdr:colOff>123825</xdr:colOff>
                <xdr:row>132</xdr:row>
                <xdr:rowOff>142875</xdr:rowOff>
              </from>
              <to>
                <xdr:col>548</xdr:col>
                <xdr:colOff>438150</xdr:colOff>
                <xdr:row>134</xdr:row>
                <xdr:rowOff>9525</xdr:rowOff>
              </to>
            </anchor>
          </objectPr>
        </oleObject>
      </mc:Choice>
      <mc:Fallback>
        <oleObject progId="Equation.DSMT4" shapeId="1374" r:id="rId360"/>
      </mc:Fallback>
    </mc:AlternateContent>
    <mc:AlternateContent xmlns:mc="http://schemas.openxmlformats.org/markup-compatibility/2006">
      <mc:Choice Requires="x14">
        <oleObject progId="Equation.DSMT4" shapeId="1375" r:id="rId362">
          <objectPr defaultSize="0" autoPict="0" r:id="rId363">
            <anchor moveWithCells="1">
              <from>
                <xdr:col>543</xdr:col>
                <xdr:colOff>142875</xdr:colOff>
                <xdr:row>135</xdr:row>
                <xdr:rowOff>142875</xdr:rowOff>
              </from>
              <to>
                <xdr:col>549</xdr:col>
                <xdr:colOff>142875</xdr:colOff>
                <xdr:row>136</xdr:row>
                <xdr:rowOff>66675</xdr:rowOff>
              </to>
            </anchor>
          </objectPr>
        </oleObject>
      </mc:Choice>
      <mc:Fallback>
        <oleObject progId="Equation.DSMT4" shapeId="1375" r:id="rId362"/>
      </mc:Fallback>
    </mc:AlternateContent>
    <mc:AlternateContent xmlns:mc="http://schemas.openxmlformats.org/markup-compatibility/2006">
      <mc:Choice Requires="x14">
        <oleObject progId="Equation.DSMT4" shapeId="1376" r:id="rId364">
          <objectPr defaultSize="0" autoPict="0" r:id="rId365">
            <anchor moveWithCells="1">
              <from>
                <xdr:col>543</xdr:col>
                <xdr:colOff>123825</xdr:colOff>
                <xdr:row>136</xdr:row>
                <xdr:rowOff>190500</xdr:rowOff>
              </from>
              <to>
                <xdr:col>551</xdr:col>
                <xdr:colOff>409575</xdr:colOff>
                <xdr:row>137</xdr:row>
                <xdr:rowOff>561975</xdr:rowOff>
              </to>
            </anchor>
          </objectPr>
        </oleObject>
      </mc:Choice>
      <mc:Fallback>
        <oleObject progId="Equation.DSMT4" shapeId="1376" r:id="rId364"/>
      </mc:Fallback>
    </mc:AlternateContent>
    <mc:AlternateContent xmlns:mc="http://schemas.openxmlformats.org/markup-compatibility/2006">
      <mc:Choice Requires="x14">
        <oleObject progId="Equation.DSMT4" shapeId="1377" r:id="rId366">
          <objectPr defaultSize="0" autoPict="0" r:id="rId367">
            <anchor moveWithCells="1">
              <from>
                <xdr:col>543</xdr:col>
                <xdr:colOff>123825</xdr:colOff>
                <xdr:row>139</xdr:row>
                <xdr:rowOff>123825</xdr:rowOff>
              </from>
              <to>
                <xdr:col>553</xdr:col>
                <xdr:colOff>161925</xdr:colOff>
                <xdr:row>141</xdr:row>
                <xdr:rowOff>0</xdr:rowOff>
              </to>
            </anchor>
          </objectPr>
        </oleObject>
      </mc:Choice>
      <mc:Fallback>
        <oleObject progId="Equation.DSMT4" shapeId="1377" r:id="rId366"/>
      </mc:Fallback>
    </mc:AlternateContent>
    <mc:AlternateContent xmlns:mc="http://schemas.openxmlformats.org/markup-compatibility/2006">
      <mc:Choice Requires="x14">
        <oleObject progId="Equation.DSMT4" shapeId="1379" r:id="rId368">
          <objectPr defaultSize="0" autoPict="0" r:id="rId369">
            <anchor moveWithCells="1">
              <from>
                <xdr:col>543</xdr:col>
                <xdr:colOff>228600</xdr:colOff>
                <xdr:row>140</xdr:row>
                <xdr:rowOff>123825</xdr:rowOff>
              </from>
              <to>
                <xdr:col>551</xdr:col>
                <xdr:colOff>76200</xdr:colOff>
                <xdr:row>141</xdr:row>
                <xdr:rowOff>200025</xdr:rowOff>
              </to>
            </anchor>
          </objectPr>
        </oleObject>
      </mc:Choice>
      <mc:Fallback>
        <oleObject progId="Equation.DSMT4" shapeId="1379" r:id="rId368"/>
      </mc:Fallback>
    </mc:AlternateContent>
    <mc:AlternateContent xmlns:mc="http://schemas.openxmlformats.org/markup-compatibility/2006">
      <mc:Choice Requires="x14">
        <oleObject progId="Equation.DSMT4" shapeId="1381" r:id="rId370">
          <objectPr defaultSize="0" autoPict="0" r:id="rId371">
            <anchor moveWithCells="1">
              <from>
                <xdr:col>543</xdr:col>
                <xdr:colOff>104775</xdr:colOff>
                <xdr:row>141</xdr:row>
                <xdr:rowOff>85725</xdr:rowOff>
              </from>
              <to>
                <xdr:col>548</xdr:col>
                <xdr:colOff>314325</xdr:colOff>
                <xdr:row>142</xdr:row>
                <xdr:rowOff>381000</xdr:rowOff>
              </to>
            </anchor>
          </objectPr>
        </oleObject>
      </mc:Choice>
      <mc:Fallback>
        <oleObject progId="Equation.DSMT4" shapeId="1381" r:id="rId370"/>
      </mc:Fallback>
    </mc:AlternateContent>
    <mc:AlternateContent xmlns:mc="http://schemas.openxmlformats.org/markup-compatibility/2006">
      <mc:Choice Requires="x14">
        <oleObject progId="Equation.DSMT4" shapeId="1382" r:id="rId372">
          <objectPr defaultSize="0" autoPict="0" r:id="rId373">
            <anchor moveWithCells="1">
              <from>
                <xdr:col>543</xdr:col>
                <xdr:colOff>152400</xdr:colOff>
                <xdr:row>142</xdr:row>
                <xdr:rowOff>104775</xdr:rowOff>
              </from>
              <to>
                <xdr:col>549</xdr:col>
                <xdr:colOff>495300</xdr:colOff>
                <xdr:row>143</xdr:row>
                <xdr:rowOff>104775</xdr:rowOff>
              </to>
            </anchor>
          </objectPr>
        </oleObject>
      </mc:Choice>
      <mc:Fallback>
        <oleObject progId="Equation.DSMT4" shapeId="1382" r:id="rId372"/>
      </mc:Fallback>
    </mc:AlternateContent>
    <mc:AlternateContent xmlns:mc="http://schemas.openxmlformats.org/markup-compatibility/2006">
      <mc:Choice Requires="x14">
        <oleObject progId="Equation.DSMT4" shapeId="1383" r:id="rId374">
          <objectPr defaultSize="0" autoPict="0" r:id="rId375">
            <anchor moveWithCells="1">
              <from>
                <xdr:col>543</xdr:col>
                <xdr:colOff>104775</xdr:colOff>
                <xdr:row>143</xdr:row>
                <xdr:rowOff>142875</xdr:rowOff>
              </from>
              <to>
                <xdr:col>546</xdr:col>
                <xdr:colOff>400050</xdr:colOff>
                <xdr:row>144</xdr:row>
                <xdr:rowOff>28575</xdr:rowOff>
              </to>
            </anchor>
          </objectPr>
        </oleObject>
      </mc:Choice>
      <mc:Fallback>
        <oleObject progId="Equation.DSMT4" shapeId="1383" r:id="rId374"/>
      </mc:Fallback>
    </mc:AlternateContent>
    <mc:AlternateContent xmlns:mc="http://schemas.openxmlformats.org/markup-compatibility/2006">
      <mc:Choice Requires="x14">
        <oleObject progId="Equation.DSMT4" shapeId="1384" r:id="rId376">
          <objectPr defaultSize="0" autoPict="0" r:id="rId377">
            <anchor moveWithCells="1">
              <from>
                <xdr:col>543</xdr:col>
                <xdr:colOff>142875</xdr:colOff>
                <xdr:row>144</xdr:row>
                <xdr:rowOff>85725</xdr:rowOff>
              </from>
              <to>
                <xdr:col>553</xdr:col>
                <xdr:colOff>257175</xdr:colOff>
                <xdr:row>145</xdr:row>
                <xdr:rowOff>447675</xdr:rowOff>
              </to>
            </anchor>
          </objectPr>
        </oleObject>
      </mc:Choice>
      <mc:Fallback>
        <oleObject progId="Equation.DSMT4" shapeId="1384" r:id="rId376"/>
      </mc:Fallback>
    </mc:AlternateContent>
    <mc:AlternateContent xmlns:mc="http://schemas.openxmlformats.org/markup-compatibility/2006">
      <mc:Choice Requires="x14">
        <oleObject progId="Equation.DSMT4" shapeId="1385" r:id="rId378">
          <objectPr defaultSize="0" autoPict="0" r:id="rId379">
            <anchor moveWithCells="1">
              <from>
                <xdr:col>543</xdr:col>
                <xdr:colOff>123825</xdr:colOff>
                <xdr:row>145</xdr:row>
                <xdr:rowOff>104775</xdr:rowOff>
              </from>
              <to>
                <xdr:col>547</xdr:col>
                <xdr:colOff>314325</xdr:colOff>
                <xdr:row>146</xdr:row>
                <xdr:rowOff>495300</xdr:rowOff>
              </to>
            </anchor>
          </objectPr>
        </oleObject>
      </mc:Choice>
      <mc:Fallback>
        <oleObject progId="Equation.DSMT4" shapeId="1385" r:id="rId378"/>
      </mc:Fallback>
    </mc:AlternateContent>
    <mc:AlternateContent xmlns:mc="http://schemas.openxmlformats.org/markup-compatibility/2006">
      <mc:Choice Requires="x14">
        <oleObject progId="Equation.DSMT4" shapeId="1386" r:id="rId380">
          <objectPr defaultSize="0" autoPict="0" r:id="rId381">
            <anchor moveWithCells="1">
              <from>
                <xdr:col>543</xdr:col>
                <xdr:colOff>123825</xdr:colOff>
                <xdr:row>146</xdr:row>
                <xdr:rowOff>104775</xdr:rowOff>
              </from>
              <to>
                <xdr:col>546</xdr:col>
                <xdr:colOff>381000</xdr:colOff>
                <xdr:row>148</xdr:row>
                <xdr:rowOff>9525</xdr:rowOff>
              </to>
            </anchor>
          </objectPr>
        </oleObject>
      </mc:Choice>
      <mc:Fallback>
        <oleObject progId="Equation.DSMT4" shapeId="1386" r:id="rId380"/>
      </mc:Fallback>
    </mc:AlternateContent>
    <mc:AlternateContent xmlns:mc="http://schemas.openxmlformats.org/markup-compatibility/2006">
      <mc:Choice Requires="x14">
        <oleObject progId="Equation.DSMT4" shapeId="1387" r:id="rId382">
          <objectPr defaultSize="0" autoPict="0" r:id="rId383">
            <anchor moveWithCells="1">
              <from>
                <xdr:col>543</xdr:col>
                <xdr:colOff>104775</xdr:colOff>
                <xdr:row>147</xdr:row>
                <xdr:rowOff>85725</xdr:rowOff>
              </from>
              <to>
                <xdr:col>549</xdr:col>
                <xdr:colOff>381000</xdr:colOff>
                <xdr:row>149</xdr:row>
                <xdr:rowOff>38100</xdr:rowOff>
              </to>
            </anchor>
          </objectPr>
        </oleObject>
      </mc:Choice>
      <mc:Fallback>
        <oleObject progId="Equation.DSMT4" shapeId="1387" r:id="rId382"/>
      </mc:Fallback>
    </mc:AlternateContent>
    <mc:AlternateContent xmlns:mc="http://schemas.openxmlformats.org/markup-compatibility/2006">
      <mc:Choice Requires="x14">
        <oleObject progId="Equation.DSMT4" shapeId="1388" r:id="rId384">
          <objectPr defaultSize="0" autoPict="0" r:id="rId385">
            <anchor moveWithCells="1">
              <from>
                <xdr:col>543</xdr:col>
                <xdr:colOff>123825</xdr:colOff>
                <xdr:row>148</xdr:row>
                <xdr:rowOff>190500</xdr:rowOff>
              </from>
              <to>
                <xdr:col>548</xdr:col>
                <xdr:colOff>85725</xdr:colOff>
                <xdr:row>150</xdr:row>
                <xdr:rowOff>0</xdr:rowOff>
              </to>
            </anchor>
          </objectPr>
        </oleObject>
      </mc:Choice>
      <mc:Fallback>
        <oleObject progId="Equation.DSMT4" shapeId="1388" r:id="rId384"/>
      </mc:Fallback>
    </mc:AlternateContent>
    <mc:AlternateContent xmlns:mc="http://schemas.openxmlformats.org/markup-compatibility/2006">
      <mc:Choice Requires="x14">
        <oleObject progId="Equation.DSMT4" shapeId="1389" r:id="rId386">
          <objectPr defaultSize="0" r:id="rId387">
            <anchor moveWithCells="1">
              <from>
                <xdr:col>543</xdr:col>
                <xdr:colOff>104775</xdr:colOff>
                <xdr:row>149</xdr:row>
                <xdr:rowOff>104775</xdr:rowOff>
              </from>
              <to>
                <xdr:col>546</xdr:col>
                <xdr:colOff>352425</xdr:colOff>
                <xdr:row>150</xdr:row>
                <xdr:rowOff>238125</xdr:rowOff>
              </to>
            </anchor>
          </objectPr>
        </oleObject>
      </mc:Choice>
      <mc:Fallback>
        <oleObject progId="Equation.DSMT4" shapeId="1389" r:id="rId386"/>
      </mc:Fallback>
    </mc:AlternateContent>
    <mc:AlternateContent xmlns:mc="http://schemas.openxmlformats.org/markup-compatibility/2006">
      <mc:Choice Requires="x14">
        <oleObject progId="Equation.DSMT4" shapeId="1390" r:id="rId388">
          <objectPr defaultSize="0" autoPict="0" r:id="rId389">
            <anchor moveWithCells="1">
              <from>
                <xdr:col>543</xdr:col>
                <xdr:colOff>104775</xdr:colOff>
                <xdr:row>150</xdr:row>
                <xdr:rowOff>104775</xdr:rowOff>
              </from>
              <to>
                <xdr:col>548</xdr:col>
                <xdr:colOff>19050</xdr:colOff>
                <xdr:row>151</xdr:row>
                <xdr:rowOff>0</xdr:rowOff>
              </to>
            </anchor>
          </objectPr>
        </oleObject>
      </mc:Choice>
      <mc:Fallback>
        <oleObject progId="Equation.DSMT4" shapeId="1390" r:id="rId388"/>
      </mc:Fallback>
    </mc:AlternateContent>
    <mc:AlternateContent xmlns:mc="http://schemas.openxmlformats.org/markup-compatibility/2006">
      <mc:Choice Requires="x14">
        <oleObject progId="Equation.DSMT4" shapeId="1391" r:id="rId390">
          <objectPr defaultSize="0" autoPict="0" r:id="rId391">
            <anchor moveWithCells="1">
              <from>
                <xdr:col>543</xdr:col>
                <xdr:colOff>104775</xdr:colOff>
                <xdr:row>152</xdr:row>
                <xdr:rowOff>66675</xdr:rowOff>
              </from>
              <to>
                <xdr:col>549</xdr:col>
                <xdr:colOff>114300</xdr:colOff>
                <xdr:row>153</xdr:row>
                <xdr:rowOff>476250</xdr:rowOff>
              </to>
            </anchor>
          </objectPr>
        </oleObject>
      </mc:Choice>
      <mc:Fallback>
        <oleObject progId="Equation.DSMT4" shapeId="1391" r:id="rId390"/>
      </mc:Fallback>
    </mc:AlternateContent>
    <mc:AlternateContent xmlns:mc="http://schemas.openxmlformats.org/markup-compatibility/2006">
      <mc:Choice Requires="x14">
        <oleObject progId="Equation.DSMT4" shapeId="1392" r:id="rId392">
          <objectPr defaultSize="0" autoPict="0" r:id="rId393">
            <anchor moveWithCells="1">
              <from>
                <xdr:col>543</xdr:col>
                <xdr:colOff>104775</xdr:colOff>
                <xdr:row>153</xdr:row>
                <xdr:rowOff>85725</xdr:rowOff>
              </from>
              <to>
                <xdr:col>549</xdr:col>
                <xdr:colOff>104775</xdr:colOff>
                <xdr:row>154</xdr:row>
                <xdr:rowOff>533400</xdr:rowOff>
              </to>
            </anchor>
          </objectPr>
        </oleObject>
      </mc:Choice>
      <mc:Fallback>
        <oleObject progId="Equation.DSMT4" shapeId="1392" r:id="rId392"/>
      </mc:Fallback>
    </mc:AlternateContent>
    <mc:AlternateContent xmlns:mc="http://schemas.openxmlformats.org/markup-compatibility/2006">
      <mc:Choice Requires="x14">
        <oleObject progId="Equation.DSMT4" shapeId="1393" r:id="rId394">
          <objectPr defaultSize="0" autoPict="0" r:id="rId395">
            <anchor moveWithCells="1">
              <from>
                <xdr:col>543</xdr:col>
                <xdr:colOff>95250</xdr:colOff>
                <xdr:row>154</xdr:row>
                <xdr:rowOff>104775</xdr:rowOff>
              </from>
              <to>
                <xdr:col>547</xdr:col>
                <xdr:colOff>180975</xdr:colOff>
                <xdr:row>155</xdr:row>
                <xdr:rowOff>9525</xdr:rowOff>
              </to>
            </anchor>
          </objectPr>
        </oleObject>
      </mc:Choice>
      <mc:Fallback>
        <oleObject progId="Equation.DSMT4" shapeId="1393" r:id="rId394"/>
      </mc:Fallback>
    </mc:AlternateContent>
    <mc:AlternateContent xmlns:mc="http://schemas.openxmlformats.org/markup-compatibility/2006">
      <mc:Choice Requires="x14">
        <oleObject progId="Equation.DSMT4" shapeId="1394" r:id="rId396">
          <objectPr defaultSize="0" autoPict="0" r:id="rId397">
            <anchor moveWithCells="1">
              <from>
                <xdr:col>543</xdr:col>
                <xdr:colOff>95250</xdr:colOff>
                <xdr:row>155</xdr:row>
                <xdr:rowOff>104775</xdr:rowOff>
              </from>
              <to>
                <xdr:col>547</xdr:col>
                <xdr:colOff>447675</xdr:colOff>
                <xdr:row>156</xdr:row>
                <xdr:rowOff>19050</xdr:rowOff>
              </to>
            </anchor>
          </objectPr>
        </oleObject>
      </mc:Choice>
      <mc:Fallback>
        <oleObject progId="Equation.DSMT4" shapeId="1394" r:id="rId396"/>
      </mc:Fallback>
    </mc:AlternateContent>
    <mc:AlternateContent xmlns:mc="http://schemas.openxmlformats.org/markup-compatibility/2006">
      <mc:Choice Requires="x14">
        <oleObject progId="Equation.DSMT4" shapeId="1395" r:id="rId398">
          <objectPr defaultSize="0" autoPict="0" r:id="rId399">
            <anchor moveWithCells="1">
              <from>
                <xdr:col>543</xdr:col>
                <xdr:colOff>95250</xdr:colOff>
                <xdr:row>156</xdr:row>
                <xdr:rowOff>85725</xdr:rowOff>
              </from>
              <to>
                <xdr:col>548</xdr:col>
                <xdr:colOff>76200</xdr:colOff>
                <xdr:row>157</xdr:row>
                <xdr:rowOff>276225</xdr:rowOff>
              </to>
            </anchor>
          </objectPr>
        </oleObject>
      </mc:Choice>
      <mc:Fallback>
        <oleObject progId="Equation.DSMT4" shapeId="1395" r:id="rId398"/>
      </mc:Fallback>
    </mc:AlternateContent>
    <mc:AlternateContent xmlns:mc="http://schemas.openxmlformats.org/markup-compatibility/2006">
      <mc:Choice Requires="x14">
        <oleObject progId="Equation.DSMT4" shapeId="1398" r:id="rId400">
          <objectPr defaultSize="0" autoPict="0" r:id="rId401">
            <anchor moveWithCells="1">
              <from>
                <xdr:col>624</xdr:col>
                <xdr:colOff>104775</xdr:colOff>
                <xdr:row>121</xdr:row>
                <xdr:rowOff>104775</xdr:rowOff>
              </from>
              <to>
                <xdr:col>629</xdr:col>
                <xdr:colOff>76200</xdr:colOff>
                <xdr:row>122</xdr:row>
                <xdr:rowOff>304800</xdr:rowOff>
              </to>
            </anchor>
          </objectPr>
        </oleObject>
      </mc:Choice>
      <mc:Fallback>
        <oleObject progId="Equation.DSMT4" shapeId="1398" r:id="rId400"/>
      </mc:Fallback>
    </mc:AlternateContent>
    <mc:AlternateContent xmlns:mc="http://schemas.openxmlformats.org/markup-compatibility/2006">
      <mc:Choice Requires="x14">
        <oleObject progId="Equation.DSMT4" shapeId="1399" r:id="rId402">
          <objectPr defaultSize="0" autoPict="0" r:id="rId403">
            <anchor moveWithCells="1">
              <from>
                <xdr:col>624</xdr:col>
                <xdr:colOff>104775</xdr:colOff>
                <xdr:row>128</xdr:row>
                <xdr:rowOff>85725</xdr:rowOff>
              </from>
              <to>
                <xdr:col>628</xdr:col>
                <xdr:colOff>19050</xdr:colOff>
                <xdr:row>129</xdr:row>
                <xdr:rowOff>190500</xdr:rowOff>
              </to>
            </anchor>
          </objectPr>
        </oleObject>
      </mc:Choice>
      <mc:Fallback>
        <oleObject progId="Equation.DSMT4" shapeId="1399" r:id="rId402"/>
      </mc:Fallback>
    </mc:AlternateContent>
    <mc:AlternateContent xmlns:mc="http://schemas.openxmlformats.org/markup-compatibility/2006">
      <mc:Choice Requires="x14">
        <oleObject progId="Equation.DSMT4" shapeId="1400" r:id="rId404">
          <objectPr defaultSize="0" r:id="rId405">
            <anchor moveWithCells="1">
              <from>
                <xdr:col>624</xdr:col>
                <xdr:colOff>123825</xdr:colOff>
                <xdr:row>129</xdr:row>
                <xdr:rowOff>104775</xdr:rowOff>
              </from>
              <to>
                <xdr:col>626</xdr:col>
                <xdr:colOff>504825</xdr:colOff>
                <xdr:row>129</xdr:row>
                <xdr:rowOff>495300</xdr:rowOff>
              </to>
            </anchor>
          </objectPr>
        </oleObject>
      </mc:Choice>
      <mc:Fallback>
        <oleObject progId="Equation.DSMT4" shapeId="1400" r:id="rId404"/>
      </mc:Fallback>
    </mc:AlternateContent>
    <mc:AlternateContent xmlns:mc="http://schemas.openxmlformats.org/markup-compatibility/2006">
      <mc:Choice Requires="x14">
        <oleObject progId="Equation.DSMT4" shapeId="1402" r:id="rId406">
          <objectPr defaultSize="0" autoPict="0" r:id="rId407">
            <anchor moveWithCells="1">
              <from>
                <xdr:col>624</xdr:col>
                <xdr:colOff>66675</xdr:colOff>
                <xdr:row>134</xdr:row>
                <xdr:rowOff>152400</xdr:rowOff>
              </from>
              <to>
                <xdr:col>632</xdr:col>
                <xdr:colOff>428625</xdr:colOff>
                <xdr:row>136</xdr:row>
                <xdr:rowOff>38100</xdr:rowOff>
              </to>
            </anchor>
          </objectPr>
        </oleObject>
      </mc:Choice>
      <mc:Fallback>
        <oleObject progId="Equation.DSMT4" shapeId="1402" r:id="rId406"/>
      </mc:Fallback>
    </mc:AlternateContent>
    <mc:AlternateContent xmlns:mc="http://schemas.openxmlformats.org/markup-compatibility/2006">
      <mc:Choice Requires="x14">
        <oleObject progId="Equation.DSMT4" shapeId="1403" r:id="rId408">
          <objectPr defaultSize="0" r:id="rId409">
            <anchor moveWithCells="1">
              <from>
                <xdr:col>624</xdr:col>
                <xdr:colOff>104775</xdr:colOff>
                <xdr:row>135</xdr:row>
                <xdr:rowOff>123825</xdr:rowOff>
              </from>
              <to>
                <xdr:col>627</xdr:col>
                <xdr:colOff>371475</xdr:colOff>
                <xdr:row>135</xdr:row>
                <xdr:rowOff>476250</xdr:rowOff>
              </to>
            </anchor>
          </objectPr>
        </oleObject>
      </mc:Choice>
      <mc:Fallback>
        <oleObject progId="Equation.DSMT4" shapeId="1403" r:id="rId408"/>
      </mc:Fallback>
    </mc:AlternateContent>
    <mc:AlternateContent xmlns:mc="http://schemas.openxmlformats.org/markup-compatibility/2006">
      <mc:Choice Requires="x14">
        <oleObject progId="Equation.DSMT4" shapeId="1404" r:id="rId410">
          <objectPr defaultSize="0" autoPict="0" r:id="rId411">
            <anchor moveWithCells="1">
              <from>
                <xdr:col>624</xdr:col>
                <xdr:colOff>104775</xdr:colOff>
                <xdr:row>145</xdr:row>
                <xdr:rowOff>66675</xdr:rowOff>
              </from>
              <to>
                <xdr:col>631</xdr:col>
                <xdr:colOff>171450</xdr:colOff>
                <xdr:row>146</xdr:row>
                <xdr:rowOff>304800</xdr:rowOff>
              </to>
            </anchor>
          </objectPr>
        </oleObject>
      </mc:Choice>
      <mc:Fallback>
        <oleObject progId="Equation.DSMT4" shapeId="1404" r:id="rId410"/>
      </mc:Fallback>
    </mc:AlternateContent>
    <mc:AlternateContent xmlns:mc="http://schemas.openxmlformats.org/markup-compatibility/2006">
      <mc:Choice Requires="x14">
        <oleObject progId="Equation.DSMT4" shapeId="1407" r:id="rId412">
          <objectPr defaultSize="0" autoPict="0" r:id="rId413">
            <anchor moveWithCells="1">
              <from>
                <xdr:col>624</xdr:col>
                <xdr:colOff>104775</xdr:colOff>
                <xdr:row>146</xdr:row>
                <xdr:rowOff>142875</xdr:rowOff>
              </from>
              <to>
                <xdr:col>628</xdr:col>
                <xdr:colOff>295275</xdr:colOff>
                <xdr:row>147</xdr:row>
                <xdr:rowOff>495300</xdr:rowOff>
              </to>
            </anchor>
          </objectPr>
        </oleObject>
      </mc:Choice>
      <mc:Fallback>
        <oleObject progId="Equation.DSMT4" shapeId="1407" r:id="rId412"/>
      </mc:Fallback>
    </mc:AlternateContent>
    <mc:AlternateContent xmlns:mc="http://schemas.openxmlformats.org/markup-compatibility/2006">
      <mc:Choice Requires="x14">
        <oleObject progId="Equation.DSMT4" shapeId="1408" r:id="rId414">
          <objectPr defaultSize="0" autoPict="0" r:id="rId415">
            <anchor moveWithCells="1">
              <from>
                <xdr:col>624</xdr:col>
                <xdr:colOff>85725</xdr:colOff>
                <xdr:row>147</xdr:row>
                <xdr:rowOff>104775</xdr:rowOff>
              </from>
              <to>
                <xdr:col>630</xdr:col>
                <xdr:colOff>9525</xdr:colOff>
                <xdr:row>148</xdr:row>
                <xdr:rowOff>447675</xdr:rowOff>
              </to>
            </anchor>
          </objectPr>
        </oleObject>
      </mc:Choice>
      <mc:Fallback>
        <oleObject progId="Equation.DSMT4" shapeId="1408" r:id="rId414"/>
      </mc:Fallback>
    </mc:AlternateContent>
    <mc:AlternateContent xmlns:mc="http://schemas.openxmlformats.org/markup-compatibility/2006">
      <mc:Choice Requires="x14">
        <oleObject progId="Equation.DSMT4" shapeId="1409" r:id="rId416">
          <objectPr defaultSize="0" autoPict="0" r:id="rId417">
            <anchor moveWithCells="1">
              <from>
                <xdr:col>624</xdr:col>
                <xdr:colOff>104775</xdr:colOff>
                <xdr:row>160</xdr:row>
                <xdr:rowOff>85725</xdr:rowOff>
              </from>
              <to>
                <xdr:col>635</xdr:col>
                <xdr:colOff>504825</xdr:colOff>
                <xdr:row>161</xdr:row>
                <xdr:rowOff>447675</xdr:rowOff>
              </to>
            </anchor>
          </objectPr>
        </oleObject>
      </mc:Choice>
      <mc:Fallback>
        <oleObject progId="Equation.DSMT4" shapeId="1409" r:id="rId416"/>
      </mc:Fallback>
    </mc:AlternateContent>
    <mc:AlternateContent xmlns:mc="http://schemas.openxmlformats.org/markup-compatibility/2006">
      <mc:Choice Requires="x14">
        <oleObject progId="Equation.DSMT4" shapeId="1410" r:id="rId418">
          <objectPr defaultSize="0" autoPict="0" r:id="rId419">
            <anchor moveWithCells="1">
              <from>
                <xdr:col>624</xdr:col>
                <xdr:colOff>85725</xdr:colOff>
                <xdr:row>161</xdr:row>
                <xdr:rowOff>66675</xdr:rowOff>
              </from>
              <to>
                <xdr:col>627</xdr:col>
                <xdr:colOff>238125</xdr:colOff>
                <xdr:row>162</xdr:row>
                <xdr:rowOff>514350</xdr:rowOff>
              </to>
            </anchor>
          </objectPr>
        </oleObject>
      </mc:Choice>
      <mc:Fallback>
        <oleObject progId="Equation.DSMT4" shapeId="1410" r:id="rId418"/>
      </mc:Fallback>
    </mc:AlternateContent>
    <mc:AlternateContent xmlns:mc="http://schemas.openxmlformats.org/markup-compatibility/2006">
      <mc:Choice Requires="x14">
        <oleObject progId="Equation.DSMT4" shapeId="1411" r:id="rId420">
          <objectPr defaultSize="0" autoPict="0" r:id="rId421">
            <anchor moveWithCells="1">
              <from>
                <xdr:col>624</xdr:col>
                <xdr:colOff>142875</xdr:colOff>
                <xdr:row>163</xdr:row>
                <xdr:rowOff>123825</xdr:rowOff>
              </from>
              <to>
                <xdr:col>634</xdr:col>
                <xdr:colOff>0</xdr:colOff>
                <xdr:row>164</xdr:row>
                <xdr:rowOff>152400</xdr:rowOff>
              </to>
            </anchor>
          </objectPr>
        </oleObject>
      </mc:Choice>
      <mc:Fallback>
        <oleObject progId="Equation.DSMT4" shapeId="1411" r:id="rId420"/>
      </mc:Fallback>
    </mc:AlternateContent>
    <mc:AlternateContent xmlns:mc="http://schemas.openxmlformats.org/markup-compatibility/2006">
      <mc:Choice Requires="x14">
        <oleObject progId="Equation.DSMT4" shapeId="1412" r:id="rId422">
          <objectPr defaultSize="0" autoPict="0" r:id="rId423">
            <anchor moveWithCells="1">
              <from>
                <xdr:col>624</xdr:col>
                <xdr:colOff>152400</xdr:colOff>
                <xdr:row>164</xdr:row>
                <xdr:rowOff>104775</xdr:rowOff>
              </from>
              <to>
                <xdr:col>635</xdr:col>
                <xdr:colOff>47625</xdr:colOff>
                <xdr:row>165</xdr:row>
                <xdr:rowOff>85725</xdr:rowOff>
              </to>
            </anchor>
          </objectPr>
        </oleObject>
      </mc:Choice>
      <mc:Fallback>
        <oleObject progId="Equation.DSMT4" shapeId="1412" r:id="rId422"/>
      </mc:Fallback>
    </mc:AlternateContent>
    <mc:AlternateContent xmlns:mc="http://schemas.openxmlformats.org/markup-compatibility/2006">
      <mc:Choice Requires="x14">
        <oleObject progId="Equation.DSMT4" shapeId="1413" r:id="rId424">
          <objectPr defaultSize="0" autoPict="0" r:id="rId425">
            <anchor moveWithCells="1">
              <from>
                <xdr:col>624</xdr:col>
                <xdr:colOff>152400</xdr:colOff>
                <xdr:row>165</xdr:row>
                <xdr:rowOff>123825</xdr:rowOff>
              </from>
              <to>
                <xdr:col>632</xdr:col>
                <xdr:colOff>133350</xdr:colOff>
                <xdr:row>166</xdr:row>
                <xdr:rowOff>171450</xdr:rowOff>
              </to>
            </anchor>
          </objectPr>
        </oleObject>
      </mc:Choice>
      <mc:Fallback>
        <oleObject progId="Equation.DSMT4" shapeId="1413" r:id="rId424"/>
      </mc:Fallback>
    </mc:AlternateContent>
    <mc:AlternateContent xmlns:mc="http://schemas.openxmlformats.org/markup-compatibility/2006">
      <mc:Choice Requires="x14">
        <oleObject progId="Equation.DSMT4" shapeId="1414" r:id="rId426">
          <objectPr defaultSize="0" autoPict="0" r:id="rId427">
            <anchor moveWithCells="1">
              <from>
                <xdr:col>624</xdr:col>
                <xdr:colOff>123825</xdr:colOff>
                <xdr:row>167</xdr:row>
                <xdr:rowOff>104775</xdr:rowOff>
              </from>
              <to>
                <xdr:col>630</xdr:col>
                <xdr:colOff>323850</xdr:colOff>
                <xdr:row>168</xdr:row>
                <xdr:rowOff>133350</xdr:rowOff>
              </to>
            </anchor>
          </objectPr>
        </oleObject>
      </mc:Choice>
      <mc:Fallback>
        <oleObject progId="Equation.DSMT4" shapeId="1414" r:id="rId426"/>
      </mc:Fallback>
    </mc:AlternateContent>
    <mc:AlternateContent xmlns:mc="http://schemas.openxmlformats.org/markup-compatibility/2006">
      <mc:Choice Requires="x14">
        <oleObject progId="Equation.DSMT4" shapeId="1415" r:id="rId428">
          <objectPr defaultSize="0" autoPict="0" r:id="rId429">
            <anchor moveWithCells="1">
              <from>
                <xdr:col>624</xdr:col>
                <xdr:colOff>104775</xdr:colOff>
                <xdr:row>168</xdr:row>
                <xdr:rowOff>104775</xdr:rowOff>
              </from>
              <to>
                <xdr:col>632</xdr:col>
                <xdr:colOff>476250</xdr:colOff>
                <xdr:row>169</xdr:row>
                <xdr:rowOff>133350</xdr:rowOff>
              </to>
            </anchor>
          </objectPr>
        </oleObject>
      </mc:Choice>
      <mc:Fallback>
        <oleObject progId="Equation.DSMT4" shapeId="1415" r:id="rId428"/>
      </mc:Fallback>
    </mc:AlternateContent>
    <mc:AlternateContent xmlns:mc="http://schemas.openxmlformats.org/markup-compatibility/2006">
      <mc:Choice Requires="x14">
        <oleObject progId="Equation.DSMT4" shapeId="1416" r:id="rId430">
          <objectPr defaultSize="0" r:id="rId431">
            <anchor moveWithCells="1">
              <from>
                <xdr:col>624</xdr:col>
                <xdr:colOff>104775</xdr:colOff>
                <xdr:row>171</xdr:row>
                <xdr:rowOff>85725</xdr:rowOff>
              </from>
              <to>
                <xdr:col>627</xdr:col>
                <xdr:colOff>104775</xdr:colOff>
                <xdr:row>171</xdr:row>
                <xdr:rowOff>476250</xdr:rowOff>
              </to>
            </anchor>
          </objectPr>
        </oleObject>
      </mc:Choice>
      <mc:Fallback>
        <oleObject progId="Equation.DSMT4" shapeId="1416" r:id="rId430"/>
      </mc:Fallback>
    </mc:AlternateContent>
    <mc:AlternateContent xmlns:mc="http://schemas.openxmlformats.org/markup-compatibility/2006">
      <mc:Choice Requires="x14">
        <oleObject progId="Equation.DSMT4" shapeId="1417" r:id="rId432">
          <objectPr defaultSize="0" autoPict="0" r:id="rId433">
            <anchor moveWithCells="1">
              <from>
                <xdr:col>624</xdr:col>
                <xdr:colOff>104775</xdr:colOff>
                <xdr:row>173</xdr:row>
                <xdr:rowOff>85725</xdr:rowOff>
              </from>
              <to>
                <xdr:col>626</xdr:col>
                <xdr:colOff>447675</xdr:colOff>
                <xdr:row>174</xdr:row>
                <xdr:rowOff>285750</xdr:rowOff>
              </to>
            </anchor>
          </objectPr>
        </oleObject>
      </mc:Choice>
      <mc:Fallback>
        <oleObject progId="Equation.DSMT4" shapeId="1417" r:id="rId432"/>
      </mc:Fallback>
    </mc:AlternateContent>
    <mc:AlternateContent xmlns:mc="http://schemas.openxmlformats.org/markup-compatibility/2006">
      <mc:Choice Requires="x14">
        <oleObject progId="Equation.DSMT4" shapeId="1418" r:id="rId434">
          <objectPr defaultSize="0" autoPict="0" r:id="rId435">
            <anchor moveWithCells="1">
              <from>
                <xdr:col>624</xdr:col>
                <xdr:colOff>104775</xdr:colOff>
                <xdr:row>174</xdr:row>
                <xdr:rowOff>104775</xdr:rowOff>
              </from>
              <to>
                <xdr:col>626</xdr:col>
                <xdr:colOff>485775</xdr:colOff>
                <xdr:row>175</xdr:row>
                <xdr:rowOff>304800</xdr:rowOff>
              </to>
            </anchor>
          </objectPr>
        </oleObject>
      </mc:Choice>
      <mc:Fallback>
        <oleObject progId="Equation.DSMT4" shapeId="1418" r:id="rId434"/>
      </mc:Fallback>
    </mc:AlternateContent>
    <mc:AlternateContent xmlns:mc="http://schemas.openxmlformats.org/markup-compatibility/2006">
      <mc:Choice Requires="x14">
        <oleObject progId="Equation.DSMT4" shapeId="1419" r:id="rId436">
          <objectPr defaultSize="0" autoPict="0" r:id="rId437">
            <anchor moveWithCells="1">
              <from>
                <xdr:col>624</xdr:col>
                <xdr:colOff>104775</xdr:colOff>
                <xdr:row>180</xdr:row>
                <xdr:rowOff>123825</xdr:rowOff>
              </from>
              <to>
                <xdr:col>629</xdr:col>
                <xdr:colOff>361950</xdr:colOff>
                <xdr:row>181</xdr:row>
                <xdr:rowOff>228600</xdr:rowOff>
              </to>
            </anchor>
          </objectPr>
        </oleObject>
      </mc:Choice>
      <mc:Fallback>
        <oleObject progId="Equation.DSMT4" shapeId="1419" r:id="rId436"/>
      </mc:Fallback>
    </mc:AlternateContent>
    <mc:AlternateContent xmlns:mc="http://schemas.openxmlformats.org/markup-compatibility/2006">
      <mc:Choice Requires="x14">
        <oleObject progId="Equation.DSMT4" shapeId="1420" r:id="rId438">
          <objectPr defaultSize="0" autoPict="0" r:id="rId439">
            <anchor moveWithCells="1">
              <from>
                <xdr:col>624</xdr:col>
                <xdr:colOff>66675</xdr:colOff>
                <xdr:row>181</xdr:row>
                <xdr:rowOff>85725</xdr:rowOff>
              </from>
              <to>
                <xdr:col>627</xdr:col>
                <xdr:colOff>66675</xdr:colOff>
                <xdr:row>182</xdr:row>
                <xdr:rowOff>190500</xdr:rowOff>
              </to>
            </anchor>
          </objectPr>
        </oleObject>
      </mc:Choice>
      <mc:Fallback>
        <oleObject progId="Equation.DSMT4" shapeId="1420" r:id="rId438"/>
      </mc:Fallback>
    </mc:AlternateContent>
    <mc:AlternateContent xmlns:mc="http://schemas.openxmlformats.org/markup-compatibility/2006">
      <mc:Choice Requires="x14">
        <oleObject progId="Equation.DSMT4" shapeId="1421" r:id="rId440">
          <objectPr defaultSize="0" autoPict="0" r:id="rId441">
            <anchor moveWithCells="1">
              <from>
                <xdr:col>624</xdr:col>
                <xdr:colOff>123825</xdr:colOff>
                <xdr:row>183</xdr:row>
                <xdr:rowOff>85725</xdr:rowOff>
              </from>
              <to>
                <xdr:col>625</xdr:col>
                <xdr:colOff>523875</xdr:colOff>
                <xdr:row>184</xdr:row>
                <xdr:rowOff>295275</xdr:rowOff>
              </to>
            </anchor>
          </objectPr>
        </oleObject>
      </mc:Choice>
      <mc:Fallback>
        <oleObject progId="Equation.DSMT4" shapeId="1421" r:id="rId440"/>
      </mc:Fallback>
    </mc:AlternateContent>
    <mc:AlternateContent xmlns:mc="http://schemas.openxmlformats.org/markup-compatibility/2006">
      <mc:Choice Requires="x14">
        <oleObject progId="Equation.DSMT4" shapeId="1423" r:id="rId442">
          <objectPr defaultSize="0" autoPict="0" r:id="rId443">
            <anchor moveWithCells="1">
              <from>
                <xdr:col>624</xdr:col>
                <xdr:colOff>104775</xdr:colOff>
                <xdr:row>190</xdr:row>
                <xdr:rowOff>142875</xdr:rowOff>
              </from>
              <to>
                <xdr:col>628</xdr:col>
                <xdr:colOff>333375</xdr:colOff>
                <xdr:row>191</xdr:row>
                <xdr:rowOff>133350</xdr:rowOff>
              </to>
            </anchor>
          </objectPr>
        </oleObject>
      </mc:Choice>
      <mc:Fallback>
        <oleObject progId="Equation.DSMT4" shapeId="1423" r:id="rId442"/>
      </mc:Fallback>
    </mc:AlternateContent>
    <mc:AlternateContent xmlns:mc="http://schemas.openxmlformats.org/markup-compatibility/2006">
      <mc:Choice Requires="x14">
        <oleObject progId="Equation.DSMT4" shapeId="1426" r:id="rId444">
          <objectPr defaultSize="0" autoPict="0" r:id="rId445">
            <anchor moveWithCells="1">
              <from>
                <xdr:col>624</xdr:col>
                <xdr:colOff>142875</xdr:colOff>
                <xdr:row>193</xdr:row>
                <xdr:rowOff>142875</xdr:rowOff>
              </from>
              <to>
                <xdr:col>626</xdr:col>
                <xdr:colOff>152400</xdr:colOff>
                <xdr:row>194</xdr:row>
                <xdr:rowOff>161925</xdr:rowOff>
              </to>
            </anchor>
          </objectPr>
        </oleObject>
      </mc:Choice>
      <mc:Fallback>
        <oleObject progId="Equation.DSMT4" shapeId="1426" r:id="rId444"/>
      </mc:Fallback>
    </mc:AlternateContent>
    <mc:AlternateContent xmlns:mc="http://schemas.openxmlformats.org/markup-compatibility/2006">
      <mc:Choice Requires="x14">
        <oleObject progId="Equation.DSMT4" shapeId="1498" r:id="rId446">
          <objectPr defaultSize="0" autoPict="0" r:id="rId447">
            <anchor moveWithCells="1">
              <from>
                <xdr:col>375</xdr:col>
                <xdr:colOff>485775</xdr:colOff>
                <xdr:row>107</xdr:row>
                <xdr:rowOff>76200</xdr:rowOff>
              </from>
              <to>
                <xdr:col>381</xdr:col>
                <xdr:colOff>28575</xdr:colOff>
                <xdr:row>109</xdr:row>
                <xdr:rowOff>76200</xdr:rowOff>
              </to>
            </anchor>
          </objectPr>
        </oleObject>
      </mc:Choice>
      <mc:Fallback>
        <oleObject progId="Equation.DSMT4" shapeId="1498" r:id="rId446"/>
      </mc:Fallback>
    </mc:AlternateContent>
    <mc:AlternateContent xmlns:mc="http://schemas.openxmlformats.org/markup-compatibility/2006">
      <mc:Choice Requires="x14">
        <oleObject progId="Equation.DSMT4" shapeId="1499" r:id="rId448">
          <objectPr defaultSize="0" autoPict="0" r:id="rId449">
            <anchor moveWithCells="1">
              <from>
                <xdr:col>374</xdr:col>
                <xdr:colOff>161925</xdr:colOff>
                <xdr:row>105</xdr:row>
                <xdr:rowOff>0</xdr:rowOff>
              </from>
              <to>
                <xdr:col>383</xdr:col>
                <xdr:colOff>266700</xdr:colOff>
                <xdr:row>106</xdr:row>
                <xdr:rowOff>0</xdr:rowOff>
              </to>
            </anchor>
          </objectPr>
        </oleObject>
      </mc:Choice>
      <mc:Fallback>
        <oleObject progId="Equation.DSMT4" shapeId="1499" r:id="rId448"/>
      </mc:Fallback>
    </mc:AlternateContent>
    <mc:AlternateContent xmlns:mc="http://schemas.openxmlformats.org/markup-compatibility/2006">
      <mc:Choice Requires="x14">
        <oleObject progId="Equation.DSMT4" shapeId="1502" r:id="rId450">
          <objectPr defaultSize="0" autoPict="0" r:id="rId451">
            <anchor moveWithCells="1">
              <from>
                <xdr:col>374</xdr:col>
                <xdr:colOff>504825</xdr:colOff>
                <xdr:row>122</xdr:row>
                <xdr:rowOff>219075</xdr:rowOff>
              </from>
              <to>
                <xdr:col>380</xdr:col>
                <xdr:colOff>238125</xdr:colOff>
                <xdr:row>124</xdr:row>
                <xdr:rowOff>314325</xdr:rowOff>
              </to>
            </anchor>
          </objectPr>
        </oleObject>
      </mc:Choice>
      <mc:Fallback>
        <oleObject progId="Equation.DSMT4" shapeId="1502" r:id="rId450"/>
      </mc:Fallback>
    </mc:AlternateContent>
    <mc:AlternateContent xmlns:mc="http://schemas.openxmlformats.org/markup-compatibility/2006">
      <mc:Choice Requires="x14">
        <oleObject progId="Equation.DSMT4" shapeId="1504" r:id="rId452">
          <objectPr defaultSize="0" autoPict="0" r:id="rId453">
            <anchor moveWithCells="1">
              <from>
                <xdr:col>471</xdr:col>
                <xdr:colOff>314325</xdr:colOff>
                <xdr:row>76</xdr:row>
                <xdr:rowOff>219075</xdr:rowOff>
              </from>
              <to>
                <xdr:col>474</xdr:col>
                <xdr:colOff>9525</xdr:colOff>
                <xdr:row>77</xdr:row>
                <xdr:rowOff>409575</xdr:rowOff>
              </to>
            </anchor>
          </objectPr>
        </oleObject>
      </mc:Choice>
      <mc:Fallback>
        <oleObject progId="Equation.DSMT4" shapeId="1504" r:id="rId452"/>
      </mc:Fallback>
    </mc:AlternateContent>
    <mc:AlternateContent xmlns:mc="http://schemas.openxmlformats.org/markup-compatibility/2006">
      <mc:Choice Requires="x14">
        <oleObject progId="Equation.DSMT4" shapeId="1505" r:id="rId454">
          <objectPr defaultSize="0" autoPict="0" r:id="rId455">
            <anchor moveWithCells="1">
              <from>
                <xdr:col>471</xdr:col>
                <xdr:colOff>238125</xdr:colOff>
                <xdr:row>77</xdr:row>
                <xdr:rowOff>171450</xdr:rowOff>
              </from>
              <to>
                <xdr:col>474</xdr:col>
                <xdr:colOff>104775</xdr:colOff>
                <xdr:row>78</xdr:row>
                <xdr:rowOff>285750</xdr:rowOff>
              </to>
            </anchor>
          </objectPr>
        </oleObject>
      </mc:Choice>
      <mc:Fallback>
        <oleObject progId="Equation.DSMT4" shapeId="1505" r:id="rId454"/>
      </mc:Fallback>
    </mc:AlternateContent>
    <mc:AlternateContent xmlns:mc="http://schemas.openxmlformats.org/markup-compatibility/2006">
      <mc:Choice Requires="x14">
        <oleObject progId="Equation.DSMT4" shapeId="1507" r:id="rId456">
          <objectPr defaultSize="0" autoPict="0" r:id="rId457">
            <anchor moveWithCells="1">
              <from>
                <xdr:col>471</xdr:col>
                <xdr:colOff>219075</xdr:colOff>
                <xdr:row>78</xdr:row>
                <xdr:rowOff>142875</xdr:rowOff>
              </from>
              <to>
                <xdr:col>473</xdr:col>
                <xdr:colOff>342900</xdr:colOff>
                <xdr:row>79</xdr:row>
                <xdr:rowOff>266700</xdr:rowOff>
              </to>
            </anchor>
          </objectPr>
        </oleObject>
      </mc:Choice>
      <mc:Fallback>
        <oleObject progId="Equation.DSMT4" shapeId="1507" r:id="rId456"/>
      </mc:Fallback>
    </mc:AlternateContent>
    <mc:AlternateContent xmlns:mc="http://schemas.openxmlformats.org/markup-compatibility/2006">
      <mc:Choice Requires="x14">
        <oleObject progId="Equation.DSMT4" shapeId="1508" r:id="rId458">
          <objectPr defaultSize="0" autoPict="0" r:id="rId459">
            <anchor moveWithCells="1">
              <from>
                <xdr:col>471</xdr:col>
                <xdr:colOff>314325</xdr:colOff>
                <xdr:row>79</xdr:row>
                <xdr:rowOff>238125</xdr:rowOff>
              </from>
              <to>
                <xdr:col>477</xdr:col>
                <xdr:colOff>523875</xdr:colOff>
                <xdr:row>80</xdr:row>
                <xdr:rowOff>409575</xdr:rowOff>
              </to>
            </anchor>
          </objectPr>
        </oleObject>
      </mc:Choice>
      <mc:Fallback>
        <oleObject progId="Equation.DSMT4" shapeId="1508" r:id="rId458"/>
      </mc:Fallback>
    </mc:AlternateContent>
    <mc:AlternateContent xmlns:mc="http://schemas.openxmlformats.org/markup-compatibility/2006">
      <mc:Choice Requires="x14">
        <oleObject progId="Equation.DSMT4" shapeId="1509" r:id="rId460">
          <objectPr defaultSize="0" autoPict="0" r:id="rId461">
            <anchor moveWithCells="1">
              <from>
                <xdr:col>543</xdr:col>
                <xdr:colOff>123825</xdr:colOff>
                <xdr:row>104</xdr:row>
                <xdr:rowOff>85725</xdr:rowOff>
              </from>
              <to>
                <xdr:col>551</xdr:col>
                <xdr:colOff>238125</xdr:colOff>
                <xdr:row>105</xdr:row>
                <xdr:rowOff>304800</xdr:rowOff>
              </to>
            </anchor>
          </objectPr>
        </oleObject>
      </mc:Choice>
      <mc:Fallback>
        <oleObject progId="Equation.DSMT4" shapeId="1509" r:id="rId460"/>
      </mc:Fallback>
    </mc:AlternateContent>
    <mc:AlternateContent xmlns:mc="http://schemas.openxmlformats.org/markup-compatibility/2006">
      <mc:Choice Requires="x14">
        <oleObject progId="Equation.DSMT4" shapeId="1510" r:id="rId462">
          <objectPr defaultSize="0" autoPict="0" r:id="rId463">
            <anchor moveWithCells="1">
              <from>
                <xdr:col>543</xdr:col>
                <xdr:colOff>123825</xdr:colOff>
                <xdr:row>105</xdr:row>
                <xdr:rowOff>123825</xdr:rowOff>
              </from>
              <to>
                <xdr:col>551</xdr:col>
                <xdr:colOff>285750</xdr:colOff>
                <xdr:row>106</xdr:row>
                <xdr:rowOff>314325</xdr:rowOff>
              </to>
            </anchor>
          </objectPr>
        </oleObject>
      </mc:Choice>
      <mc:Fallback>
        <oleObject progId="Equation.DSMT4" shapeId="1510" r:id="rId462"/>
      </mc:Fallback>
    </mc:AlternateContent>
    <mc:AlternateContent xmlns:mc="http://schemas.openxmlformats.org/markup-compatibility/2006">
      <mc:Choice Requires="x14">
        <oleObject progId="Equation.DSMT4" shapeId="1511" r:id="rId464">
          <objectPr defaultSize="0" autoPict="0" r:id="rId465">
            <anchor moveWithCells="1">
              <from>
                <xdr:col>543</xdr:col>
                <xdr:colOff>95250</xdr:colOff>
                <xdr:row>115</xdr:row>
                <xdr:rowOff>142875</xdr:rowOff>
              </from>
              <to>
                <xdr:col>551</xdr:col>
                <xdr:colOff>85725</xdr:colOff>
                <xdr:row>117</xdr:row>
                <xdr:rowOff>57150</xdr:rowOff>
              </to>
            </anchor>
          </objectPr>
        </oleObject>
      </mc:Choice>
      <mc:Fallback>
        <oleObject progId="Equation.DSMT4" shapeId="1511" r:id="rId464"/>
      </mc:Fallback>
    </mc:AlternateContent>
    <mc:AlternateContent xmlns:mc="http://schemas.openxmlformats.org/markup-compatibility/2006">
      <mc:Choice Requires="x14">
        <oleObject progId="Equation.DSMT4" shapeId="1512" r:id="rId466">
          <objectPr defaultSize="0" autoPict="0" r:id="rId467">
            <anchor moveWithCells="1">
              <from>
                <xdr:col>543</xdr:col>
                <xdr:colOff>142875</xdr:colOff>
                <xdr:row>116</xdr:row>
                <xdr:rowOff>142875</xdr:rowOff>
              </from>
              <to>
                <xdr:col>546</xdr:col>
                <xdr:colOff>466725</xdr:colOff>
                <xdr:row>118</xdr:row>
                <xdr:rowOff>19050</xdr:rowOff>
              </to>
            </anchor>
          </objectPr>
        </oleObject>
      </mc:Choice>
      <mc:Fallback>
        <oleObject progId="Equation.DSMT4" shapeId="1512" r:id="rId466"/>
      </mc:Fallback>
    </mc:AlternateContent>
    <mc:AlternateContent xmlns:mc="http://schemas.openxmlformats.org/markup-compatibility/2006">
      <mc:Choice Requires="x14">
        <oleObject progId="Equation.DSMT4" shapeId="1513" r:id="rId468">
          <objectPr defaultSize="0" autoPict="0" r:id="rId469">
            <anchor moveWithCells="1">
              <from>
                <xdr:col>543</xdr:col>
                <xdr:colOff>95250</xdr:colOff>
                <xdr:row>114</xdr:row>
                <xdr:rowOff>123825</xdr:rowOff>
              </from>
              <to>
                <xdr:col>550</xdr:col>
                <xdr:colOff>9525</xdr:colOff>
                <xdr:row>116</xdr:row>
                <xdr:rowOff>19050</xdr:rowOff>
              </to>
            </anchor>
          </objectPr>
        </oleObject>
      </mc:Choice>
      <mc:Fallback>
        <oleObject progId="Equation.DSMT4" shapeId="1513" r:id="rId468"/>
      </mc:Fallback>
    </mc:AlternateContent>
    <mc:AlternateContent xmlns:mc="http://schemas.openxmlformats.org/markup-compatibility/2006">
      <mc:Choice Requires="x14">
        <oleObject progId="Equation.DSMT4" shapeId="1515" r:id="rId470">
          <objectPr defaultSize="0" autoPict="0" r:id="rId471">
            <anchor moveWithCells="1">
              <from>
                <xdr:col>543</xdr:col>
                <xdr:colOff>190500</xdr:colOff>
                <xdr:row>103</xdr:row>
                <xdr:rowOff>123825</xdr:rowOff>
              </from>
              <to>
                <xdr:col>544</xdr:col>
                <xdr:colOff>333375</xdr:colOff>
                <xdr:row>104</xdr:row>
                <xdr:rowOff>285750</xdr:rowOff>
              </to>
            </anchor>
          </objectPr>
        </oleObject>
      </mc:Choice>
      <mc:Fallback>
        <oleObject progId="Equation.DSMT4" shapeId="1515" r:id="rId470"/>
      </mc:Fallback>
    </mc:AlternateContent>
    <mc:AlternateContent xmlns:mc="http://schemas.openxmlformats.org/markup-compatibility/2006">
      <mc:Choice Requires="x14">
        <oleObject progId="Equation.DSMT4" shapeId="1542" r:id="rId472">
          <objectPr defaultSize="0" r:id="rId473">
            <anchor moveWithCells="1">
              <from>
                <xdr:col>547</xdr:col>
                <xdr:colOff>123825</xdr:colOff>
                <xdr:row>111</xdr:row>
                <xdr:rowOff>66675</xdr:rowOff>
              </from>
              <to>
                <xdr:col>547</xdr:col>
                <xdr:colOff>438150</xdr:colOff>
                <xdr:row>112</xdr:row>
                <xdr:rowOff>104775</xdr:rowOff>
              </to>
            </anchor>
          </objectPr>
        </oleObject>
      </mc:Choice>
      <mc:Fallback>
        <oleObject progId="Equation.DSMT4" shapeId="1542" r:id="rId472"/>
      </mc:Fallback>
    </mc:AlternateContent>
    <mc:AlternateContent xmlns:mc="http://schemas.openxmlformats.org/markup-compatibility/2006">
      <mc:Choice Requires="x14">
        <oleObject progId="Equation.DSMT4" shapeId="1543" r:id="rId474">
          <objectPr defaultSize="0" autoPict="0" r:id="rId475">
            <anchor moveWithCells="1">
              <from>
                <xdr:col>350</xdr:col>
                <xdr:colOff>152400</xdr:colOff>
                <xdr:row>53</xdr:row>
                <xdr:rowOff>38100</xdr:rowOff>
              </from>
              <to>
                <xdr:col>351</xdr:col>
                <xdr:colOff>57150</xdr:colOff>
                <xdr:row>54</xdr:row>
                <xdr:rowOff>200025</xdr:rowOff>
              </to>
            </anchor>
          </objectPr>
        </oleObject>
      </mc:Choice>
      <mc:Fallback>
        <oleObject progId="Equation.DSMT4" shapeId="1543" r:id="rId474"/>
      </mc:Fallback>
    </mc:AlternateContent>
    <mc:AlternateContent xmlns:mc="http://schemas.openxmlformats.org/markup-compatibility/2006">
      <mc:Choice Requires="x14">
        <oleObject progId="Equation.DSMT4" shapeId="1545" r:id="rId476">
          <objectPr defaultSize="0" autoPict="0" r:id="rId477">
            <anchor moveWithCells="1">
              <from>
                <xdr:col>164</xdr:col>
                <xdr:colOff>190500</xdr:colOff>
                <xdr:row>23</xdr:row>
                <xdr:rowOff>314325</xdr:rowOff>
              </from>
              <to>
                <xdr:col>168</xdr:col>
                <xdr:colOff>66675</xdr:colOff>
                <xdr:row>24</xdr:row>
                <xdr:rowOff>390525</xdr:rowOff>
              </to>
            </anchor>
          </objectPr>
        </oleObject>
      </mc:Choice>
      <mc:Fallback>
        <oleObject progId="Equation.DSMT4" shapeId="1545" r:id="rId476"/>
      </mc:Fallback>
    </mc:AlternateContent>
    <mc:AlternateContent xmlns:mc="http://schemas.openxmlformats.org/markup-compatibility/2006">
      <mc:Choice Requires="x14">
        <oleObject progId="Equation.DSMT4" shapeId="1551" r:id="rId478">
          <objectPr defaultSize="0" autoPict="0" r:id="rId479">
            <anchor moveWithCells="1">
              <from>
                <xdr:col>543</xdr:col>
                <xdr:colOff>142875</xdr:colOff>
                <xdr:row>121</xdr:row>
                <xdr:rowOff>123825</xdr:rowOff>
              </from>
              <to>
                <xdr:col>550</xdr:col>
                <xdr:colOff>85725</xdr:colOff>
                <xdr:row>122</xdr:row>
                <xdr:rowOff>142875</xdr:rowOff>
              </to>
            </anchor>
          </objectPr>
        </oleObject>
      </mc:Choice>
      <mc:Fallback>
        <oleObject progId="Equation.DSMT4" shapeId="1551" r:id="rId478"/>
      </mc:Fallback>
    </mc:AlternateContent>
    <mc:AlternateContent xmlns:mc="http://schemas.openxmlformats.org/markup-compatibility/2006">
      <mc:Choice Requires="x14">
        <oleObject progId="Equation.DSMT4" shapeId="1552" r:id="rId480">
          <objectPr defaultSize="0" autoPict="0" r:id="rId481">
            <anchor moveWithCells="1">
              <from>
                <xdr:col>545</xdr:col>
                <xdr:colOff>0</xdr:colOff>
                <xdr:row>126</xdr:row>
                <xdr:rowOff>333375</xdr:rowOff>
              </from>
              <to>
                <xdr:col>552</xdr:col>
                <xdr:colOff>304800</xdr:colOff>
                <xdr:row>127</xdr:row>
                <xdr:rowOff>161925</xdr:rowOff>
              </to>
            </anchor>
          </objectPr>
        </oleObject>
      </mc:Choice>
      <mc:Fallback>
        <oleObject progId="Equation.DSMT4" shapeId="1552" r:id="rId480"/>
      </mc:Fallback>
    </mc:AlternateContent>
    <mc:AlternateContent xmlns:mc="http://schemas.openxmlformats.org/markup-compatibility/2006">
      <mc:Choice Requires="x14">
        <oleObject progId="Equation.DSMT4" shapeId="1553" r:id="rId482">
          <objectPr defaultSize="0" autoPict="0" r:id="rId483">
            <anchor moveWithCells="1">
              <from>
                <xdr:col>543</xdr:col>
                <xdr:colOff>104775</xdr:colOff>
                <xdr:row>138</xdr:row>
                <xdr:rowOff>104775</xdr:rowOff>
              </from>
              <to>
                <xdr:col>549</xdr:col>
                <xdr:colOff>390525</xdr:colOff>
                <xdr:row>139</xdr:row>
                <xdr:rowOff>114300</xdr:rowOff>
              </to>
            </anchor>
          </objectPr>
        </oleObject>
      </mc:Choice>
      <mc:Fallback>
        <oleObject progId="Equation.DSMT4" shapeId="1553" r:id="rId482"/>
      </mc:Fallback>
    </mc:AlternateContent>
    <mc:AlternateContent xmlns:mc="http://schemas.openxmlformats.org/markup-compatibility/2006">
      <mc:Choice Requires="x14">
        <oleObject progId="Equation.DSMT4" shapeId="1558" r:id="rId484">
          <objectPr defaultSize="0" autoPict="0" r:id="rId485">
            <anchor moveWithCells="1">
              <from>
                <xdr:col>543</xdr:col>
                <xdr:colOff>123825</xdr:colOff>
                <xdr:row>133</xdr:row>
                <xdr:rowOff>209550</xdr:rowOff>
              </from>
              <to>
                <xdr:col>554</xdr:col>
                <xdr:colOff>561975</xdr:colOff>
                <xdr:row>134</xdr:row>
                <xdr:rowOff>104775</xdr:rowOff>
              </to>
            </anchor>
          </objectPr>
        </oleObject>
      </mc:Choice>
      <mc:Fallback>
        <oleObject progId="Equation.DSMT4" shapeId="1558" r:id="rId484"/>
      </mc:Fallback>
    </mc:AlternateContent>
    <mc:AlternateContent xmlns:mc="http://schemas.openxmlformats.org/markup-compatibility/2006">
      <mc:Choice Requires="x14">
        <oleObject progId="Equation.DSMT4" shapeId="1559" r:id="rId486">
          <objectPr defaultSize="0" autoPict="0" r:id="rId487">
            <anchor moveWithCells="1">
              <from>
                <xdr:col>543</xdr:col>
                <xdr:colOff>152400</xdr:colOff>
                <xdr:row>137</xdr:row>
                <xdr:rowOff>142875</xdr:rowOff>
              </from>
              <to>
                <xdr:col>547</xdr:col>
                <xdr:colOff>523875</xdr:colOff>
                <xdr:row>138</xdr:row>
                <xdr:rowOff>161925</xdr:rowOff>
              </to>
            </anchor>
          </objectPr>
        </oleObject>
      </mc:Choice>
      <mc:Fallback>
        <oleObject progId="Equation.DSMT4" shapeId="1559" r:id="rId486"/>
      </mc:Fallback>
    </mc:AlternateContent>
    <mc:AlternateContent xmlns:mc="http://schemas.openxmlformats.org/markup-compatibility/2006">
      <mc:Choice Requires="x14">
        <oleObject progId="Equation.DSMT4" shapeId="1560" r:id="rId488">
          <objectPr defaultSize="0" autoPict="0" r:id="rId489">
            <anchor moveWithCells="1">
              <from>
                <xdr:col>543</xdr:col>
                <xdr:colOff>123825</xdr:colOff>
                <xdr:row>151</xdr:row>
                <xdr:rowOff>104775</xdr:rowOff>
              </from>
              <to>
                <xdr:col>544</xdr:col>
                <xdr:colOff>542925</xdr:colOff>
                <xdr:row>152</xdr:row>
                <xdr:rowOff>285750</xdr:rowOff>
              </to>
            </anchor>
          </objectPr>
        </oleObject>
      </mc:Choice>
      <mc:Fallback>
        <oleObject progId="Equation.DSMT4" shapeId="1560" r:id="rId488"/>
      </mc:Fallback>
    </mc:AlternateContent>
    <mc:AlternateContent xmlns:mc="http://schemas.openxmlformats.org/markup-compatibility/2006">
      <mc:Choice Requires="x14">
        <oleObject progId="Equation.DSMT4" shapeId="1562" r:id="rId490">
          <objectPr defaultSize="0" autoPict="0" r:id="rId491">
            <anchor moveWithCells="1">
              <from>
                <xdr:col>624</xdr:col>
                <xdr:colOff>104775</xdr:colOff>
                <xdr:row>142</xdr:row>
                <xdr:rowOff>104775</xdr:rowOff>
              </from>
              <to>
                <xdr:col>624</xdr:col>
                <xdr:colOff>514350</xdr:colOff>
                <xdr:row>143</xdr:row>
                <xdr:rowOff>266700</xdr:rowOff>
              </to>
            </anchor>
          </objectPr>
        </oleObject>
      </mc:Choice>
      <mc:Fallback>
        <oleObject progId="Equation.DSMT4" shapeId="1562" r:id="rId490"/>
      </mc:Fallback>
    </mc:AlternateContent>
    <mc:AlternateContent xmlns:mc="http://schemas.openxmlformats.org/markup-compatibility/2006">
      <mc:Choice Requires="x14">
        <oleObject progId="Equation.DSMT4" shapeId="1563" r:id="rId492">
          <objectPr defaultSize="0" r:id="rId493">
            <anchor moveWithCells="1">
              <from>
                <xdr:col>624</xdr:col>
                <xdr:colOff>190500</xdr:colOff>
                <xdr:row>148</xdr:row>
                <xdr:rowOff>123825</xdr:rowOff>
              </from>
              <to>
                <xdr:col>628</xdr:col>
                <xdr:colOff>76200</xdr:colOff>
                <xdr:row>148</xdr:row>
                <xdr:rowOff>476250</xdr:rowOff>
              </to>
            </anchor>
          </objectPr>
        </oleObject>
      </mc:Choice>
      <mc:Fallback>
        <oleObject progId="Equation.DSMT4" shapeId="1563" r:id="rId492"/>
      </mc:Fallback>
    </mc:AlternateContent>
    <mc:AlternateContent xmlns:mc="http://schemas.openxmlformats.org/markup-compatibility/2006">
      <mc:Choice Requires="x14">
        <oleObject progId="Equation.DSMT4" shapeId="1564" r:id="rId494">
          <objectPr defaultSize="0" autoPict="0" r:id="rId495">
            <anchor moveWithCells="1">
              <from>
                <xdr:col>624</xdr:col>
                <xdr:colOff>123825</xdr:colOff>
                <xdr:row>178</xdr:row>
                <xdr:rowOff>85725</xdr:rowOff>
              </from>
              <to>
                <xdr:col>627</xdr:col>
                <xdr:colOff>276225</xdr:colOff>
                <xdr:row>179</xdr:row>
                <xdr:rowOff>266700</xdr:rowOff>
              </to>
            </anchor>
          </objectPr>
        </oleObject>
      </mc:Choice>
      <mc:Fallback>
        <oleObject progId="Equation.DSMT4" shapeId="1564" r:id="rId494"/>
      </mc:Fallback>
    </mc:AlternateContent>
    <mc:AlternateContent xmlns:mc="http://schemas.openxmlformats.org/markup-compatibility/2006">
      <mc:Choice Requires="x14">
        <oleObject progId="Equation.DSMT4" shapeId="1567" r:id="rId496">
          <objectPr defaultSize="0" autoPict="0" r:id="rId497">
            <anchor moveWithCells="1">
              <from>
                <xdr:col>624</xdr:col>
                <xdr:colOff>228600</xdr:colOff>
                <xdr:row>192</xdr:row>
                <xdr:rowOff>85725</xdr:rowOff>
              </from>
              <to>
                <xdr:col>625</xdr:col>
                <xdr:colOff>133350</xdr:colOff>
                <xdr:row>193</xdr:row>
                <xdr:rowOff>133350</xdr:rowOff>
              </to>
            </anchor>
          </objectPr>
        </oleObject>
      </mc:Choice>
      <mc:Fallback>
        <oleObject progId="Equation.DSMT4" shapeId="1567" r:id="rId496"/>
      </mc:Fallback>
    </mc:AlternateContent>
    <mc:AlternateContent xmlns:mc="http://schemas.openxmlformats.org/markup-compatibility/2006">
      <mc:Choice Requires="x14">
        <oleObject progId="Equation.DSMT4" shapeId="1570" r:id="rId498">
          <objectPr defaultSize="0" autoPict="0" r:id="rId499">
            <anchor moveWithCells="1">
              <from>
                <xdr:col>624</xdr:col>
                <xdr:colOff>171450</xdr:colOff>
                <xdr:row>191</xdr:row>
                <xdr:rowOff>57150</xdr:rowOff>
              </from>
              <to>
                <xdr:col>625</xdr:col>
                <xdr:colOff>95250</xdr:colOff>
                <xdr:row>192</xdr:row>
                <xdr:rowOff>66675</xdr:rowOff>
              </to>
            </anchor>
          </objectPr>
        </oleObject>
      </mc:Choice>
      <mc:Fallback>
        <oleObject progId="Equation.DSMT4" shapeId="1570" r:id="rId498"/>
      </mc:Fallback>
    </mc:AlternateContent>
    <mc:AlternateContent xmlns:mc="http://schemas.openxmlformats.org/markup-compatibility/2006">
      <mc:Choice Requires="x14">
        <oleObject progId="Equation.DSMT4" shapeId="1572" r:id="rId500">
          <objectPr defaultSize="0" autoPict="0" r:id="rId501">
            <anchor moveWithCells="1">
              <from>
                <xdr:col>620</xdr:col>
                <xdr:colOff>171450</xdr:colOff>
                <xdr:row>166</xdr:row>
                <xdr:rowOff>123825</xdr:rowOff>
              </from>
              <to>
                <xdr:col>642</xdr:col>
                <xdr:colOff>66675</xdr:colOff>
                <xdr:row>167</xdr:row>
                <xdr:rowOff>238125</xdr:rowOff>
              </to>
            </anchor>
          </objectPr>
        </oleObject>
      </mc:Choice>
      <mc:Fallback>
        <oleObject progId="Equation.DSMT4" shapeId="1572" r:id="rId500"/>
      </mc:Fallback>
    </mc:AlternateContent>
    <mc:AlternateContent xmlns:mc="http://schemas.openxmlformats.org/markup-compatibility/2006">
      <mc:Choice Requires="x14">
        <oleObject progId="Equation.DSMT4" shapeId="1573" r:id="rId502">
          <objectPr defaultSize="0" autoPict="0" r:id="rId503">
            <anchor moveWithCells="1">
              <from>
                <xdr:col>621</xdr:col>
                <xdr:colOff>0</xdr:colOff>
                <xdr:row>162</xdr:row>
                <xdr:rowOff>66675</xdr:rowOff>
              </from>
              <to>
                <xdr:col>636</xdr:col>
                <xdr:colOff>552450</xdr:colOff>
                <xdr:row>163</xdr:row>
                <xdr:rowOff>504825</xdr:rowOff>
              </to>
            </anchor>
          </objectPr>
        </oleObject>
      </mc:Choice>
      <mc:Fallback>
        <oleObject progId="Equation.DSMT4" shapeId="1573" r:id="rId502"/>
      </mc:Fallback>
    </mc:AlternateContent>
    <mc:AlternateContent xmlns:mc="http://schemas.openxmlformats.org/markup-compatibility/2006">
      <mc:Choice Requires="x14">
        <oleObject progId="Equation.DSMT4" shapeId="1580" r:id="rId504">
          <objectPr defaultSize="0" autoPict="0" r:id="rId505">
            <anchor moveWithCells="1">
              <from>
                <xdr:col>201</xdr:col>
                <xdr:colOff>152400</xdr:colOff>
                <xdr:row>119</xdr:row>
                <xdr:rowOff>361950</xdr:rowOff>
              </from>
              <to>
                <xdr:col>204</xdr:col>
                <xdr:colOff>476250</xdr:colOff>
                <xdr:row>120</xdr:row>
                <xdr:rowOff>285750</xdr:rowOff>
              </to>
            </anchor>
          </objectPr>
        </oleObject>
      </mc:Choice>
      <mc:Fallback>
        <oleObject progId="Equation.DSMT4" shapeId="1580" r:id="rId504"/>
      </mc:Fallback>
    </mc:AlternateContent>
    <mc:AlternateContent xmlns:mc="http://schemas.openxmlformats.org/markup-compatibility/2006">
      <mc:Choice Requires="x14">
        <oleObject progId="Equation.DSMT4" shapeId="1581" r:id="rId506">
          <objectPr defaultSize="0" autoPict="0" r:id="rId507">
            <anchor moveWithCells="1">
              <from>
                <xdr:col>376</xdr:col>
                <xdr:colOff>57150</xdr:colOff>
                <xdr:row>111</xdr:row>
                <xdr:rowOff>9525</xdr:rowOff>
              </from>
              <to>
                <xdr:col>380</xdr:col>
                <xdr:colOff>38100</xdr:colOff>
                <xdr:row>112</xdr:row>
                <xdr:rowOff>47625</xdr:rowOff>
              </to>
            </anchor>
          </objectPr>
        </oleObject>
      </mc:Choice>
      <mc:Fallback>
        <oleObject progId="Equation.DSMT4" shapeId="1581" r:id="rId506"/>
      </mc:Fallback>
    </mc:AlternateContent>
    <mc:AlternateContent xmlns:mc="http://schemas.openxmlformats.org/markup-compatibility/2006">
      <mc:Choice Requires="x14">
        <oleObject progId="Equation.DSMT4" shapeId="1593" r:id="rId508">
          <objectPr defaultSize="0" autoPict="0" r:id="rId509">
            <anchor moveWithCells="1">
              <from>
                <xdr:col>47</xdr:col>
                <xdr:colOff>266700</xdr:colOff>
                <xdr:row>11</xdr:row>
                <xdr:rowOff>161925</xdr:rowOff>
              </from>
              <to>
                <xdr:col>49</xdr:col>
                <xdr:colOff>190500</xdr:colOff>
                <xdr:row>12</xdr:row>
                <xdr:rowOff>381000</xdr:rowOff>
              </to>
            </anchor>
          </objectPr>
        </oleObject>
      </mc:Choice>
      <mc:Fallback>
        <oleObject progId="Equation.DSMT4" shapeId="1593" r:id="rId508"/>
      </mc:Fallback>
    </mc:AlternateContent>
    <mc:AlternateContent xmlns:mc="http://schemas.openxmlformats.org/markup-compatibility/2006">
      <mc:Choice Requires="x14">
        <oleObject progId="Equation.DSMT4" shapeId="1594" r:id="rId510">
          <objectPr defaultSize="0" autoPict="0" r:id="rId511">
            <anchor moveWithCells="1">
              <from>
                <xdr:col>47</xdr:col>
                <xdr:colOff>295275</xdr:colOff>
                <xdr:row>31</xdr:row>
                <xdr:rowOff>333375</xdr:rowOff>
              </from>
              <to>
                <xdr:col>50</xdr:col>
                <xdr:colOff>285750</xdr:colOff>
                <xdr:row>32</xdr:row>
                <xdr:rowOff>257175</xdr:rowOff>
              </to>
            </anchor>
          </objectPr>
        </oleObject>
      </mc:Choice>
      <mc:Fallback>
        <oleObject progId="Equation.DSMT4" shapeId="1594" r:id="rId510"/>
      </mc:Fallback>
    </mc:AlternateContent>
    <mc:AlternateContent xmlns:mc="http://schemas.openxmlformats.org/markup-compatibility/2006">
      <mc:Choice Requires="x14">
        <oleObject progId="Equation.DSMT4" shapeId="1596" r:id="rId512">
          <objectPr defaultSize="0" autoPict="0" r:id="rId513">
            <anchor moveWithCells="1">
              <from>
                <xdr:col>47</xdr:col>
                <xdr:colOff>457200</xdr:colOff>
                <xdr:row>35</xdr:row>
                <xdr:rowOff>104775</xdr:rowOff>
              </from>
              <to>
                <xdr:col>50</xdr:col>
                <xdr:colOff>47625</xdr:colOff>
                <xdr:row>36</xdr:row>
                <xdr:rowOff>495300</xdr:rowOff>
              </to>
            </anchor>
          </objectPr>
        </oleObject>
      </mc:Choice>
      <mc:Fallback>
        <oleObject progId="Equation.DSMT4" shapeId="1596" r:id="rId512"/>
      </mc:Fallback>
    </mc:AlternateContent>
    <mc:AlternateContent xmlns:mc="http://schemas.openxmlformats.org/markup-compatibility/2006">
      <mc:Choice Requires="x14">
        <oleObject progId="Equation.DSMT4" shapeId="1597" r:id="rId514">
          <objectPr defaultSize="0" autoPict="0" r:id="rId515">
            <anchor moveWithCells="1">
              <from>
                <xdr:col>47</xdr:col>
                <xdr:colOff>257175</xdr:colOff>
                <xdr:row>39</xdr:row>
                <xdr:rowOff>104775</xdr:rowOff>
              </from>
              <to>
                <xdr:col>51</xdr:col>
                <xdr:colOff>333375</xdr:colOff>
                <xdr:row>40</xdr:row>
                <xdr:rowOff>447675</xdr:rowOff>
              </to>
            </anchor>
          </objectPr>
        </oleObject>
      </mc:Choice>
      <mc:Fallback>
        <oleObject progId="Equation.DSMT4" shapeId="1597" r:id="rId514"/>
      </mc:Fallback>
    </mc:AlternateContent>
    <mc:AlternateContent xmlns:mc="http://schemas.openxmlformats.org/markup-compatibility/2006">
      <mc:Choice Requires="x14">
        <oleObject progId="Equation.DSMT4" shapeId="1599" r:id="rId516">
          <objectPr defaultSize="0" autoPict="0" r:id="rId517">
            <anchor moveWithCells="1">
              <from>
                <xdr:col>48</xdr:col>
                <xdr:colOff>142875</xdr:colOff>
                <xdr:row>72</xdr:row>
                <xdr:rowOff>142875</xdr:rowOff>
              </from>
              <to>
                <xdr:col>50</xdr:col>
                <xdr:colOff>476250</xdr:colOff>
                <xdr:row>73</xdr:row>
                <xdr:rowOff>371475</xdr:rowOff>
              </to>
            </anchor>
          </objectPr>
        </oleObject>
      </mc:Choice>
      <mc:Fallback>
        <oleObject progId="Equation.DSMT4" shapeId="1599" r:id="rId516"/>
      </mc:Fallback>
    </mc:AlternateContent>
    <mc:AlternateContent xmlns:mc="http://schemas.openxmlformats.org/markup-compatibility/2006">
      <mc:Choice Requires="x14">
        <oleObject progId="Equation.DSMT4" shapeId="1601" r:id="rId518">
          <objectPr defaultSize="0" autoPict="0" r:id="rId519">
            <anchor moveWithCells="1">
              <from>
                <xdr:col>47</xdr:col>
                <xdr:colOff>400050</xdr:colOff>
                <xdr:row>80</xdr:row>
                <xdr:rowOff>66675</xdr:rowOff>
              </from>
              <to>
                <xdr:col>49</xdr:col>
                <xdr:colOff>276225</xdr:colOff>
                <xdr:row>81</xdr:row>
                <xdr:rowOff>495300</xdr:rowOff>
              </to>
            </anchor>
          </objectPr>
        </oleObject>
      </mc:Choice>
      <mc:Fallback>
        <oleObject progId="Equation.DSMT4" shapeId="1601" r:id="rId518"/>
      </mc:Fallback>
    </mc:AlternateContent>
    <mc:AlternateContent xmlns:mc="http://schemas.openxmlformats.org/markup-compatibility/2006">
      <mc:Choice Requires="x14">
        <oleObject progId="Equation.DSMT4" shapeId="1603" r:id="rId520">
          <objectPr defaultSize="0" autoPict="0" r:id="rId521">
            <anchor moveWithCells="1">
              <from>
                <xdr:col>88</xdr:col>
                <xdr:colOff>323850</xdr:colOff>
                <xdr:row>23</xdr:row>
                <xdr:rowOff>114300</xdr:rowOff>
              </from>
              <to>
                <xdr:col>91</xdr:col>
                <xdr:colOff>295275</xdr:colOff>
                <xdr:row>24</xdr:row>
                <xdr:rowOff>495300</xdr:rowOff>
              </to>
            </anchor>
          </objectPr>
        </oleObject>
      </mc:Choice>
      <mc:Fallback>
        <oleObject progId="Equation.DSMT4" shapeId="1603" r:id="rId520"/>
      </mc:Fallback>
    </mc:AlternateContent>
    <mc:AlternateContent xmlns:mc="http://schemas.openxmlformats.org/markup-compatibility/2006">
      <mc:Choice Requires="x14">
        <oleObject progId="Equation.DSMT4" shapeId="1607" r:id="rId522">
          <objectPr defaultSize="0" autoPict="0" r:id="rId523">
            <anchor moveWithCells="1">
              <from>
                <xdr:col>88</xdr:col>
                <xdr:colOff>361950</xdr:colOff>
                <xdr:row>47</xdr:row>
                <xdr:rowOff>142875</xdr:rowOff>
              </from>
              <to>
                <xdr:col>93</xdr:col>
                <xdr:colOff>304800</xdr:colOff>
                <xdr:row>48</xdr:row>
                <xdr:rowOff>447675</xdr:rowOff>
              </to>
            </anchor>
          </objectPr>
        </oleObject>
      </mc:Choice>
      <mc:Fallback>
        <oleObject progId="Equation.DSMT4" shapeId="1607" r:id="rId522"/>
      </mc:Fallback>
    </mc:AlternateContent>
    <mc:AlternateContent xmlns:mc="http://schemas.openxmlformats.org/markup-compatibility/2006">
      <mc:Choice Requires="x14">
        <oleObject progId="Equation.DSMT4" shapeId="1614" r:id="rId524">
          <objectPr defaultSize="0" autoPict="0" r:id="rId525">
            <anchor moveWithCells="1">
              <from>
                <xdr:col>95</xdr:col>
                <xdr:colOff>123825</xdr:colOff>
                <xdr:row>111</xdr:row>
                <xdr:rowOff>228600</xdr:rowOff>
              </from>
              <to>
                <xdr:col>98</xdr:col>
                <xdr:colOff>476250</xdr:colOff>
                <xdr:row>112</xdr:row>
                <xdr:rowOff>219075</xdr:rowOff>
              </to>
            </anchor>
          </objectPr>
        </oleObject>
      </mc:Choice>
      <mc:Fallback>
        <oleObject progId="Equation.DSMT4" shapeId="1614" r:id="rId524"/>
      </mc:Fallback>
    </mc:AlternateContent>
    <mc:AlternateContent xmlns:mc="http://schemas.openxmlformats.org/markup-compatibility/2006">
      <mc:Choice Requires="x14">
        <oleObject progId="Equation.DSMT4" shapeId="1617" r:id="rId526">
          <objectPr defaultSize="0" autoPict="0" r:id="rId527">
            <anchor moveWithCells="1">
              <from>
                <xdr:col>200</xdr:col>
                <xdr:colOff>523875</xdr:colOff>
                <xdr:row>59</xdr:row>
                <xdr:rowOff>314325</xdr:rowOff>
              </from>
              <to>
                <xdr:col>206</xdr:col>
                <xdr:colOff>428625</xdr:colOff>
                <xdr:row>60</xdr:row>
                <xdr:rowOff>342900</xdr:rowOff>
              </to>
            </anchor>
          </objectPr>
        </oleObject>
      </mc:Choice>
      <mc:Fallback>
        <oleObject progId="Equation.DSMT4" shapeId="1617" r:id="rId526"/>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2"/>
  <dimension ref="B4:CD187"/>
  <sheetViews>
    <sheetView topLeftCell="A36" zoomScale="10" zoomScaleNormal="10" workbookViewId="0">
      <selection activeCell="S66" sqref="S66"/>
    </sheetView>
  </sheetViews>
  <sheetFormatPr defaultRowHeight="20.25" x14ac:dyDescent="0.3"/>
  <cols>
    <col min="1" max="1" width="9.140625" style="23"/>
    <col min="2" max="2" width="9.140625" style="19"/>
    <col min="3" max="3" width="44" style="19" customWidth="1"/>
    <col min="4" max="4" width="19.7109375" style="29" customWidth="1"/>
    <col min="5" max="5" width="9.140625" style="26" customWidth="1"/>
    <col min="6" max="31" width="9.140625" style="23" customWidth="1"/>
    <col min="32" max="32" width="9.140625" style="19" customWidth="1"/>
    <col min="33" max="33" width="34.140625" style="19" customWidth="1"/>
    <col min="34" max="34" width="11.85546875" style="29" customWidth="1"/>
    <col min="35" max="35" width="9.140625" style="26" customWidth="1"/>
    <col min="36" max="44" width="9.140625" style="23"/>
    <col min="45" max="45" width="9.140625" style="19"/>
    <col min="46" max="46" width="23.140625" style="19" customWidth="1"/>
    <col min="47" max="47" width="12.42578125" style="16" customWidth="1"/>
    <col min="48" max="48" width="9.140625" style="19"/>
    <col min="49" max="57" width="9.140625" style="23"/>
    <col min="58" max="58" width="9.140625" style="19"/>
    <col min="59" max="59" width="20.42578125" style="19" customWidth="1"/>
    <col min="60" max="60" width="19.140625" style="3" bestFit="1" customWidth="1"/>
    <col min="61" max="61" width="9.140625" style="27"/>
    <col min="62" max="70" width="9.140625" style="23"/>
    <col min="71" max="71" width="9.140625" style="19"/>
    <col min="72" max="72" width="27.7109375" style="19" customWidth="1"/>
    <col min="73" max="74" width="9.140625" style="19"/>
    <col min="75" max="16384" width="9.140625" style="23"/>
  </cols>
  <sheetData>
    <row r="4" spans="2:82" x14ac:dyDescent="0.3">
      <c r="B4" s="18"/>
      <c r="C4" s="18" t="s">
        <v>167</v>
      </c>
      <c r="D4" s="30"/>
      <c r="E4" s="24"/>
      <c r="F4" s="22"/>
      <c r="G4" s="22"/>
      <c r="H4" s="22"/>
      <c r="I4" s="22"/>
      <c r="J4" s="22"/>
      <c r="K4" s="22"/>
      <c r="L4" s="22"/>
      <c r="M4" s="22"/>
      <c r="N4" s="22"/>
      <c r="O4" s="22"/>
      <c r="P4" s="22"/>
      <c r="Q4" s="22"/>
      <c r="R4" s="22"/>
      <c r="S4" s="22"/>
      <c r="T4" s="22"/>
      <c r="U4" s="22"/>
      <c r="V4" s="22"/>
      <c r="W4" s="22"/>
      <c r="X4" s="22"/>
      <c r="Y4" s="22"/>
      <c r="Z4" s="22"/>
      <c r="AA4" s="22"/>
      <c r="AB4" s="22"/>
      <c r="AC4" s="22"/>
    </row>
    <row r="5" spans="2:82" x14ac:dyDescent="0.3">
      <c r="B5" s="18"/>
      <c r="C5" s="18" t="s">
        <v>168</v>
      </c>
      <c r="D5" s="30"/>
      <c r="E5" s="24"/>
      <c r="F5" s="22"/>
      <c r="G5" s="22"/>
      <c r="H5" s="22"/>
      <c r="I5" s="22"/>
      <c r="J5" s="22"/>
      <c r="K5" s="22"/>
      <c r="L5" s="22"/>
      <c r="M5" s="22"/>
      <c r="N5" s="22"/>
      <c r="O5" s="22"/>
      <c r="P5" s="22"/>
      <c r="Q5" s="22"/>
      <c r="R5" s="22"/>
      <c r="S5" s="22"/>
      <c r="T5" s="22"/>
      <c r="U5" s="22"/>
      <c r="V5" s="22"/>
      <c r="W5" s="22"/>
      <c r="X5" s="22"/>
      <c r="Y5" s="22"/>
      <c r="Z5" s="22"/>
      <c r="AA5" s="22"/>
      <c r="AB5" s="22"/>
      <c r="AC5" s="22"/>
    </row>
    <row r="6" spans="2:82" x14ac:dyDescent="0.3">
      <c r="B6" s="18"/>
      <c r="C6" s="39" t="s">
        <v>176</v>
      </c>
      <c r="D6" s="40">
        <f>'Вывод расчетов (1-11)'!$EE$68</f>
        <v>11.035570843536657</v>
      </c>
      <c r="E6" s="24" t="s">
        <v>53</v>
      </c>
      <c r="F6" s="22"/>
      <c r="G6" s="22"/>
      <c r="H6" s="22"/>
      <c r="I6" s="22"/>
      <c r="J6" s="22"/>
      <c r="K6" s="22"/>
      <c r="L6" s="22"/>
      <c r="M6" s="22"/>
      <c r="N6" s="22"/>
      <c r="O6" s="22"/>
      <c r="P6" s="22"/>
      <c r="Q6" s="22"/>
      <c r="R6" s="22"/>
      <c r="S6" s="22"/>
      <c r="T6" s="22"/>
      <c r="U6" s="22"/>
      <c r="V6" s="22"/>
      <c r="W6" s="22"/>
      <c r="X6" s="22"/>
      <c r="Y6" s="22"/>
      <c r="Z6" s="22"/>
      <c r="AA6" s="22"/>
      <c r="AB6" s="22"/>
      <c r="AC6" s="22"/>
      <c r="AK6" s="21"/>
      <c r="AL6" s="21"/>
      <c r="AM6" s="21"/>
      <c r="AN6" s="21"/>
      <c r="AO6" s="21"/>
      <c r="AP6" s="21"/>
      <c r="AX6" s="21"/>
      <c r="AY6" s="21"/>
      <c r="AZ6" s="21"/>
      <c r="BA6" s="21"/>
      <c r="BB6" s="21"/>
      <c r="BC6" s="21"/>
      <c r="BK6" s="21"/>
      <c r="BL6" s="21"/>
      <c r="BM6" s="21"/>
      <c r="BN6" s="21"/>
      <c r="BO6" s="21"/>
      <c r="BP6" s="21"/>
    </row>
    <row r="7" spans="2:82" x14ac:dyDescent="0.3">
      <c r="B7" s="18"/>
      <c r="C7" s="39" t="s">
        <v>177</v>
      </c>
      <c r="D7" s="40">
        <f>'Вывод расчетов (1-11)'!EE72</f>
        <v>7.608592857142856</v>
      </c>
      <c r="E7" s="24" t="s">
        <v>53</v>
      </c>
      <c r="F7" s="22"/>
      <c r="G7" s="22"/>
      <c r="H7" s="22"/>
      <c r="I7" s="22"/>
      <c r="J7" s="22"/>
      <c r="K7" s="22"/>
      <c r="L7" s="22"/>
      <c r="M7" s="22"/>
      <c r="N7" s="22"/>
      <c r="O7" s="22"/>
      <c r="P7" s="22"/>
      <c r="Q7" s="22"/>
      <c r="R7" s="22"/>
      <c r="S7" s="22"/>
      <c r="T7" s="22"/>
      <c r="U7" s="22"/>
      <c r="V7" s="22"/>
      <c r="W7" s="22"/>
      <c r="X7" s="22"/>
      <c r="Y7" s="22"/>
      <c r="Z7" s="22"/>
      <c r="AA7" s="22"/>
      <c r="AB7" s="22"/>
      <c r="AC7" s="22"/>
      <c r="AK7" s="21"/>
      <c r="AL7" s="21"/>
      <c r="AM7" s="21"/>
      <c r="AN7" s="21"/>
      <c r="AO7" s="21"/>
      <c r="AP7" s="21"/>
      <c r="AX7" s="21"/>
      <c r="AY7" s="21"/>
      <c r="AZ7" s="21"/>
      <c r="BA7" s="21"/>
      <c r="BB7" s="21"/>
      <c r="BC7" s="21"/>
      <c r="BK7" s="21"/>
      <c r="BL7" s="21"/>
      <c r="BM7" s="21"/>
      <c r="BN7" s="21"/>
      <c r="BO7" s="21"/>
      <c r="BP7" s="21"/>
      <c r="BY7" s="21"/>
      <c r="BZ7" s="21"/>
      <c r="CA7" s="21"/>
      <c r="CB7" s="21"/>
      <c r="CC7" s="21"/>
      <c r="CD7" s="21"/>
    </row>
    <row r="8" spans="2:82" x14ac:dyDescent="0.3">
      <c r="B8" s="18"/>
      <c r="C8" s="39" t="s">
        <v>178</v>
      </c>
      <c r="D8" s="40">
        <f>'Вывод расчетов (1-11)'!EE44</f>
        <v>2.9</v>
      </c>
      <c r="E8" s="24" t="s">
        <v>53</v>
      </c>
      <c r="F8" s="22"/>
      <c r="G8" s="22"/>
      <c r="H8" s="22"/>
      <c r="I8" s="22"/>
      <c r="J8" s="22"/>
      <c r="K8" s="22"/>
      <c r="L8" s="22"/>
      <c r="M8" s="22"/>
      <c r="N8" s="22"/>
      <c r="O8" s="22"/>
      <c r="P8" s="22"/>
      <c r="Q8" s="22"/>
      <c r="R8" s="22"/>
      <c r="S8" s="22"/>
      <c r="T8" s="22"/>
      <c r="U8" s="22"/>
      <c r="V8" s="22"/>
      <c r="W8" s="22"/>
      <c r="X8" s="22"/>
      <c r="Y8" s="22"/>
      <c r="Z8" s="22"/>
      <c r="AA8" s="22"/>
      <c r="AB8" s="22"/>
      <c r="AC8" s="22"/>
      <c r="AF8" s="18"/>
      <c r="AG8" s="18" t="s">
        <v>157</v>
      </c>
      <c r="AH8" s="30"/>
      <c r="AI8" s="24"/>
      <c r="AK8" s="21"/>
      <c r="AL8" s="21"/>
      <c r="AM8" s="21"/>
      <c r="AN8" s="21"/>
      <c r="AO8" s="21"/>
      <c r="AP8" s="21"/>
      <c r="AS8" s="18"/>
      <c r="AT8" s="18" t="s">
        <v>157</v>
      </c>
      <c r="AU8" s="17"/>
      <c r="AV8" s="18"/>
      <c r="AX8" s="21"/>
      <c r="AY8" s="21"/>
      <c r="AZ8" s="21"/>
      <c r="BA8" s="21"/>
      <c r="BB8" s="21"/>
      <c r="BC8" s="21"/>
      <c r="BF8" s="18"/>
      <c r="BG8" s="18" t="s">
        <v>155</v>
      </c>
      <c r="BH8" s="6"/>
      <c r="BI8" s="28"/>
      <c r="BK8" s="21"/>
      <c r="BL8" s="21"/>
      <c r="BM8" s="21"/>
      <c r="BN8" s="21"/>
      <c r="BO8" s="21"/>
      <c r="BP8" s="21"/>
      <c r="BS8" s="18"/>
      <c r="BT8" s="18" t="s">
        <v>155</v>
      </c>
      <c r="BU8" s="18"/>
      <c r="BV8" s="18"/>
      <c r="BY8" s="21"/>
      <c r="BZ8" s="21"/>
      <c r="CA8" s="21"/>
      <c r="CB8" s="21"/>
      <c r="CC8" s="21"/>
      <c r="CD8" s="21"/>
    </row>
    <row r="9" spans="2:82" x14ac:dyDescent="0.3">
      <c r="B9" s="18"/>
      <c r="C9" s="39" t="s">
        <v>179</v>
      </c>
      <c r="D9" s="40">
        <f>'Вывод расчетов (1-11)'!EE76</f>
        <v>19.19176674511716</v>
      </c>
      <c r="E9" s="24" t="s">
        <v>53</v>
      </c>
      <c r="F9" s="22"/>
      <c r="G9" s="22"/>
      <c r="H9" s="22"/>
      <c r="I9" s="22"/>
      <c r="J9" s="22"/>
      <c r="K9" s="22"/>
      <c r="L9" s="22"/>
      <c r="M9" s="22"/>
      <c r="N9" s="22"/>
      <c r="O9" s="22"/>
      <c r="P9" s="22"/>
      <c r="Q9" s="22"/>
      <c r="R9" s="22"/>
      <c r="S9" s="22"/>
      <c r="T9" s="22"/>
      <c r="U9" s="22"/>
      <c r="V9" s="22"/>
      <c r="W9" s="22"/>
      <c r="X9" s="22"/>
      <c r="Y9" s="22"/>
      <c r="Z9" s="22"/>
      <c r="AA9" s="22"/>
      <c r="AB9" s="22"/>
      <c r="AC9" s="22"/>
      <c r="AF9" s="18"/>
      <c r="AG9" s="18" t="s">
        <v>153</v>
      </c>
      <c r="AH9" s="30"/>
      <c r="AI9" s="24"/>
      <c r="AK9" s="21"/>
      <c r="AL9" s="21"/>
      <c r="AM9" s="21"/>
      <c r="AN9" s="21"/>
      <c r="AO9" s="21"/>
      <c r="AP9" s="21"/>
      <c r="AS9" s="18"/>
      <c r="AT9" s="18" t="s">
        <v>156</v>
      </c>
      <c r="AU9" s="17"/>
      <c r="AV9" s="18"/>
      <c r="AX9" s="21"/>
      <c r="AY9" s="21"/>
      <c r="AZ9" s="21"/>
      <c r="BA9" s="21"/>
      <c r="BB9" s="21"/>
      <c r="BC9" s="21"/>
      <c r="BF9" s="18"/>
      <c r="BG9" s="18" t="s">
        <v>156</v>
      </c>
      <c r="BH9" s="6"/>
      <c r="BI9" s="28"/>
      <c r="BK9" s="21"/>
      <c r="BL9" s="21"/>
      <c r="BM9" s="21"/>
      <c r="BN9" s="21"/>
      <c r="BO9" s="21"/>
      <c r="BP9" s="21"/>
      <c r="BS9" s="18"/>
      <c r="BT9" s="18" t="s">
        <v>156</v>
      </c>
      <c r="BU9" s="18"/>
      <c r="BV9" s="18"/>
      <c r="BY9" s="21"/>
      <c r="BZ9" s="21"/>
      <c r="CA9" s="21"/>
      <c r="CB9" s="21"/>
      <c r="CC9" s="21"/>
      <c r="CD9" s="21"/>
    </row>
    <row r="10" spans="2:82" x14ac:dyDescent="0.3">
      <c r="B10" s="18"/>
      <c r="C10" s="39" t="s">
        <v>180</v>
      </c>
      <c r="D10" s="40">
        <f>'Вывод расчетов (1-11)'!EE52</f>
        <v>22.296063173688587</v>
      </c>
      <c r="E10" s="24" t="s">
        <v>53</v>
      </c>
      <c r="F10" s="22"/>
      <c r="G10" s="22"/>
      <c r="H10" s="22"/>
      <c r="I10" s="22"/>
      <c r="J10" s="22"/>
      <c r="K10" s="22"/>
      <c r="L10" s="22"/>
      <c r="M10" s="22"/>
      <c r="N10" s="22"/>
      <c r="O10" s="22"/>
      <c r="P10" s="22"/>
      <c r="Q10" s="22"/>
      <c r="R10" s="22"/>
      <c r="S10" s="22"/>
      <c r="T10" s="22"/>
      <c r="U10" s="22"/>
      <c r="V10" s="22"/>
      <c r="W10" s="22"/>
      <c r="X10" s="22"/>
      <c r="Y10" s="22"/>
      <c r="Z10" s="22"/>
      <c r="AA10" s="22"/>
      <c r="AB10" s="22"/>
      <c r="AC10" s="22"/>
      <c r="AF10" s="18"/>
      <c r="AG10" s="18" t="s">
        <v>55</v>
      </c>
      <c r="AH10" s="30"/>
      <c r="AI10" s="24"/>
      <c r="AK10" s="21"/>
      <c r="AL10" s="21"/>
      <c r="AM10" s="21"/>
      <c r="AN10" s="21"/>
      <c r="AO10" s="21"/>
      <c r="AP10" s="21"/>
      <c r="AS10" s="18"/>
      <c r="AT10" s="18" t="s">
        <v>153</v>
      </c>
      <c r="AU10" s="17"/>
      <c r="AV10" s="18"/>
      <c r="AX10" s="21"/>
      <c r="AY10" s="21"/>
      <c r="AZ10" s="21"/>
      <c r="BA10" s="21"/>
      <c r="BB10" s="21"/>
      <c r="BC10" s="21"/>
      <c r="BF10" s="18"/>
      <c r="BG10" s="18" t="s">
        <v>55</v>
      </c>
      <c r="BH10" s="6"/>
      <c r="BI10" s="28"/>
      <c r="BK10" s="21"/>
      <c r="BL10" s="21"/>
      <c r="BM10" s="21"/>
      <c r="BN10" s="21"/>
      <c r="BO10" s="21"/>
      <c r="BP10" s="21"/>
      <c r="BS10" s="18"/>
      <c r="BT10" s="18" t="s">
        <v>55</v>
      </c>
      <c r="BU10" s="18"/>
      <c r="BV10" s="18"/>
      <c r="BY10" s="21"/>
      <c r="BZ10" s="21"/>
      <c r="CA10" s="21"/>
      <c r="CB10" s="21"/>
      <c r="CC10" s="21"/>
      <c r="CD10" s="21"/>
    </row>
    <row r="11" spans="2:82" x14ac:dyDescent="0.3">
      <c r="B11" s="18"/>
      <c r="C11" s="39" t="s">
        <v>181</v>
      </c>
      <c r="D11" s="40">
        <f>'Вывод расчетов (1-11)'!EE40</f>
        <v>0.75</v>
      </c>
      <c r="E11" s="24" t="s">
        <v>53</v>
      </c>
      <c r="F11" s="22"/>
      <c r="G11" s="22"/>
      <c r="H11" s="22"/>
      <c r="I11" s="22"/>
      <c r="J11" s="22"/>
      <c r="K11" s="22"/>
      <c r="L11" s="22"/>
      <c r="M11" s="22"/>
      <c r="N11" s="22"/>
      <c r="O11" s="22"/>
      <c r="P11" s="22"/>
      <c r="Q11" s="22"/>
      <c r="R11" s="22"/>
      <c r="S11" s="22"/>
      <c r="T11" s="22"/>
      <c r="U11" s="22"/>
      <c r="V11" s="22"/>
      <c r="W11" s="22"/>
      <c r="X11" s="22"/>
      <c r="Y11" s="22"/>
      <c r="Z11" s="22"/>
      <c r="AA11" s="22"/>
      <c r="AB11" s="22"/>
      <c r="AC11" s="22"/>
      <c r="AF11" s="18"/>
      <c r="AG11" s="18" t="s">
        <v>151</v>
      </c>
      <c r="AH11" s="30"/>
      <c r="AI11" s="24"/>
      <c r="AK11" s="21"/>
      <c r="AL11" s="21"/>
      <c r="AM11" s="21"/>
      <c r="AN11" s="21"/>
      <c r="AO11" s="21"/>
      <c r="AP11" s="21"/>
      <c r="AS11" s="18"/>
      <c r="AT11" s="18" t="s">
        <v>55</v>
      </c>
      <c r="AU11" s="17"/>
      <c r="AV11" s="18"/>
      <c r="AX11" s="21"/>
      <c r="AY11" s="21"/>
      <c r="AZ11" s="21"/>
      <c r="BA11" s="21"/>
      <c r="BB11" s="21"/>
      <c r="BC11" s="21"/>
      <c r="BF11" s="18"/>
      <c r="BG11" s="18" t="s">
        <v>151</v>
      </c>
      <c r="BH11" s="6"/>
      <c r="BI11" s="28"/>
      <c r="BK11" s="21"/>
      <c r="BL11" s="21"/>
      <c r="BM11" s="21"/>
      <c r="BN11" s="21"/>
      <c r="BO11" s="21"/>
      <c r="BP11" s="21"/>
      <c r="BS11" s="18"/>
      <c r="BT11" s="18" t="s">
        <v>151</v>
      </c>
      <c r="BU11" s="18"/>
      <c r="BV11" s="18"/>
      <c r="BY11" s="21"/>
      <c r="BZ11" s="21"/>
      <c r="CA11" s="21"/>
      <c r="CB11" s="21"/>
      <c r="CC11" s="21"/>
      <c r="CD11" s="21"/>
    </row>
    <row r="12" spans="2:82" x14ac:dyDescent="0.3">
      <c r="B12" s="20"/>
      <c r="C12" s="20"/>
      <c r="D12" s="32"/>
      <c r="E12" s="25"/>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F12" s="20"/>
      <c r="AG12" s="20"/>
      <c r="AH12" s="32"/>
      <c r="AI12" s="25"/>
      <c r="AK12" s="21"/>
      <c r="AL12" s="21"/>
      <c r="AM12" s="21"/>
      <c r="AN12" s="21"/>
      <c r="AO12" s="21"/>
      <c r="AP12" s="21"/>
      <c r="AS12" s="18"/>
      <c r="AT12" s="18" t="s">
        <v>151</v>
      </c>
      <c r="AU12" s="17"/>
      <c r="AV12" s="18"/>
      <c r="AX12" s="21"/>
      <c r="AY12" s="21"/>
      <c r="AZ12" s="21"/>
      <c r="BA12" s="21"/>
      <c r="BB12" s="21"/>
      <c r="BC12" s="21"/>
      <c r="BF12" s="18"/>
      <c r="BG12" s="18" t="s">
        <v>152</v>
      </c>
      <c r="BH12" s="6"/>
      <c r="BI12" s="28"/>
      <c r="BK12" s="21"/>
      <c r="BL12" s="21"/>
      <c r="BM12" s="21"/>
      <c r="BN12" s="21"/>
      <c r="BO12" s="21"/>
      <c r="BP12" s="21"/>
      <c r="BS12" s="18"/>
      <c r="BT12" s="18" t="s">
        <v>152</v>
      </c>
      <c r="BU12" s="18"/>
      <c r="BV12" s="18"/>
      <c r="BY12" s="21"/>
      <c r="BZ12" s="21"/>
      <c r="CA12" s="21"/>
      <c r="CB12" s="21"/>
      <c r="CC12" s="21"/>
      <c r="CD12" s="21"/>
    </row>
    <row r="13" spans="2:82" x14ac:dyDescent="0.3">
      <c r="AF13" s="20"/>
      <c r="AG13" s="20"/>
      <c r="AH13" s="32"/>
      <c r="AI13" s="25"/>
      <c r="AK13" s="21"/>
      <c r="AL13" s="21"/>
      <c r="AM13" s="21"/>
      <c r="AN13" s="21"/>
      <c r="AO13" s="21"/>
      <c r="AP13" s="21"/>
      <c r="AS13" s="18"/>
      <c r="AT13" s="18" t="s">
        <v>152</v>
      </c>
      <c r="AU13" s="17"/>
      <c r="AV13" s="18"/>
      <c r="AX13" s="21"/>
      <c r="AY13" s="21"/>
      <c r="AZ13" s="21"/>
      <c r="BA13" s="21"/>
      <c r="BB13" s="21"/>
      <c r="BC13" s="21"/>
      <c r="BF13" s="18"/>
      <c r="BG13" s="18" t="s">
        <v>154</v>
      </c>
      <c r="BH13" s="6"/>
      <c r="BI13" s="28"/>
      <c r="BK13" s="21"/>
      <c r="BL13" s="21"/>
      <c r="BM13" s="21"/>
      <c r="BN13" s="21"/>
      <c r="BO13" s="21"/>
      <c r="BP13" s="21"/>
      <c r="BS13" s="18"/>
      <c r="BT13" s="18" t="s">
        <v>154</v>
      </c>
      <c r="BU13" s="18"/>
      <c r="BV13" s="18"/>
      <c r="BY13" s="21"/>
      <c r="BZ13" s="21"/>
      <c r="CA13" s="21"/>
      <c r="CB13" s="21"/>
      <c r="CC13" s="21"/>
      <c r="CD13" s="21"/>
    </row>
    <row r="14" spans="2:82" x14ac:dyDescent="0.3">
      <c r="AK14" s="21"/>
      <c r="AL14" s="21"/>
      <c r="AM14" s="21"/>
      <c r="AN14" s="21"/>
      <c r="AO14" s="21"/>
      <c r="AP14" s="21"/>
      <c r="AX14" s="21"/>
      <c r="AY14" s="21"/>
      <c r="AZ14" s="21"/>
      <c r="BA14" s="21"/>
      <c r="BB14" s="21"/>
      <c r="BC14" s="21"/>
      <c r="BK14" s="21"/>
      <c r="BL14" s="21"/>
      <c r="BM14" s="21"/>
      <c r="BN14" s="21"/>
      <c r="BO14" s="21"/>
      <c r="BP14" s="21"/>
      <c r="BY14" s="21"/>
      <c r="BZ14" s="21"/>
      <c r="CA14" s="21"/>
      <c r="CB14" s="21"/>
      <c r="CC14" s="21"/>
      <c r="CD14" s="21"/>
    </row>
    <row r="15" spans="2:82" x14ac:dyDescent="0.3">
      <c r="F15" s="22"/>
      <c r="G15" s="22"/>
      <c r="H15" s="22"/>
      <c r="I15" s="22"/>
      <c r="J15" s="22"/>
      <c r="K15" s="22"/>
      <c r="L15" s="22"/>
      <c r="M15" s="22"/>
      <c r="N15" s="22"/>
      <c r="O15" s="22"/>
      <c r="P15" s="22"/>
      <c r="Q15" s="22"/>
      <c r="R15" s="22"/>
      <c r="S15" s="22"/>
      <c r="T15" s="22"/>
      <c r="U15" s="22"/>
      <c r="V15" s="22"/>
      <c r="W15" s="22"/>
      <c r="X15" s="22"/>
      <c r="Y15" s="22"/>
      <c r="Z15" s="22"/>
      <c r="AA15" s="22"/>
      <c r="AB15" s="22"/>
      <c r="AC15" s="22"/>
      <c r="AK15" s="21"/>
      <c r="AL15" s="21"/>
      <c r="AM15" s="21"/>
      <c r="AN15" s="21"/>
      <c r="AO15" s="21"/>
      <c r="AP15" s="21"/>
      <c r="AX15" s="21"/>
      <c r="AY15" s="21"/>
      <c r="AZ15" s="21"/>
      <c r="BA15" s="21"/>
      <c r="BB15" s="21"/>
      <c r="BC15" s="21"/>
      <c r="BK15" s="21"/>
      <c r="BL15" s="21"/>
      <c r="BM15" s="21"/>
      <c r="BN15" s="21"/>
      <c r="BO15" s="21"/>
      <c r="BP15" s="21"/>
      <c r="BY15" s="21"/>
      <c r="BZ15" s="21"/>
      <c r="CA15" s="21"/>
      <c r="CB15" s="21"/>
      <c r="CC15" s="21"/>
      <c r="CD15" s="21"/>
    </row>
    <row r="16" spans="2:82" x14ac:dyDescent="0.3">
      <c r="AK16" s="21"/>
      <c r="AL16" s="21"/>
      <c r="AM16" s="21"/>
      <c r="AN16" s="21"/>
      <c r="AO16" s="21"/>
      <c r="AP16" s="21"/>
      <c r="AX16" s="21"/>
      <c r="AY16" s="21"/>
      <c r="AZ16" s="21"/>
      <c r="BA16" s="21"/>
      <c r="BB16" s="21"/>
      <c r="BC16" s="21"/>
      <c r="BK16" s="21"/>
      <c r="BL16" s="21"/>
      <c r="BM16" s="21"/>
      <c r="BN16" s="21"/>
      <c r="BO16" s="21"/>
      <c r="BP16" s="21"/>
      <c r="BY16" s="21"/>
      <c r="BZ16" s="21"/>
      <c r="CA16" s="21"/>
      <c r="CB16" s="21"/>
      <c r="CC16" s="21"/>
      <c r="CD16" s="21"/>
    </row>
    <row r="17" spans="37:82" x14ac:dyDescent="0.3">
      <c r="AK17" s="21"/>
      <c r="AL17" s="21"/>
      <c r="AM17" s="21"/>
      <c r="AN17" s="21"/>
      <c r="AO17" s="21"/>
      <c r="AP17" s="21"/>
      <c r="AX17" s="21"/>
      <c r="AY17" s="21"/>
      <c r="AZ17" s="21"/>
      <c r="BA17" s="21"/>
      <c r="BB17" s="21"/>
      <c r="BC17" s="21"/>
      <c r="BK17" s="21"/>
      <c r="BL17" s="21"/>
      <c r="BM17" s="21"/>
      <c r="BN17" s="21"/>
      <c r="BO17" s="21"/>
      <c r="BP17" s="21"/>
      <c r="BY17" s="21"/>
      <c r="BZ17" s="21"/>
      <c r="CA17" s="21"/>
      <c r="CB17" s="21"/>
      <c r="CC17" s="21"/>
      <c r="CD17" s="21"/>
    </row>
    <row r="18" spans="37:82" x14ac:dyDescent="0.3">
      <c r="AK18" s="21"/>
      <c r="AL18" s="21"/>
      <c r="AM18" s="21"/>
      <c r="AN18" s="21"/>
      <c r="AO18" s="21"/>
      <c r="AP18" s="21"/>
      <c r="AX18" s="21"/>
      <c r="AY18" s="21"/>
      <c r="AZ18" s="21"/>
      <c r="BA18" s="21"/>
      <c r="BB18" s="21"/>
      <c r="BC18" s="21"/>
      <c r="BK18" s="21"/>
      <c r="BL18" s="21"/>
      <c r="BM18" s="21"/>
      <c r="BN18" s="21"/>
      <c r="BO18" s="21"/>
      <c r="BP18" s="21"/>
      <c r="BY18" s="21"/>
      <c r="BZ18" s="21"/>
      <c r="CA18" s="21"/>
      <c r="CB18" s="21"/>
      <c r="CC18" s="21"/>
      <c r="CD18" s="21"/>
    </row>
    <row r="19" spans="37:82" x14ac:dyDescent="0.3">
      <c r="AK19" s="21"/>
      <c r="AL19" s="21"/>
      <c r="AM19" s="21"/>
      <c r="AN19" s="21"/>
      <c r="AO19" s="21"/>
      <c r="AP19" s="21"/>
      <c r="AX19" s="21"/>
      <c r="AY19" s="21"/>
      <c r="AZ19" s="21"/>
      <c r="BA19" s="21"/>
      <c r="BB19" s="21"/>
      <c r="BC19" s="21"/>
      <c r="BK19" s="21"/>
      <c r="BL19" s="21"/>
      <c r="BM19" s="21"/>
      <c r="BN19" s="21"/>
      <c r="BO19" s="21"/>
      <c r="BP19" s="21"/>
      <c r="BY19" s="21"/>
      <c r="BZ19" s="21"/>
      <c r="CA19" s="21"/>
      <c r="CB19" s="21"/>
      <c r="CC19" s="21"/>
      <c r="CD19" s="21"/>
    </row>
    <row r="20" spans="37:82" x14ac:dyDescent="0.3">
      <c r="AK20" s="21"/>
      <c r="AL20" s="21"/>
      <c r="AM20" s="21"/>
      <c r="AN20" s="21"/>
      <c r="AO20" s="21"/>
      <c r="AP20" s="21"/>
      <c r="AX20" s="21"/>
      <c r="AY20" s="21"/>
      <c r="AZ20" s="21"/>
      <c r="BA20" s="21"/>
      <c r="BB20" s="21"/>
      <c r="BC20" s="21"/>
      <c r="BK20" s="21"/>
      <c r="BL20" s="21"/>
      <c r="BM20" s="21"/>
      <c r="BN20" s="21"/>
      <c r="BO20" s="21"/>
      <c r="BP20" s="21"/>
      <c r="BY20" s="21"/>
      <c r="BZ20" s="21"/>
      <c r="CA20" s="21"/>
      <c r="CB20" s="21"/>
      <c r="CC20" s="21"/>
      <c r="CD20" s="21"/>
    </row>
    <row r="21" spans="37:82" x14ac:dyDescent="0.3">
      <c r="AK21" s="21"/>
      <c r="AL21" s="21"/>
      <c r="AM21" s="21"/>
      <c r="AN21" s="21"/>
      <c r="AO21" s="21"/>
      <c r="AP21" s="21"/>
      <c r="AX21" s="21"/>
      <c r="AY21" s="21"/>
      <c r="AZ21" s="21"/>
      <c r="BA21" s="21"/>
      <c r="BB21" s="21"/>
      <c r="BC21" s="21"/>
      <c r="BK21" s="21"/>
      <c r="BL21" s="21"/>
      <c r="BM21" s="21"/>
      <c r="BN21" s="21"/>
      <c r="BO21" s="21"/>
      <c r="BP21" s="21"/>
      <c r="BY21" s="21"/>
      <c r="BZ21" s="21"/>
      <c r="CA21" s="21"/>
      <c r="CB21" s="21"/>
      <c r="CC21" s="21"/>
      <c r="CD21" s="21"/>
    </row>
    <row r="22" spans="37:82" x14ac:dyDescent="0.3">
      <c r="AK22" s="21"/>
      <c r="AL22" s="21"/>
      <c r="AM22" s="21"/>
      <c r="AN22" s="21"/>
      <c r="AO22" s="21"/>
      <c r="AP22" s="21"/>
      <c r="AX22" s="21"/>
      <c r="AY22" s="21"/>
      <c r="AZ22" s="21"/>
      <c r="BA22" s="21"/>
      <c r="BB22" s="21"/>
      <c r="BC22" s="21"/>
      <c r="BK22" s="21"/>
      <c r="BL22" s="21"/>
      <c r="BM22" s="21"/>
      <c r="BN22" s="21"/>
      <c r="BO22" s="21"/>
      <c r="BP22" s="21"/>
      <c r="BY22" s="21"/>
      <c r="BZ22" s="21"/>
      <c r="CA22" s="21"/>
      <c r="CB22" s="21"/>
      <c r="CC22" s="21"/>
      <c r="CD22" s="21"/>
    </row>
    <row r="23" spans="37:82" x14ac:dyDescent="0.3">
      <c r="AK23" s="21"/>
      <c r="AL23" s="21"/>
      <c r="AM23" s="21"/>
      <c r="AN23" s="21"/>
      <c r="AO23" s="21"/>
      <c r="AP23" s="21"/>
      <c r="AX23" s="21"/>
      <c r="AY23" s="21"/>
      <c r="AZ23" s="21"/>
      <c r="BA23" s="21"/>
      <c r="BB23" s="21"/>
      <c r="BC23" s="21"/>
      <c r="BK23" s="21"/>
      <c r="BL23" s="21"/>
      <c r="BM23" s="21"/>
      <c r="BN23" s="21"/>
      <c r="BO23" s="21"/>
      <c r="BP23" s="21"/>
      <c r="BY23" s="21"/>
      <c r="BZ23" s="21"/>
      <c r="CA23" s="21"/>
      <c r="CB23" s="21"/>
      <c r="CC23" s="21"/>
      <c r="CD23" s="21"/>
    </row>
    <row r="24" spans="37:82" x14ac:dyDescent="0.3">
      <c r="AK24" s="21"/>
      <c r="AL24" s="21"/>
      <c r="AM24" s="21"/>
      <c r="AN24" s="21"/>
      <c r="AO24" s="21"/>
      <c r="AP24" s="21"/>
      <c r="AX24" s="21"/>
      <c r="AY24" s="21"/>
      <c r="AZ24" s="21"/>
      <c r="BA24" s="21"/>
      <c r="BB24" s="21"/>
      <c r="BC24" s="21"/>
      <c r="BK24" s="21"/>
      <c r="BL24" s="21"/>
      <c r="BM24" s="21"/>
      <c r="BN24" s="21"/>
      <c r="BO24" s="21"/>
      <c r="BP24" s="21"/>
      <c r="BY24" s="21"/>
      <c r="BZ24" s="21"/>
      <c r="CA24" s="21"/>
      <c r="CB24" s="21"/>
      <c r="CC24" s="21"/>
      <c r="CD24" s="21"/>
    </row>
    <row r="25" spans="37:82" x14ac:dyDescent="0.3">
      <c r="AK25" s="21"/>
      <c r="AL25" s="21"/>
      <c r="AM25" s="21"/>
      <c r="AN25" s="21"/>
      <c r="AO25" s="21"/>
      <c r="AP25" s="21"/>
      <c r="AX25" s="21"/>
      <c r="AY25" s="21"/>
      <c r="AZ25" s="21"/>
      <c r="BA25" s="21"/>
      <c r="BB25" s="21"/>
      <c r="BC25" s="21"/>
      <c r="BK25" s="21"/>
      <c r="BL25" s="21"/>
      <c r="BM25" s="21"/>
      <c r="BN25" s="21"/>
      <c r="BO25" s="21"/>
      <c r="BP25" s="21"/>
      <c r="BY25" s="21"/>
      <c r="BZ25" s="21"/>
      <c r="CA25" s="21"/>
      <c r="CB25" s="21"/>
      <c r="CC25" s="21"/>
      <c r="CD25" s="21"/>
    </row>
    <row r="26" spans="37:82" x14ac:dyDescent="0.3">
      <c r="AK26" s="21"/>
      <c r="AL26" s="21"/>
      <c r="AM26" s="21"/>
      <c r="AN26" s="21"/>
      <c r="AO26" s="21"/>
      <c r="AP26" s="21"/>
      <c r="AX26" s="21"/>
      <c r="AY26" s="21"/>
      <c r="AZ26" s="21"/>
      <c r="BA26" s="21"/>
      <c r="BB26" s="21"/>
      <c r="BC26" s="21"/>
      <c r="BK26" s="21"/>
      <c r="BL26" s="21"/>
      <c r="BM26" s="21"/>
      <c r="BN26" s="21"/>
      <c r="BO26" s="21"/>
      <c r="BP26" s="21"/>
      <c r="BY26" s="21"/>
      <c r="BZ26" s="21"/>
      <c r="CA26" s="21"/>
      <c r="CB26" s="21"/>
      <c r="CC26" s="21"/>
      <c r="CD26" s="21"/>
    </row>
    <row r="27" spans="37:82" x14ac:dyDescent="0.3">
      <c r="AK27" s="21"/>
      <c r="AL27" s="21"/>
      <c r="AM27" s="21"/>
      <c r="AN27" s="21"/>
      <c r="AO27" s="21"/>
      <c r="AP27" s="21"/>
      <c r="AX27" s="21"/>
      <c r="AY27" s="21"/>
      <c r="AZ27" s="21"/>
      <c r="BA27" s="21"/>
      <c r="BB27" s="21"/>
      <c r="BC27" s="21"/>
      <c r="BK27" s="21"/>
      <c r="BL27" s="21"/>
      <c r="BM27" s="21"/>
      <c r="BN27" s="21"/>
      <c r="BO27" s="21"/>
      <c r="BP27" s="21"/>
      <c r="BY27" s="21"/>
      <c r="BZ27" s="21"/>
      <c r="CA27" s="21"/>
      <c r="CB27" s="21"/>
      <c r="CC27" s="21"/>
      <c r="CD27" s="21"/>
    </row>
    <row r="28" spans="37:82" x14ac:dyDescent="0.3">
      <c r="BY28" s="21"/>
      <c r="BZ28" s="21"/>
      <c r="CA28" s="21"/>
      <c r="CB28" s="21"/>
      <c r="CC28" s="21"/>
      <c r="CD28" s="21"/>
    </row>
    <row r="31" spans="37:82" x14ac:dyDescent="0.3">
      <c r="AK31" s="21"/>
      <c r="AL31" s="21"/>
      <c r="AM31" s="21"/>
      <c r="AN31" s="21"/>
      <c r="AO31" s="21"/>
      <c r="AP31" s="21"/>
      <c r="AX31" s="21"/>
      <c r="AY31" s="21"/>
      <c r="AZ31" s="21"/>
      <c r="BA31" s="21"/>
      <c r="BB31" s="21"/>
      <c r="BC31" s="21"/>
      <c r="BK31" s="21"/>
      <c r="BL31" s="21"/>
      <c r="BM31" s="21"/>
      <c r="BN31" s="21"/>
      <c r="BO31" s="21"/>
      <c r="BP31" s="21"/>
      <c r="BY31" s="21"/>
      <c r="BZ31" s="21"/>
      <c r="CA31" s="21"/>
      <c r="CB31" s="21"/>
      <c r="CC31" s="21"/>
      <c r="CD31" s="21"/>
    </row>
    <row r="32" spans="37:82" x14ac:dyDescent="0.3">
      <c r="AK32" s="21"/>
      <c r="AL32" s="21"/>
      <c r="AM32" s="21"/>
      <c r="AN32" s="21"/>
      <c r="AO32" s="21"/>
      <c r="AP32" s="21"/>
      <c r="AX32" s="21"/>
      <c r="AY32" s="21"/>
      <c r="AZ32" s="21"/>
      <c r="BA32" s="21"/>
      <c r="BB32" s="21"/>
      <c r="BC32" s="21"/>
      <c r="BK32" s="21"/>
      <c r="BL32" s="21"/>
      <c r="BM32" s="21"/>
      <c r="BN32" s="21"/>
      <c r="BO32" s="21"/>
      <c r="BP32" s="21"/>
      <c r="BY32" s="21"/>
      <c r="BZ32" s="21"/>
      <c r="CA32" s="21"/>
      <c r="CB32" s="21"/>
      <c r="CC32" s="21"/>
      <c r="CD32" s="21"/>
    </row>
    <row r="33" spans="32:82" x14ac:dyDescent="0.3">
      <c r="AF33" s="18"/>
      <c r="AG33" s="18" t="s">
        <v>157</v>
      </c>
      <c r="AH33" s="30"/>
      <c r="AI33" s="24"/>
      <c r="AK33" s="21"/>
      <c r="AL33" s="21"/>
      <c r="AM33" s="21"/>
      <c r="AN33" s="21"/>
      <c r="AO33" s="21"/>
      <c r="AP33" s="21"/>
      <c r="AS33" s="18"/>
      <c r="AT33" s="18" t="s">
        <v>157</v>
      </c>
      <c r="AU33" s="17"/>
      <c r="AV33" s="18"/>
      <c r="AX33" s="21"/>
      <c r="AY33" s="21"/>
      <c r="AZ33" s="21"/>
      <c r="BA33" s="21"/>
      <c r="BB33" s="21"/>
      <c r="BC33" s="21"/>
      <c r="BF33" s="18"/>
      <c r="BG33" s="18" t="s">
        <v>182</v>
      </c>
      <c r="BH33" s="6"/>
      <c r="BI33" s="28"/>
      <c r="BK33" s="21"/>
      <c r="BL33" s="21"/>
      <c r="BM33" s="21"/>
      <c r="BN33" s="21"/>
      <c r="BO33" s="21"/>
      <c r="BP33" s="21"/>
      <c r="BS33" s="18"/>
      <c r="BT33" s="18" t="s">
        <v>155</v>
      </c>
      <c r="BU33" s="18"/>
      <c r="BV33" s="18"/>
      <c r="BY33" s="21"/>
      <c r="BZ33" s="21"/>
      <c r="CA33" s="21"/>
      <c r="CB33" s="21"/>
      <c r="CC33" s="21"/>
      <c r="CD33" s="21"/>
    </row>
    <row r="34" spans="32:82" x14ac:dyDescent="0.3">
      <c r="AF34" s="18"/>
      <c r="AG34" s="18" t="s">
        <v>55</v>
      </c>
      <c r="AH34" s="30"/>
      <c r="AI34" s="24"/>
      <c r="AK34" s="21"/>
      <c r="AL34" s="21"/>
      <c r="AM34" s="21"/>
      <c r="AN34" s="21"/>
      <c r="AO34" s="21"/>
      <c r="AP34" s="21"/>
      <c r="AS34" s="18"/>
      <c r="AT34" s="18" t="s">
        <v>156</v>
      </c>
      <c r="AU34" s="17"/>
      <c r="AV34" s="18"/>
      <c r="AX34" s="21"/>
      <c r="AY34" s="21"/>
      <c r="AZ34" s="21"/>
      <c r="BA34" s="21"/>
      <c r="BB34" s="21"/>
      <c r="BC34" s="21"/>
      <c r="BF34" s="18"/>
      <c r="BG34" s="18" t="s">
        <v>155</v>
      </c>
      <c r="BH34" s="6"/>
      <c r="BI34" s="28"/>
      <c r="BK34" s="21"/>
      <c r="BL34" s="21"/>
      <c r="BM34" s="21"/>
      <c r="BN34" s="21"/>
      <c r="BO34" s="21"/>
      <c r="BP34" s="21"/>
      <c r="BS34" s="18"/>
      <c r="BT34" s="18" t="s">
        <v>156</v>
      </c>
      <c r="BU34" s="18"/>
      <c r="BV34" s="18"/>
      <c r="BY34" s="21"/>
      <c r="BZ34" s="21"/>
      <c r="CA34" s="21"/>
      <c r="CB34" s="21"/>
      <c r="CC34" s="21"/>
      <c r="CD34" s="21"/>
    </row>
    <row r="35" spans="32:82" x14ac:dyDescent="0.3">
      <c r="AF35" s="18"/>
      <c r="AG35" s="18" t="s">
        <v>151</v>
      </c>
      <c r="AH35" s="30"/>
      <c r="AI35" s="24"/>
      <c r="AK35" s="21"/>
      <c r="AL35" s="21"/>
      <c r="AM35" s="21"/>
      <c r="AN35" s="21"/>
      <c r="AO35" s="21"/>
      <c r="AP35" s="21"/>
      <c r="AS35" s="18"/>
      <c r="AT35" s="18" t="s">
        <v>55</v>
      </c>
      <c r="AU35" s="17"/>
      <c r="AV35" s="18"/>
      <c r="AX35" s="21"/>
      <c r="AY35" s="21"/>
      <c r="AZ35" s="21"/>
      <c r="BA35" s="21"/>
      <c r="BB35" s="21"/>
      <c r="BC35" s="21"/>
      <c r="BF35" s="18"/>
      <c r="BG35" s="18" t="s">
        <v>156</v>
      </c>
      <c r="BH35" s="6"/>
      <c r="BI35" s="28"/>
      <c r="BK35" s="21"/>
      <c r="BL35" s="21"/>
      <c r="BM35" s="21"/>
      <c r="BN35" s="21"/>
      <c r="BO35" s="21"/>
      <c r="BP35" s="21"/>
      <c r="BS35" s="18"/>
      <c r="BT35" s="18" t="s">
        <v>55</v>
      </c>
      <c r="BU35" s="18"/>
      <c r="BV35" s="18"/>
      <c r="BY35" s="21"/>
      <c r="BZ35" s="21"/>
      <c r="CA35" s="21"/>
      <c r="CB35" s="21"/>
      <c r="CC35" s="21"/>
      <c r="CD35" s="21"/>
    </row>
    <row r="36" spans="32:82" x14ac:dyDescent="0.3">
      <c r="AK36" s="21"/>
      <c r="AL36" s="21"/>
      <c r="AM36" s="21"/>
      <c r="AN36" s="21"/>
      <c r="AO36" s="21"/>
      <c r="AP36" s="21"/>
      <c r="AS36" s="18"/>
      <c r="AT36" s="18" t="s">
        <v>151</v>
      </c>
      <c r="AU36" s="17"/>
      <c r="AV36" s="18"/>
      <c r="AX36" s="21"/>
      <c r="AY36" s="21"/>
      <c r="AZ36" s="21"/>
      <c r="BA36" s="21"/>
      <c r="BB36" s="21"/>
      <c r="BC36" s="21"/>
      <c r="BF36" s="18"/>
      <c r="BG36" s="18" t="s">
        <v>55</v>
      </c>
      <c r="BH36" s="6"/>
      <c r="BI36" s="28"/>
      <c r="BK36" s="21"/>
      <c r="BL36" s="21"/>
      <c r="BM36" s="21"/>
      <c r="BN36" s="21"/>
      <c r="BO36" s="21"/>
      <c r="BP36" s="21"/>
      <c r="BS36" s="18"/>
      <c r="BT36" s="18" t="s">
        <v>151</v>
      </c>
      <c r="BU36" s="18"/>
      <c r="BV36" s="18"/>
      <c r="BY36" s="21"/>
      <c r="BZ36" s="21"/>
      <c r="CA36" s="21"/>
      <c r="CB36" s="21"/>
      <c r="CC36" s="21"/>
      <c r="CD36" s="21"/>
    </row>
    <row r="37" spans="32:82" x14ac:dyDescent="0.3">
      <c r="AK37" s="21"/>
      <c r="AL37" s="21"/>
      <c r="AM37" s="21"/>
      <c r="AN37" s="21"/>
      <c r="AO37" s="21"/>
      <c r="AP37" s="21"/>
      <c r="AS37" s="18"/>
      <c r="AT37" s="18" t="s">
        <v>152</v>
      </c>
      <c r="AU37" s="17"/>
      <c r="AV37" s="18"/>
      <c r="AX37" s="21"/>
      <c r="AY37" s="21"/>
      <c r="AZ37" s="21"/>
      <c r="BA37" s="21"/>
      <c r="BB37" s="21"/>
      <c r="BC37" s="21"/>
      <c r="BF37" s="18"/>
      <c r="BG37" s="18" t="s">
        <v>151</v>
      </c>
      <c r="BH37" s="6"/>
      <c r="BI37" s="28"/>
      <c r="BK37" s="21"/>
      <c r="BL37" s="21"/>
      <c r="BM37" s="21"/>
      <c r="BN37" s="21"/>
      <c r="BO37" s="21"/>
      <c r="BP37" s="21"/>
      <c r="BS37" s="18"/>
      <c r="BT37" s="18" t="s">
        <v>152</v>
      </c>
      <c r="BU37" s="18"/>
      <c r="BV37" s="18"/>
      <c r="BY37" s="21"/>
      <c r="BZ37" s="21"/>
      <c r="CA37" s="21"/>
      <c r="CB37" s="21"/>
      <c r="CC37" s="21"/>
      <c r="CD37" s="21"/>
    </row>
    <row r="38" spans="32:82" x14ac:dyDescent="0.3">
      <c r="AK38" s="21"/>
      <c r="AL38" s="21"/>
      <c r="AM38" s="21"/>
      <c r="AN38" s="21"/>
      <c r="AO38" s="21"/>
      <c r="AP38" s="21"/>
      <c r="AU38" s="19"/>
      <c r="AX38" s="21"/>
      <c r="AY38" s="21"/>
      <c r="AZ38" s="21"/>
      <c r="BA38" s="21"/>
      <c r="BB38" s="21"/>
      <c r="BC38" s="21"/>
      <c r="BF38" s="18"/>
      <c r="BG38" s="18" t="s">
        <v>152</v>
      </c>
      <c r="BH38" s="6"/>
      <c r="BI38" s="28"/>
      <c r="BK38" s="21"/>
      <c r="BL38" s="21"/>
      <c r="BM38" s="21"/>
      <c r="BN38" s="21"/>
      <c r="BO38" s="21"/>
      <c r="BP38" s="21"/>
      <c r="BS38" s="18"/>
      <c r="BT38" s="18" t="s">
        <v>154</v>
      </c>
      <c r="BU38" s="18"/>
      <c r="BV38" s="18"/>
      <c r="BY38" s="21"/>
      <c r="BZ38" s="21"/>
      <c r="CA38" s="21"/>
      <c r="CB38" s="21"/>
      <c r="CC38" s="21"/>
      <c r="CD38" s="21"/>
    </row>
    <row r="39" spans="32:82" x14ac:dyDescent="0.3">
      <c r="AK39" s="21"/>
      <c r="AL39" s="21"/>
      <c r="AM39" s="21"/>
      <c r="AN39" s="21"/>
      <c r="AO39" s="21"/>
      <c r="AP39" s="21"/>
      <c r="AU39" s="19"/>
      <c r="AX39" s="21"/>
      <c r="AY39" s="21"/>
      <c r="AZ39" s="21"/>
      <c r="BA39" s="21"/>
      <c r="BB39" s="21"/>
      <c r="BC39" s="21"/>
      <c r="BF39" s="18"/>
      <c r="BG39" s="18" t="s">
        <v>154</v>
      </c>
      <c r="BH39" s="6"/>
      <c r="BI39" s="28"/>
      <c r="BK39" s="21"/>
      <c r="BL39" s="21"/>
      <c r="BM39" s="21"/>
      <c r="BN39" s="21"/>
      <c r="BO39" s="21"/>
      <c r="BP39" s="21"/>
      <c r="BY39" s="21"/>
      <c r="BZ39" s="21"/>
      <c r="CA39" s="21"/>
      <c r="CB39" s="21"/>
      <c r="CC39" s="21"/>
      <c r="CD39" s="21"/>
    </row>
    <row r="40" spans="32:82" x14ac:dyDescent="0.3">
      <c r="AK40" s="21"/>
      <c r="AL40" s="21"/>
      <c r="AM40" s="21"/>
      <c r="AN40" s="21"/>
      <c r="AO40" s="21"/>
      <c r="AP40" s="21"/>
      <c r="AX40" s="21"/>
      <c r="AY40" s="21"/>
      <c r="AZ40" s="21"/>
      <c r="BA40" s="21"/>
      <c r="BB40" s="21"/>
      <c r="BC40" s="21"/>
      <c r="BK40" s="21"/>
      <c r="BL40" s="21"/>
      <c r="BM40" s="21"/>
      <c r="BN40" s="21"/>
      <c r="BO40" s="21"/>
      <c r="BP40" s="21"/>
      <c r="BY40" s="21"/>
      <c r="BZ40" s="21"/>
      <c r="CA40" s="21"/>
      <c r="CB40" s="21"/>
      <c r="CC40" s="21"/>
      <c r="CD40" s="21"/>
    </row>
    <row r="41" spans="32:82" x14ac:dyDescent="0.3">
      <c r="AK41" s="21"/>
      <c r="AL41" s="21"/>
      <c r="AM41" s="21"/>
      <c r="AN41" s="21"/>
      <c r="AO41" s="21"/>
      <c r="AP41" s="21"/>
      <c r="AX41" s="21"/>
      <c r="AY41" s="21"/>
      <c r="AZ41" s="21"/>
      <c r="BA41" s="21"/>
      <c r="BB41" s="21"/>
      <c r="BC41" s="21"/>
      <c r="BK41" s="21"/>
      <c r="BL41" s="21"/>
      <c r="BM41" s="21"/>
      <c r="BN41" s="21"/>
      <c r="BO41" s="21"/>
      <c r="BP41" s="21"/>
      <c r="BY41" s="21"/>
      <c r="BZ41" s="21"/>
      <c r="CA41" s="21"/>
      <c r="CB41" s="21"/>
      <c r="CC41" s="21"/>
      <c r="CD41" s="21"/>
    </row>
    <row r="42" spans="32:82" x14ac:dyDescent="0.3">
      <c r="AK42" s="21"/>
      <c r="AL42" s="21"/>
      <c r="AM42" s="21"/>
      <c r="AN42" s="21"/>
      <c r="AO42" s="21"/>
      <c r="AP42" s="21"/>
      <c r="AX42" s="21"/>
      <c r="AY42" s="21"/>
      <c r="AZ42" s="21"/>
      <c r="BA42" s="21"/>
      <c r="BB42" s="21"/>
      <c r="BC42" s="21"/>
      <c r="BK42" s="21"/>
      <c r="BL42" s="21"/>
      <c r="BM42" s="21"/>
      <c r="BN42" s="21"/>
      <c r="BO42" s="21"/>
      <c r="BP42" s="21"/>
      <c r="BY42" s="21"/>
      <c r="BZ42" s="21"/>
      <c r="CA42" s="21"/>
      <c r="CB42" s="21"/>
      <c r="CC42" s="21"/>
      <c r="CD42" s="21"/>
    </row>
    <row r="43" spans="32:82" x14ac:dyDescent="0.3">
      <c r="AK43" s="21"/>
      <c r="AL43" s="21"/>
      <c r="AM43" s="21"/>
      <c r="AN43" s="21"/>
      <c r="AO43" s="21"/>
      <c r="AP43" s="21"/>
      <c r="AX43" s="21"/>
      <c r="AY43" s="21"/>
      <c r="AZ43" s="21"/>
      <c r="BA43" s="21"/>
      <c r="BB43" s="21"/>
      <c r="BC43" s="21"/>
      <c r="BK43" s="21"/>
      <c r="BL43" s="21"/>
      <c r="BM43" s="21"/>
      <c r="BN43" s="21"/>
      <c r="BO43" s="21"/>
      <c r="BP43" s="21"/>
      <c r="BY43" s="21"/>
      <c r="BZ43" s="21"/>
      <c r="CA43" s="21"/>
      <c r="CB43" s="21"/>
      <c r="CC43" s="21"/>
      <c r="CD43" s="21"/>
    </row>
    <row r="44" spans="32:82" x14ac:dyDescent="0.3">
      <c r="AK44" s="21"/>
      <c r="AL44" s="21"/>
      <c r="AM44" s="21"/>
      <c r="AN44" s="21"/>
      <c r="AO44" s="21"/>
      <c r="AP44" s="21"/>
      <c r="AX44" s="21"/>
      <c r="AY44" s="21"/>
      <c r="AZ44" s="21"/>
      <c r="BA44" s="21"/>
      <c r="BB44" s="21"/>
      <c r="BC44" s="21"/>
      <c r="BK44" s="21"/>
      <c r="BL44" s="21"/>
      <c r="BM44" s="21"/>
      <c r="BN44" s="21"/>
      <c r="BO44" s="21"/>
      <c r="BP44" s="21"/>
      <c r="BY44" s="21"/>
      <c r="BZ44" s="21"/>
      <c r="CA44" s="21"/>
      <c r="CB44" s="21"/>
      <c r="CC44" s="21"/>
      <c r="CD44" s="21"/>
    </row>
    <row r="45" spans="32:82" x14ac:dyDescent="0.3">
      <c r="AK45" s="21"/>
      <c r="AL45" s="21"/>
      <c r="AM45" s="21"/>
      <c r="AN45" s="21"/>
      <c r="AO45" s="21"/>
      <c r="AP45" s="21"/>
      <c r="AX45" s="21"/>
      <c r="AY45" s="21"/>
      <c r="AZ45" s="21"/>
      <c r="BA45" s="21"/>
      <c r="BB45" s="21"/>
      <c r="BC45" s="21"/>
      <c r="BK45" s="21"/>
      <c r="BL45" s="21"/>
      <c r="BM45" s="21"/>
      <c r="BN45" s="21"/>
      <c r="BO45" s="21"/>
      <c r="BP45" s="21"/>
      <c r="BY45" s="21"/>
      <c r="BZ45" s="21"/>
      <c r="CA45" s="21"/>
      <c r="CB45" s="21"/>
      <c r="CC45" s="21"/>
      <c r="CD45" s="21"/>
    </row>
    <row r="46" spans="32:82" x14ac:dyDescent="0.3">
      <c r="AK46" s="21"/>
      <c r="AL46" s="21"/>
      <c r="AM46" s="21"/>
      <c r="AN46" s="21"/>
      <c r="AO46" s="21"/>
      <c r="AP46" s="21"/>
      <c r="AX46" s="21"/>
      <c r="AY46" s="21"/>
      <c r="AZ46" s="21"/>
      <c r="BA46" s="21"/>
      <c r="BB46" s="21"/>
      <c r="BC46" s="21"/>
      <c r="BK46" s="21"/>
      <c r="BL46" s="21"/>
      <c r="BM46" s="21"/>
      <c r="BN46" s="21"/>
      <c r="BO46" s="21"/>
      <c r="BP46" s="21"/>
      <c r="BY46" s="21"/>
      <c r="BZ46" s="21"/>
      <c r="CA46" s="21"/>
      <c r="CB46" s="21"/>
      <c r="CC46" s="21"/>
      <c r="CD46" s="21"/>
    </row>
    <row r="47" spans="32:82" x14ac:dyDescent="0.3">
      <c r="AK47" s="21"/>
      <c r="AL47" s="21"/>
      <c r="AM47" s="21"/>
      <c r="AN47" s="21"/>
      <c r="AO47" s="21"/>
      <c r="AP47" s="21"/>
      <c r="AX47" s="21"/>
      <c r="AY47" s="21"/>
      <c r="AZ47" s="21"/>
      <c r="BA47" s="21"/>
      <c r="BB47" s="21"/>
      <c r="BC47" s="21"/>
      <c r="BK47" s="21"/>
      <c r="BL47" s="21"/>
      <c r="BM47" s="21"/>
      <c r="BN47" s="21"/>
      <c r="BO47" s="21"/>
      <c r="BP47" s="21"/>
      <c r="BY47" s="21"/>
      <c r="BZ47" s="21"/>
      <c r="CA47" s="21"/>
      <c r="CB47" s="21"/>
      <c r="CC47" s="21"/>
      <c r="CD47" s="21"/>
    </row>
    <row r="48" spans="32:82" x14ac:dyDescent="0.3">
      <c r="AK48" s="21"/>
      <c r="AL48" s="21"/>
      <c r="AM48" s="21"/>
      <c r="AN48" s="21"/>
      <c r="AO48" s="21"/>
      <c r="AP48" s="21"/>
      <c r="AX48" s="21"/>
      <c r="AY48" s="21"/>
      <c r="AZ48" s="21"/>
      <c r="BA48" s="21"/>
      <c r="BB48" s="21"/>
      <c r="BC48" s="21"/>
      <c r="BK48" s="21"/>
      <c r="BL48" s="21"/>
      <c r="BM48" s="21"/>
      <c r="BN48" s="21"/>
      <c r="BO48" s="21"/>
      <c r="BP48" s="21"/>
      <c r="BY48" s="21"/>
      <c r="BZ48" s="21"/>
      <c r="CA48" s="21"/>
      <c r="CB48" s="21"/>
      <c r="CC48" s="21"/>
      <c r="CD48" s="21"/>
    </row>
    <row r="49" spans="32:82" x14ac:dyDescent="0.3">
      <c r="AK49" s="21"/>
      <c r="AL49" s="21"/>
      <c r="AM49" s="21"/>
      <c r="AN49" s="21"/>
      <c r="AO49" s="21"/>
      <c r="AP49" s="21"/>
      <c r="AX49" s="21"/>
      <c r="AY49" s="21"/>
      <c r="AZ49" s="21"/>
      <c r="BA49" s="21"/>
      <c r="BB49" s="21"/>
      <c r="BC49" s="21"/>
      <c r="BK49" s="21"/>
      <c r="BL49" s="21"/>
      <c r="BM49" s="21"/>
      <c r="BN49" s="21"/>
      <c r="BO49" s="21"/>
      <c r="BP49" s="21"/>
      <c r="BY49" s="21"/>
      <c r="BZ49" s="21"/>
      <c r="CA49" s="21"/>
      <c r="CB49" s="21"/>
      <c r="CC49" s="21"/>
      <c r="CD49" s="21"/>
    </row>
    <row r="50" spans="32:82" x14ac:dyDescent="0.3">
      <c r="AK50" s="21"/>
      <c r="AL50" s="21"/>
      <c r="AM50" s="21"/>
      <c r="AN50" s="21"/>
      <c r="AO50" s="21"/>
      <c r="AP50" s="21"/>
      <c r="AX50" s="21"/>
      <c r="AY50" s="21"/>
      <c r="AZ50" s="21"/>
      <c r="BA50" s="21"/>
      <c r="BB50" s="21"/>
      <c r="BC50" s="21"/>
      <c r="BK50" s="21"/>
      <c r="BL50" s="21"/>
      <c r="BM50" s="21"/>
      <c r="BN50" s="21"/>
      <c r="BO50" s="21"/>
      <c r="BP50" s="21"/>
      <c r="BY50" s="21"/>
      <c r="BZ50" s="21"/>
      <c r="CA50" s="21"/>
      <c r="CB50" s="21"/>
      <c r="CC50" s="21"/>
      <c r="CD50" s="21"/>
    </row>
    <row r="51" spans="32:82" x14ac:dyDescent="0.3">
      <c r="AK51" s="21"/>
      <c r="AL51" s="21"/>
      <c r="AM51" s="21"/>
      <c r="AN51" s="21"/>
      <c r="AO51" s="21"/>
      <c r="AP51" s="21"/>
      <c r="AX51" s="21"/>
      <c r="AY51" s="21"/>
      <c r="AZ51" s="21"/>
      <c r="BA51" s="21"/>
      <c r="BB51" s="21"/>
      <c r="BC51" s="21"/>
      <c r="BK51" s="21"/>
      <c r="BL51" s="21"/>
      <c r="BM51" s="21"/>
      <c r="BN51" s="21"/>
      <c r="BO51" s="21"/>
      <c r="BP51" s="21"/>
      <c r="BY51" s="21"/>
      <c r="BZ51" s="21"/>
      <c r="CA51" s="21"/>
      <c r="CB51" s="21"/>
      <c r="CC51" s="21"/>
      <c r="CD51" s="21"/>
    </row>
    <row r="52" spans="32:82" x14ac:dyDescent="0.3">
      <c r="AK52" s="21"/>
      <c r="AL52" s="21"/>
      <c r="AM52" s="21"/>
      <c r="AN52" s="21"/>
      <c r="AO52" s="21"/>
      <c r="AP52" s="21"/>
      <c r="AX52" s="21"/>
      <c r="AY52" s="21"/>
      <c r="AZ52" s="21"/>
      <c r="BA52" s="21"/>
      <c r="BB52" s="21"/>
      <c r="BC52" s="21"/>
      <c r="BK52" s="21"/>
      <c r="BL52" s="21"/>
      <c r="BM52" s="21"/>
      <c r="BN52" s="21"/>
      <c r="BO52" s="21"/>
      <c r="BP52" s="21"/>
      <c r="BY52" s="21"/>
      <c r="BZ52" s="21"/>
      <c r="CA52" s="21"/>
      <c r="CB52" s="21"/>
      <c r="CC52" s="21"/>
      <c r="CD52" s="21"/>
    </row>
    <row r="56" spans="32:82" x14ac:dyDescent="0.3">
      <c r="AK56" s="21"/>
      <c r="AL56" s="21"/>
      <c r="AM56" s="21"/>
      <c r="AN56" s="21"/>
      <c r="AO56" s="21"/>
      <c r="AP56" s="21"/>
      <c r="AX56" s="21"/>
      <c r="AY56" s="21"/>
      <c r="AZ56" s="21"/>
      <c r="BA56" s="21"/>
      <c r="BB56" s="21"/>
      <c r="BC56" s="21"/>
      <c r="BK56" s="21"/>
      <c r="BL56" s="21"/>
      <c r="BM56" s="21"/>
      <c r="BN56" s="21"/>
      <c r="BO56" s="21"/>
      <c r="BP56" s="21"/>
    </row>
    <row r="57" spans="32:82" x14ac:dyDescent="0.3">
      <c r="AK57" s="21"/>
      <c r="AL57" s="21"/>
      <c r="AM57" s="21"/>
      <c r="AN57" s="21"/>
      <c r="AO57" s="21"/>
      <c r="AP57" s="21"/>
      <c r="AX57" s="21"/>
      <c r="AY57" s="21"/>
      <c r="AZ57" s="21"/>
      <c r="BA57" s="21"/>
      <c r="BB57" s="21"/>
      <c r="BC57" s="21"/>
      <c r="BK57" s="21"/>
      <c r="BL57" s="21"/>
      <c r="BM57" s="21"/>
      <c r="BN57" s="21"/>
      <c r="BO57" s="21"/>
      <c r="BP57" s="21"/>
    </row>
    <row r="58" spans="32:82" x14ac:dyDescent="0.3">
      <c r="AF58" s="18"/>
      <c r="AG58" s="18" t="s">
        <v>157</v>
      </c>
      <c r="AH58" s="30"/>
      <c r="AI58" s="24"/>
      <c r="AK58" s="21"/>
      <c r="AL58" s="21"/>
      <c r="AM58" s="21"/>
      <c r="AN58" s="21"/>
      <c r="AO58" s="21"/>
      <c r="AP58" s="21"/>
      <c r="AS58" s="18"/>
      <c r="AT58" s="18" t="s">
        <v>182</v>
      </c>
      <c r="AU58" s="17"/>
      <c r="AV58" s="18"/>
      <c r="AX58" s="21"/>
      <c r="AY58" s="21"/>
      <c r="AZ58" s="21"/>
      <c r="BA58" s="21"/>
      <c r="BB58" s="21"/>
      <c r="BC58" s="21"/>
      <c r="BF58" s="18"/>
      <c r="BG58" s="18" t="s">
        <v>155</v>
      </c>
      <c r="BH58" s="6">
        <f>D7</f>
        <v>7.608592857142856</v>
      </c>
      <c r="BI58" s="28" t="s">
        <v>53</v>
      </c>
      <c r="BK58" s="21"/>
      <c r="BL58" s="21"/>
      <c r="BM58" s="21"/>
      <c r="BN58" s="21"/>
      <c r="BO58" s="21"/>
      <c r="BP58" s="21"/>
    </row>
    <row r="59" spans="32:82" x14ac:dyDescent="0.3">
      <c r="AF59" s="18"/>
      <c r="AG59" s="18" t="s">
        <v>156</v>
      </c>
      <c r="AH59" s="30"/>
      <c r="AI59" s="24"/>
      <c r="AK59" s="21"/>
      <c r="AL59" s="21"/>
      <c r="AM59" s="21"/>
      <c r="AN59" s="21"/>
      <c r="AO59" s="21"/>
      <c r="AP59" s="21"/>
      <c r="AS59" s="18"/>
      <c r="AT59" s="18" t="s">
        <v>155</v>
      </c>
      <c r="AU59" s="17"/>
      <c r="AV59" s="18"/>
      <c r="AX59" s="21"/>
      <c r="AY59" s="21"/>
      <c r="AZ59" s="21"/>
      <c r="BA59" s="21"/>
      <c r="BB59" s="21"/>
      <c r="BC59" s="21"/>
      <c r="BF59" s="18"/>
      <c r="BG59" s="18" t="s">
        <v>156</v>
      </c>
      <c r="BH59" s="6">
        <f>D8</f>
        <v>2.9</v>
      </c>
      <c r="BI59" s="28" t="s">
        <v>53</v>
      </c>
      <c r="BK59" s="21"/>
      <c r="BL59" s="21"/>
      <c r="BM59" s="21"/>
      <c r="BN59" s="21"/>
      <c r="BO59" s="21"/>
      <c r="BP59" s="21"/>
    </row>
    <row r="60" spans="32:82" x14ac:dyDescent="0.3">
      <c r="AF60" s="18"/>
      <c r="AG60" s="18" t="s">
        <v>153</v>
      </c>
      <c r="AH60" s="30"/>
      <c r="AI60" s="24"/>
      <c r="AK60" s="21"/>
      <c r="AL60" s="21"/>
      <c r="AM60" s="21"/>
      <c r="AN60" s="21"/>
      <c r="AO60" s="21"/>
      <c r="AP60" s="21"/>
      <c r="AS60" s="18"/>
      <c r="AT60" s="18" t="s">
        <v>156</v>
      </c>
      <c r="AU60" s="17"/>
      <c r="AV60" s="18"/>
      <c r="AX60" s="21"/>
      <c r="AY60" s="21"/>
      <c r="AZ60" s="21"/>
      <c r="BA60" s="21"/>
      <c r="BB60" s="21"/>
      <c r="BC60" s="21"/>
      <c r="BF60" s="18"/>
      <c r="BG60" s="18" t="s">
        <v>55</v>
      </c>
      <c r="BH60" s="6">
        <f>0.4*D7</f>
        <v>3.0434371428571425</v>
      </c>
      <c r="BI60" s="28" t="s">
        <v>53</v>
      </c>
      <c r="BK60" s="21"/>
      <c r="BL60" s="21"/>
      <c r="BM60" s="21"/>
      <c r="BN60" s="21"/>
      <c r="BO60" s="21"/>
      <c r="BP60" s="21"/>
    </row>
    <row r="61" spans="32:82" x14ac:dyDescent="0.3">
      <c r="AF61" s="18"/>
      <c r="AG61" s="18" t="s">
        <v>55</v>
      </c>
      <c r="AH61" s="30"/>
      <c r="AI61" s="24"/>
      <c r="AK61" s="21"/>
      <c r="AL61" s="21"/>
      <c r="AM61" s="21"/>
      <c r="AN61" s="21"/>
      <c r="AO61" s="21"/>
      <c r="AP61" s="21"/>
      <c r="AS61" s="18"/>
      <c r="AT61" s="18" t="s">
        <v>55</v>
      </c>
      <c r="AU61" s="17"/>
      <c r="AV61" s="18"/>
      <c r="AX61" s="21"/>
      <c r="AY61" s="21"/>
      <c r="AZ61" s="21"/>
      <c r="BA61" s="21"/>
      <c r="BB61" s="21"/>
      <c r="BC61" s="21"/>
      <c r="BF61" s="18"/>
      <c r="BG61" s="18" t="s">
        <v>151</v>
      </c>
      <c r="BH61" s="6">
        <f>0.16*D7</f>
        <v>1.2173748571428571</v>
      </c>
      <c r="BI61" s="28" t="s">
        <v>53</v>
      </c>
      <c r="BK61" s="21"/>
      <c r="BL61" s="21"/>
      <c r="BM61" s="21"/>
      <c r="BN61" s="21"/>
      <c r="BO61" s="21"/>
      <c r="BP61" s="21"/>
    </row>
    <row r="62" spans="32:82" x14ac:dyDescent="0.3">
      <c r="AF62" s="18"/>
      <c r="AG62" s="18" t="s">
        <v>151</v>
      </c>
      <c r="AH62" s="30"/>
      <c r="AI62" s="24"/>
      <c r="AK62" s="21"/>
      <c r="AL62" s="21"/>
      <c r="AM62" s="21"/>
      <c r="AN62" s="21"/>
      <c r="AO62" s="21"/>
      <c r="AP62" s="21"/>
      <c r="AS62" s="18"/>
      <c r="AT62" s="18" t="s">
        <v>151</v>
      </c>
      <c r="AU62" s="17"/>
      <c r="AV62" s="18"/>
      <c r="AX62" s="21"/>
      <c r="AY62" s="21"/>
      <c r="AZ62" s="21"/>
      <c r="BA62" s="21"/>
      <c r="BB62" s="21"/>
      <c r="BC62" s="21"/>
      <c r="BF62" s="18"/>
      <c r="BG62" s="18" t="s">
        <v>152</v>
      </c>
      <c r="BH62" s="6">
        <f>2.2*D7</f>
        <v>16.738904285714284</v>
      </c>
      <c r="BI62" s="28" t="s">
        <v>53</v>
      </c>
      <c r="BK62" s="21"/>
      <c r="BL62" s="21"/>
      <c r="BM62" s="21"/>
      <c r="BN62" s="21"/>
      <c r="BO62" s="21"/>
      <c r="BP62" s="21"/>
    </row>
    <row r="63" spans="32:82" x14ac:dyDescent="0.3">
      <c r="AF63" s="18"/>
      <c r="AG63" s="18" t="s">
        <v>152</v>
      </c>
      <c r="AH63" s="30"/>
      <c r="AI63" s="24"/>
      <c r="AK63" s="21"/>
      <c r="AL63" s="21"/>
      <c r="AM63" s="21"/>
      <c r="AN63" s="21"/>
      <c r="AO63" s="21"/>
      <c r="AP63" s="21"/>
      <c r="AS63" s="18"/>
      <c r="AT63" s="18" t="s">
        <v>152</v>
      </c>
      <c r="AU63" s="17"/>
      <c r="AV63" s="18"/>
      <c r="AX63" s="21"/>
      <c r="AY63" s="21"/>
      <c r="AZ63" s="21"/>
      <c r="BA63" s="21"/>
      <c r="BB63" s="21"/>
      <c r="BC63" s="21"/>
      <c r="BF63" s="18"/>
      <c r="BG63" s="18" t="s">
        <v>154</v>
      </c>
      <c r="BH63" s="6">
        <f>0.12*D7</f>
        <v>0.91303114285714271</v>
      </c>
      <c r="BI63" s="28" t="s">
        <v>53</v>
      </c>
      <c r="BK63" s="21"/>
      <c r="BL63" s="21"/>
      <c r="BM63" s="21"/>
      <c r="BN63" s="21"/>
      <c r="BO63" s="21"/>
      <c r="BP63" s="21"/>
    </row>
    <row r="64" spans="32:82" x14ac:dyDescent="0.3">
      <c r="AK64" s="21"/>
      <c r="AL64" s="21"/>
      <c r="AM64" s="21"/>
      <c r="AN64" s="21"/>
      <c r="AO64" s="21"/>
      <c r="AP64" s="21"/>
      <c r="AS64" s="18"/>
      <c r="AT64" s="18" t="s">
        <v>154</v>
      </c>
      <c r="AU64" s="17"/>
      <c r="AV64" s="18"/>
      <c r="AX64" s="21"/>
      <c r="AY64" s="21"/>
      <c r="AZ64" s="21"/>
      <c r="BA64" s="21"/>
      <c r="BB64" s="21"/>
      <c r="BC64" s="21"/>
      <c r="BK64" s="21"/>
      <c r="BL64" s="21"/>
      <c r="BM64" s="21"/>
      <c r="BN64" s="21"/>
      <c r="BO64" s="21"/>
      <c r="BP64" s="21"/>
    </row>
    <row r="65" spans="2:68" x14ac:dyDescent="0.3">
      <c r="AK65" s="21"/>
      <c r="AL65" s="21"/>
      <c r="AM65" s="21"/>
      <c r="AN65" s="21"/>
      <c r="AO65" s="21"/>
      <c r="AP65" s="21"/>
      <c r="AX65" s="21"/>
      <c r="AY65" s="21"/>
      <c r="AZ65" s="21"/>
      <c r="BA65" s="21"/>
      <c r="BB65" s="21"/>
      <c r="BC65" s="21"/>
      <c r="BK65" s="21"/>
      <c r="BL65" s="21"/>
      <c r="BM65" s="21"/>
      <c r="BN65" s="21"/>
      <c r="BO65" s="21"/>
      <c r="BP65" s="21"/>
    </row>
    <row r="66" spans="2:68" x14ac:dyDescent="0.3">
      <c r="AK66" s="21"/>
      <c r="AL66" s="21"/>
      <c r="AM66" s="21"/>
      <c r="AN66" s="21"/>
      <c r="AO66" s="21"/>
      <c r="AP66" s="21"/>
      <c r="AX66" s="21"/>
      <c r="AY66" s="21"/>
      <c r="AZ66" s="21"/>
      <c r="BA66" s="21"/>
      <c r="BB66" s="21"/>
      <c r="BC66" s="21"/>
      <c r="BK66" s="21"/>
      <c r="BL66" s="21"/>
      <c r="BM66" s="21"/>
      <c r="BN66" s="21"/>
      <c r="BO66" s="21"/>
      <c r="BP66" s="21"/>
    </row>
    <row r="67" spans="2:68" x14ac:dyDescent="0.3">
      <c r="AK67" s="21"/>
      <c r="AL67" s="21"/>
      <c r="AM67" s="21"/>
      <c r="AN67" s="21"/>
      <c r="AO67" s="21"/>
      <c r="AP67" s="21"/>
      <c r="AX67" s="21"/>
      <c r="AY67" s="21"/>
      <c r="AZ67" s="21"/>
      <c r="BA67" s="21"/>
      <c r="BB67" s="21"/>
      <c r="BC67" s="21"/>
      <c r="BK67" s="21"/>
      <c r="BL67" s="21"/>
      <c r="BM67" s="21"/>
      <c r="BN67" s="21"/>
      <c r="BO67" s="21"/>
      <c r="BP67" s="21"/>
    </row>
    <row r="68" spans="2:68" x14ac:dyDescent="0.3">
      <c r="AK68" s="21"/>
      <c r="AL68" s="21"/>
      <c r="AM68" s="21"/>
      <c r="AN68" s="21"/>
      <c r="AO68" s="21"/>
      <c r="AP68" s="21"/>
      <c r="AX68" s="21"/>
      <c r="AY68" s="21"/>
      <c r="AZ68" s="21"/>
      <c r="BA68" s="21"/>
      <c r="BB68" s="21"/>
      <c r="BC68" s="21"/>
      <c r="BK68" s="21"/>
      <c r="BL68" s="21"/>
      <c r="BM68" s="21"/>
      <c r="BN68" s="21"/>
      <c r="BO68" s="21"/>
      <c r="BP68" s="21"/>
    </row>
    <row r="69" spans="2:68" x14ac:dyDescent="0.3">
      <c r="AK69" s="21"/>
      <c r="AL69" s="21"/>
      <c r="AM69" s="21"/>
      <c r="AN69" s="21"/>
      <c r="AO69" s="21"/>
      <c r="AP69" s="21"/>
      <c r="AX69" s="21"/>
      <c r="AY69" s="21"/>
      <c r="AZ69" s="21"/>
      <c r="BA69" s="21"/>
      <c r="BB69" s="21"/>
      <c r="BC69" s="21"/>
      <c r="BK69" s="21"/>
      <c r="BL69" s="21"/>
      <c r="BM69" s="21"/>
      <c r="BN69" s="21"/>
      <c r="BO69" s="21"/>
      <c r="BP69" s="21"/>
    </row>
    <row r="70" spans="2:68" x14ac:dyDescent="0.3">
      <c r="AK70" s="21"/>
      <c r="AL70" s="21"/>
      <c r="AM70" s="21"/>
      <c r="AN70" s="21"/>
      <c r="AO70" s="21"/>
      <c r="AP70" s="21"/>
      <c r="AX70" s="21"/>
      <c r="AY70" s="21"/>
      <c r="AZ70" s="21"/>
      <c r="BA70" s="21"/>
      <c r="BB70" s="21"/>
      <c r="BC70" s="21"/>
      <c r="BK70" s="21"/>
      <c r="BL70" s="21"/>
      <c r="BM70" s="21"/>
      <c r="BN70" s="21"/>
      <c r="BO70" s="21"/>
      <c r="BP70" s="21"/>
    </row>
    <row r="71" spans="2:68" x14ac:dyDescent="0.3">
      <c r="AK71" s="21"/>
      <c r="AL71" s="21"/>
      <c r="AM71" s="21"/>
      <c r="AN71" s="21"/>
      <c r="AO71" s="21"/>
      <c r="AP71" s="21"/>
      <c r="AX71" s="21"/>
      <c r="AY71" s="21"/>
      <c r="AZ71" s="21"/>
      <c r="BA71" s="21"/>
      <c r="BB71" s="21"/>
      <c r="BC71" s="21"/>
      <c r="BK71" s="21"/>
      <c r="BL71" s="21"/>
      <c r="BM71" s="21"/>
      <c r="BN71" s="21"/>
      <c r="BO71" s="21"/>
      <c r="BP71" s="21"/>
    </row>
    <row r="72" spans="2:68" x14ac:dyDescent="0.3">
      <c r="AK72" s="21"/>
      <c r="AL72" s="21"/>
      <c r="AM72" s="21"/>
      <c r="AN72" s="21"/>
      <c r="AO72" s="21"/>
      <c r="AP72" s="21"/>
      <c r="AX72" s="21"/>
      <c r="AY72" s="21"/>
      <c r="AZ72" s="21"/>
      <c r="BA72" s="21"/>
      <c r="BB72" s="21"/>
      <c r="BC72" s="21"/>
      <c r="BK72" s="21"/>
      <c r="BL72" s="21"/>
      <c r="BM72" s="21"/>
      <c r="BN72" s="21"/>
      <c r="BO72" s="21"/>
      <c r="BP72" s="21"/>
    </row>
    <row r="73" spans="2:68" x14ac:dyDescent="0.3">
      <c r="AK73" s="21"/>
      <c r="AL73" s="21"/>
      <c r="AM73" s="21"/>
      <c r="AN73" s="21"/>
      <c r="AO73" s="21"/>
      <c r="AP73" s="21"/>
      <c r="AX73" s="21"/>
      <c r="AY73" s="21"/>
      <c r="AZ73" s="21"/>
      <c r="BA73" s="21"/>
      <c r="BB73" s="21"/>
      <c r="BC73" s="21"/>
      <c r="BK73" s="21"/>
      <c r="BL73" s="21"/>
      <c r="BM73" s="21"/>
      <c r="BN73" s="21"/>
      <c r="BO73" s="21"/>
      <c r="BP73" s="21"/>
    </row>
    <row r="74" spans="2:68" x14ac:dyDescent="0.3">
      <c r="AK74" s="21"/>
      <c r="AL74" s="21"/>
      <c r="AM74" s="21"/>
      <c r="AN74" s="21"/>
      <c r="AO74" s="21"/>
      <c r="AP74" s="21"/>
      <c r="AX74" s="21"/>
      <c r="AY74" s="21"/>
      <c r="AZ74" s="21"/>
      <c r="BA74" s="21"/>
      <c r="BB74" s="21"/>
      <c r="BC74" s="21"/>
      <c r="BK74" s="21"/>
      <c r="BL74" s="21"/>
      <c r="BM74" s="21"/>
      <c r="BN74" s="21"/>
      <c r="BO74" s="21"/>
      <c r="BP74" s="21"/>
    </row>
    <row r="75" spans="2:68" x14ac:dyDescent="0.3">
      <c r="AK75" s="21"/>
      <c r="AL75" s="21"/>
      <c r="AM75" s="21"/>
      <c r="AN75" s="21"/>
      <c r="AO75" s="21"/>
      <c r="AP75" s="21"/>
      <c r="AX75" s="21"/>
      <c r="AY75" s="21"/>
      <c r="AZ75" s="21"/>
      <c r="BA75" s="21"/>
      <c r="BB75" s="21"/>
      <c r="BC75" s="21"/>
      <c r="BK75" s="21"/>
      <c r="BL75" s="21"/>
      <c r="BM75" s="21"/>
      <c r="BN75" s="21"/>
      <c r="BO75" s="21"/>
      <c r="BP75" s="21"/>
    </row>
    <row r="76" spans="2:68" x14ac:dyDescent="0.3">
      <c r="B76" s="18"/>
      <c r="C76" s="18" t="s">
        <v>188</v>
      </c>
      <c r="D76" s="30">
        <f>'Вывод расчетов (1-11)'!MD100</f>
        <v>0.625</v>
      </c>
      <c r="E76" s="24"/>
      <c r="AK76" s="21"/>
      <c r="AL76" s="21"/>
      <c r="AM76" s="21"/>
      <c r="AN76" s="21"/>
      <c r="AO76" s="21"/>
      <c r="AP76" s="21"/>
      <c r="AX76" s="21"/>
      <c r="AY76" s="21"/>
      <c r="AZ76" s="21"/>
      <c r="BA76" s="21"/>
      <c r="BB76" s="21"/>
      <c r="BC76" s="21"/>
      <c r="BK76" s="21"/>
      <c r="BL76" s="21"/>
      <c r="BM76" s="21"/>
      <c r="BN76" s="21"/>
      <c r="BO76" s="21"/>
      <c r="BP76" s="21"/>
    </row>
    <row r="77" spans="2:68" x14ac:dyDescent="0.3">
      <c r="B77" s="18"/>
      <c r="C77" s="18" t="s">
        <v>183</v>
      </c>
      <c r="D77" s="30"/>
      <c r="E77" s="24"/>
      <c r="AK77" s="21"/>
      <c r="AL77" s="21"/>
      <c r="AM77" s="21"/>
      <c r="AN77" s="21"/>
      <c r="AO77" s="21"/>
      <c r="AP77" s="21"/>
      <c r="AX77" s="21"/>
      <c r="AY77" s="21"/>
      <c r="AZ77" s="21"/>
      <c r="BA77" s="21"/>
      <c r="BB77" s="21"/>
      <c r="BC77" s="21"/>
      <c r="BK77" s="21"/>
      <c r="BL77" s="21"/>
      <c r="BM77" s="21"/>
      <c r="BN77" s="21"/>
      <c r="BO77" s="21"/>
      <c r="BP77" s="21"/>
    </row>
    <row r="78" spans="2:68" x14ac:dyDescent="0.3">
      <c r="B78" s="18"/>
      <c r="C78" s="18" t="s">
        <v>183</v>
      </c>
      <c r="D78" s="30"/>
      <c r="E78" s="24"/>
    </row>
    <row r="79" spans="2:68" x14ac:dyDescent="0.3">
      <c r="B79" s="18"/>
      <c r="C79" s="18" t="s">
        <v>184</v>
      </c>
      <c r="D79" s="30"/>
      <c r="E79" s="24"/>
    </row>
    <row r="80" spans="2:68" x14ac:dyDescent="0.3">
      <c r="B80" s="18"/>
      <c r="C80" s="18" t="s">
        <v>185</v>
      </c>
      <c r="D80" s="30"/>
      <c r="E80" s="24"/>
    </row>
    <row r="81" spans="2:5" x14ac:dyDescent="0.3">
      <c r="B81" s="18"/>
      <c r="C81" s="18" t="s">
        <v>186</v>
      </c>
      <c r="D81" s="30"/>
      <c r="E81" s="24"/>
    </row>
    <row r="82" spans="2:5" x14ac:dyDescent="0.3">
      <c r="B82" s="18"/>
      <c r="C82" s="18" t="s">
        <v>187</v>
      </c>
      <c r="D82" s="30">
        <f>(BH62/(3*BH58))*(D76)+(BH61/BH58+3*BH60/(BH58+2*BH59)+BH63/BH59)*D76</f>
        <v>1.1806884570320482</v>
      </c>
      <c r="E82" s="24"/>
    </row>
    <row r="83" spans="2:5" x14ac:dyDescent="0.3">
      <c r="C83" s="23"/>
      <c r="D83" s="33"/>
    </row>
    <row r="110" spans="3:5" x14ac:dyDescent="0.3">
      <c r="C110" s="18" t="s">
        <v>169</v>
      </c>
      <c r="D110" s="30"/>
      <c r="E110" s="24"/>
    </row>
    <row r="111" spans="3:5" x14ac:dyDescent="0.3">
      <c r="C111" s="39" t="s">
        <v>170</v>
      </c>
      <c r="D111" s="40">
        <f>'Вывод расчетов (1-11)'!GK80</f>
        <v>7.5576844150406659</v>
      </c>
      <c r="E111" s="24"/>
    </row>
    <row r="112" spans="3:5" x14ac:dyDescent="0.3">
      <c r="C112" s="39" t="s">
        <v>171</v>
      </c>
      <c r="D112" s="40">
        <f>'Вывод расчетов (1-11)'!GK88</f>
        <v>5.1392254022276536</v>
      </c>
      <c r="E112" s="24"/>
    </row>
    <row r="113" spans="3:68" x14ac:dyDescent="0.3">
      <c r="C113" s="39" t="s">
        <v>172</v>
      </c>
      <c r="D113" s="40">
        <f>'Вывод расчетов (1-11)'!GK64</f>
        <v>1.5</v>
      </c>
      <c r="E113" s="24"/>
    </row>
    <row r="114" spans="3:68" x14ac:dyDescent="0.3">
      <c r="C114" s="39" t="s">
        <v>173</v>
      </c>
      <c r="D114" s="40">
        <f>'Вывод расчетов (1-11)'!GK92</f>
        <v>14.633987657148801</v>
      </c>
      <c r="E114" s="24"/>
    </row>
    <row r="115" spans="3:68" x14ac:dyDescent="0.3">
      <c r="C115" s="39" t="s">
        <v>174</v>
      </c>
      <c r="D115" s="40">
        <f>'Вывод расчетов (1-11)'!GK96</f>
        <v>21.68244256578296</v>
      </c>
      <c r="E115" s="24"/>
    </row>
    <row r="116" spans="3:68" x14ac:dyDescent="0.3">
      <c r="C116" s="39" t="s">
        <v>175</v>
      </c>
      <c r="D116" s="40">
        <f>'Вывод расчетов (1-11)'!GK68</f>
        <v>0.7</v>
      </c>
      <c r="E116" s="24"/>
      <c r="AK116" s="21"/>
      <c r="AL116" s="21"/>
      <c r="AM116" s="21"/>
      <c r="AN116" s="21"/>
      <c r="AO116" s="21"/>
      <c r="AP116" s="21"/>
      <c r="AX116" s="21"/>
      <c r="AY116" s="21"/>
      <c r="AZ116" s="21"/>
      <c r="BA116" s="21"/>
      <c r="BB116" s="21"/>
      <c r="BC116" s="21"/>
      <c r="BK116" s="21"/>
      <c r="BL116" s="21"/>
      <c r="BM116" s="21"/>
      <c r="BN116" s="21"/>
      <c r="BO116" s="21"/>
      <c r="BP116" s="21"/>
    </row>
    <row r="117" spans="3:68" x14ac:dyDescent="0.3">
      <c r="AK117" s="21"/>
      <c r="AL117" s="21"/>
      <c r="AM117" s="21"/>
      <c r="AN117" s="21"/>
      <c r="AO117" s="21"/>
      <c r="AP117" s="21"/>
      <c r="AX117" s="21"/>
      <c r="AY117" s="21"/>
      <c r="AZ117" s="21"/>
      <c r="BA117" s="21"/>
      <c r="BB117" s="21"/>
      <c r="BC117" s="21"/>
      <c r="BK117" s="21"/>
      <c r="BL117" s="21"/>
      <c r="BM117" s="21"/>
      <c r="BN117" s="21"/>
      <c r="BO117" s="21"/>
      <c r="BP117" s="21"/>
    </row>
    <row r="118" spans="3:68" x14ac:dyDescent="0.3">
      <c r="AF118" s="18"/>
      <c r="AG118" s="18" t="s">
        <v>182</v>
      </c>
      <c r="AH118" s="30">
        <f>D112</f>
        <v>5.1392254022276536</v>
      </c>
      <c r="AI118" s="24" t="s">
        <v>53</v>
      </c>
      <c r="AK118" s="21"/>
      <c r="AL118" s="21"/>
      <c r="AM118" s="21"/>
      <c r="AN118" s="21"/>
      <c r="AO118" s="21"/>
      <c r="AP118" s="21"/>
      <c r="AS118" s="18"/>
      <c r="AT118" s="18" t="s">
        <v>189</v>
      </c>
      <c r="AU118" s="17"/>
      <c r="AV118" s="18"/>
      <c r="AX118" s="21"/>
      <c r="AY118" s="21"/>
      <c r="AZ118" s="21"/>
      <c r="BA118" s="21"/>
      <c r="BB118" s="21"/>
      <c r="BC118" s="21"/>
      <c r="BF118" s="18"/>
      <c r="BG118" s="18" t="s">
        <v>189</v>
      </c>
      <c r="BH118" s="6"/>
      <c r="BI118" s="28"/>
      <c r="BK118" s="21"/>
      <c r="BL118" s="21"/>
      <c r="BM118" s="21"/>
      <c r="BN118" s="21"/>
      <c r="BO118" s="21"/>
      <c r="BP118" s="21"/>
    </row>
    <row r="119" spans="3:68" x14ac:dyDescent="0.3">
      <c r="AF119" s="18"/>
      <c r="AG119" s="18" t="s">
        <v>155</v>
      </c>
      <c r="AH119" s="30">
        <f>D111</f>
        <v>7.5576844150406659</v>
      </c>
      <c r="AI119" s="24" t="s">
        <v>53</v>
      </c>
      <c r="AK119" s="21"/>
      <c r="AL119" s="21"/>
      <c r="AM119" s="21"/>
      <c r="AN119" s="21"/>
      <c r="AO119" s="21"/>
      <c r="AP119" s="21"/>
      <c r="AS119" s="18"/>
      <c r="AT119" s="18" t="s">
        <v>189</v>
      </c>
      <c r="AU119" s="17"/>
      <c r="AV119" s="18"/>
      <c r="AX119" s="21"/>
      <c r="AY119" s="21"/>
      <c r="AZ119" s="21"/>
      <c r="BA119" s="21"/>
      <c r="BB119" s="21"/>
      <c r="BC119" s="21"/>
      <c r="BF119" s="18"/>
      <c r="BG119" s="18" t="s">
        <v>189</v>
      </c>
      <c r="BH119" s="6"/>
      <c r="BI119" s="28"/>
      <c r="BK119" s="21"/>
      <c r="BL119" s="21"/>
      <c r="BM119" s="21"/>
      <c r="BN119" s="21"/>
      <c r="BO119" s="21"/>
      <c r="BP119" s="21"/>
    </row>
    <row r="120" spans="3:68" x14ac:dyDescent="0.3">
      <c r="AF120" s="18"/>
      <c r="AG120" s="18" t="s">
        <v>156</v>
      </c>
      <c r="AH120" s="30">
        <f>D113</f>
        <v>1.5</v>
      </c>
      <c r="AI120" s="24" t="s">
        <v>53</v>
      </c>
      <c r="AK120" s="21"/>
      <c r="AL120" s="21"/>
      <c r="AM120" s="21"/>
      <c r="AN120" s="21"/>
      <c r="AO120" s="21"/>
      <c r="AP120" s="21"/>
      <c r="AS120" s="18"/>
      <c r="AT120" s="18" t="s">
        <v>189</v>
      </c>
      <c r="AU120" s="17"/>
      <c r="AV120" s="18"/>
      <c r="AX120" s="21"/>
      <c r="AY120" s="21"/>
      <c r="AZ120" s="21"/>
      <c r="BA120" s="21"/>
      <c r="BB120" s="21"/>
      <c r="BC120" s="21"/>
      <c r="BF120" s="18"/>
      <c r="BG120" s="18" t="s">
        <v>189</v>
      </c>
      <c r="BH120" s="6"/>
      <c r="BI120" s="28"/>
      <c r="BK120" s="21"/>
      <c r="BL120" s="21"/>
      <c r="BM120" s="21"/>
      <c r="BN120" s="21"/>
      <c r="BO120" s="21"/>
      <c r="BP120" s="21"/>
    </row>
    <row r="121" spans="3:68" x14ac:dyDescent="0.3">
      <c r="AF121" s="18"/>
      <c r="AG121" s="18" t="s">
        <v>55</v>
      </c>
      <c r="AH121" s="30">
        <f>D114</f>
        <v>14.633987657148801</v>
      </c>
      <c r="AI121" s="24" t="s">
        <v>53</v>
      </c>
      <c r="AK121" s="21"/>
      <c r="AL121" s="21"/>
      <c r="AM121" s="21"/>
      <c r="AN121" s="21"/>
      <c r="AO121" s="21"/>
      <c r="AP121" s="21"/>
      <c r="AS121" s="18"/>
      <c r="AT121" s="18" t="s">
        <v>189</v>
      </c>
      <c r="AU121" s="17"/>
      <c r="AV121" s="18"/>
      <c r="AX121" s="21"/>
      <c r="AY121" s="21"/>
      <c r="AZ121" s="21"/>
      <c r="BA121" s="21"/>
      <c r="BB121" s="21"/>
      <c r="BC121" s="21"/>
      <c r="BF121" s="18"/>
      <c r="BG121" s="18" t="s">
        <v>189</v>
      </c>
      <c r="BH121" s="6"/>
      <c r="BI121" s="28"/>
      <c r="BK121" s="21"/>
      <c r="BL121" s="21"/>
      <c r="BM121" s="21"/>
      <c r="BN121" s="21"/>
      <c r="BO121" s="21"/>
      <c r="BP121" s="21"/>
    </row>
    <row r="122" spans="3:68" x14ac:dyDescent="0.3">
      <c r="AF122" s="18"/>
      <c r="AG122" s="18" t="s">
        <v>154</v>
      </c>
      <c r="AH122" s="30">
        <f>D116</f>
        <v>0.7</v>
      </c>
      <c r="AI122" s="24" t="s">
        <v>53</v>
      </c>
      <c r="AK122" s="21"/>
      <c r="AL122" s="21"/>
      <c r="AM122" s="21"/>
      <c r="AN122" s="21"/>
      <c r="AO122" s="21"/>
      <c r="AP122" s="21"/>
      <c r="AX122" s="21"/>
      <c r="AY122" s="21"/>
      <c r="AZ122" s="21"/>
      <c r="BA122" s="21"/>
      <c r="BB122" s="21"/>
      <c r="BC122" s="21"/>
      <c r="BK122" s="21"/>
      <c r="BL122" s="21"/>
      <c r="BM122" s="21"/>
      <c r="BN122" s="21"/>
      <c r="BO122" s="21"/>
      <c r="BP122" s="21"/>
    </row>
    <row r="123" spans="3:68" x14ac:dyDescent="0.3">
      <c r="AK123" s="21"/>
      <c r="AL123" s="21"/>
      <c r="AM123" s="21"/>
      <c r="AN123" s="21"/>
      <c r="AO123" s="21"/>
      <c r="AP123" s="21"/>
      <c r="AX123" s="21"/>
      <c r="AY123" s="21"/>
      <c r="AZ123" s="21"/>
      <c r="BA123" s="21"/>
      <c r="BB123" s="21"/>
      <c r="BC123" s="21"/>
      <c r="BK123" s="21"/>
      <c r="BL123" s="21"/>
      <c r="BM123" s="21"/>
      <c r="BN123" s="21"/>
      <c r="BO123" s="21"/>
      <c r="BP123" s="21"/>
    </row>
    <row r="124" spans="3:68" x14ac:dyDescent="0.3">
      <c r="AK124" s="21"/>
      <c r="AL124" s="21"/>
      <c r="AM124" s="21"/>
      <c r="AN124" s="21"/>
      <c r="AO124" s="21"/>
      <c r="AP124" s="21"/>
      <c r="AX124" s="21"/>
      <c r="AY124" s="21"/>
      <c r="AZ124" s="21"/>
      <c r="BA124" s="21"/>
      <c r="BB124" s="21"/>
      <c r="BC124" s="21"/>
      <c r="BK124" s="21"/>
      <c r="BL124" s="21"/>
      <c r="BM124" s="21"/>
      <c r="BN124" s="21"/>
      <c r="BO124" s="21"/>
      <c r="BP124" s="21"/>
    </row>
    <row r="125" spans="3:68" x14ac:dyDescent="0.3">
      <c r="AK125" s="21"/>
      <c r="AL125" s="21"/>
      <c r="AM125" s="21"/>
      <c r="AN125" s="21"/>
      <c r="AO125" s="21"/>
      <c r="AP125" s="21"/>
      <c r="AX125" s="21"/>
      <c r="AY125" s="21"/>
      <c r="AZ125" s="21"/>
      <c r="BA125" s="21"/>
      <c r="BB125" s="21"/>
      <c r="BC125" s="21"/>
      <c r="BK125" s="21"/>
      <c r="BL125" s="21"/>
      <c r="BM125" s="21"/>
      <c r="BN125" s="21"/>
      <c r="BO125" s="21"/>
      <c r="BP125" s="21"/>
    </row>
    <row r="126" spans="3:68" x14ac:dyDescent="0.3">
      <c r="AK126" s="21"/>
      <c r="AL126" s="21"/>
      <c r="AM126" s="21"/>
      <c r="AN126" s="21"/>
      <c r="AO126" s="21"/>
      <c r="AP126" s="21"/>
      <c r="AX126" s="21"/>
      <c r="AY126" s="21"/>
      <c r="AZ126" s="21"/>
      <c r="BA126" s="21"/>
      <c r="BB126" s="21"/>
      <c r="BC126" s="21"/>
      <c r="BK126" s="21"/>
      <c r="BL126" s="21"/>
      <c r="BM126" s="21"/>
      <c r="BN126" s="21"/>
      <c r="BO126" s="21"/>
      <c r="BP126" s="21"/>
    </row>
    <row r="127" spans="3:68" x14ac:dyDescent="0.3">
      <c r="AK127" s="21"/>
      <c r="AL127" s="21"/>
      <c r="AM127" s="21"/>
      <c r="AN127" s="21"/>
      <c r="AO127" s="21"/>
      <c r="AP127" s="21"/>
      <c r="AX127" s="21"/>
      <c r="AY127" s="21"/>
      <c r="AZ127" s="21"/>
      <c r="BA127" s="21"/>
      <c r="BB127" s="21"/>
      <c r="BC127" s="21"/>
      <c r="BK127" s="21"/>
      <c r="BL127" s="21"/>
      <c r="BM127" s="21"/>
      <c r="BN127" s="21"/>
      <c r="BO127" s="21"/>
      <c r="BP127" s="21"/>
    </row>
    <row r="128" spans="3:68" x14ac:dyDescent="0.3">
      <c r="AK128" s="21"/>
      <c r="AL128" s="21"/>
      <c r="AM128" s="21"/>
      <c r="AN128" s="21"/>
      <c r="AO128" s="21"/>
      <c r="AP128" s="21"/>
      <c r="AX128" s="21"/>
      <c r="AY128" s="21"/>
      <c r="AZ128" s="21"/>
      <c r="BA128" s="21"/>
      <c r="BB128" s="21"/>
      <c r="BC128" s="21"/>
      <c r="BK128" s="21"/>
      <c r="BL128" s="21"/>
      <c r="BM128" s="21"/>
      <c r="BN128" s="21"/>
      <c r="BO128" s="21"/>
      <c r="BP128" s="21"/>
    </row>
    <row r="129" spans="32:68" x14ac:dyDescent="0.3">
      <c r="AK129" s="21"/>
      <c r="AL129" s="21"/>
      <c r="AM129" s="21"/>
      <c r="AN129" s="21"/>
      <c r="AO129" s="21"/>
      <c r="AP129" s="21"/>
      <c r="AX129" s="21"/>
      <c r="AY129" s="21"/>
      <c r="AZ129" s="21"/>
      <c r="BA129" s="21"/>
      <c r="BB129" s="21"/>
      <c r="BC129" s="21"/>
      <c r="BK129" s="21"/>
      <c r="BL129" s="21"/>
      <c r="BM129" s="21"/>
      <c r="BN129" s="21"/>
      <c r="BO129" s="21"/>
      <c r="BP129" s="21"/>
    </row>
    <row r="130" spans="32:68" x14ac:dyDescent="0.3">
      <c r="AK130" s="21"/>
      <c r="AL130" s="21"/>
      <c r="AM130" s="21"/>
      <c r="AN130" s="21"/>
      <c r="AO130" s="21"/>
      <c r="AP130" s="21"/>
      <c r="AX130" s="21"/>
      <c r="AY130" s="21"/>
      <c r="AZ130" s="21"/>
      <c r="BA130" s="21"/>
      <c r="BB130" s="21"/>
      <c r="BC130" s="21"/>
      <c r="BK130" s="21"/>
      <c r="BL130" s="21"/>
      <c r="BM130" s="21"/>
      <c r="BN130" s="21"/>
      <c r="BO130" s="21"/>
      <c r="BP130" s="21"/>
    </row>
    <row r="131" spans="32:68" x14ac:dyDescent="0.3">
      <c r="AK131" s="21"/>
      <c r="AL131" s="21"/>
      <c r="AM131" s="21"/>
      <c r="AN131" s="21"/>
      <c r="AO131" s="21"/>
      <c r="AP131" s="21"/>
      <c r="AX131" s="21"/>
      <c r="AY131" s="21"/>
      <c r="AZ131" s="21"/>
      <c r="BA131" s="21"/>
      <c r="BB131" s="21"/>
      <c r="BC131" s="21"/>
      <c r="BK131" s="21"/>
      <c r="BL131" s="21"/>
      <c r="BM131" s="21"/>
      <c r="BN131" s="21"/>
      <c r="BP131" s="21"/>
    </row>
    <row r="132" spans="32:68" x14ac:dyDescent="0.3">
      <c r="AK132" s="21"/>
      <c r="AL132" s="21"/>
      <c r="AM132" s="21"/>
      <c r="AN132" s="21"/>
      <c r="AO132" s="21"/>
      <c r="AP132" s="21"/>
      <c r="AX132" s="21"/>
      <c r="AY132" s="21"/>
      <c r="AZ132" s="21"/>
      <c r="BA132" s="21"/>
      <c r="BB132" s="21"/>
      <c r="BC132" s="21"/>
      <c r="BK132" s="21"/>
      <c r="BL132" s="21"/>
      <c r="BM132" s="21"/>
      <c r="BN132" s="21"/>
      <c r="BO132" s="21"/>
      <c r="BP132" s="21"/>
    </row>
    <row r="133" spans="32:68" x14ac:dyDescent="0.3">
      <c r="AK133" s="21"/>
      <c r="AL133" s="21"/>
      <c r="AM133" s="21"/>
      <c r="AN133" s="21"/>
      <c r="AO133" s="21"/>
      <c r="AP133" s="21"/>
      <c r="AX133" s="21"/>
      <c r="AY133" s="21"/>
      <c r="AZ133" s="21"/>
      <c r="BA133" s="21"/>
      <c r="BB133" s="21"/>
      <c r="BC133" s="21"/>
      <c r="BK133" s="21"/>
      <c r="BL133" s="21"/>
      <c r="BM133" s="21"/>
      <c r="BN133" s="21"/>
      <c r="BO133" s="21"/>
      <c r="BP133" s="21"/>
    </row>
    <row r="134" spans="32:68" x14ac:dyDescent="0.3">
      <c r="AK134" s="21"/>
      <c r="AL134" s="21"/>
      <c r="AM134" s="21"/>
      <c r="AN134" s="21"/>
      <c r="AO134" s="21"/>
      <c r="AP134" s="21"/>
      <c r="AX134" s="21"/>
      <c r="AY134" s="21"/>
      <c r="AZ134" s="21"/>
      <c r="BA134" s="21"/>
      <c r="BB134" s="21"/>
      <c r="BC134" s="21"/>
      <c r="BK134" s="21"/>
      <c r="BL134" s="21"/>
      <c r="BM134" s="21"/>
      <c r="BN134" s="21"/>
      <c r="BO134" s="21"/>
      <c r="BP134" s="21"/>
    </row>
    <row r="135" spans="32:68" x14ac:dyDescent="0.3">
      <c r="AK135" s="21"/>
      <c r="AL135" s="21"/>
      <c r="AM135" s="21"/>
      <c r="AN135" s="21"/>
      <c r="AO135" s="21"/>
      <c r="AP135" s="21"/>
      <c r="AX135" s="21"/>
      <c r="AY135" s="21"/>
      <c r="AZ135" s="21"/>
      <c r="BA135" s="21"/>
      <c r="BB135" s="21"/>
      <c r="BC135" s="21"/>
      <c r="BK135" s="21"/>
      <c r="BL135" s="21"/>
      <c r="BM135" s="21"/>
      <c r="BN135" s="21"/>
      <c r="BO135" s="21"/>
      <c r="BP135" s="21"/>
    </row>
    <row r="136" spans="32:68" x14ac:dyDescent="0.3">
      <c r="AK136" s="21"/>
      <c r="AL136" s="21"/>
      <c r="AM136" s="21"/>
      <c r="AN136" s="21"/>
      <c r="AO136" s="21"/>
      <c r="AP136" s="21"/>
      <c r="AX136" s="21"/>
      <c r="AY136" s="21"/>
      <c r="AZ136" s="21"/>
      <c r="BA136" s="21"/>
      <c r="BB136" s="21"/>
      <c r="BC136" s="21"/>
      <c r="BK136" s="21"/>
      <c r="BL136" s="21"/>
      <c r="BM136" s="21"/>
      <c r="BN136" s="21"/>
      <c r="BO136" s="21"/>
      <c r="BP136" s="21"/>
    </row>
    <row r="137" spans="32:68" x14ac:dyDescent="0.3">
      <c r="AK137" s="21"/>
      <c r="AL137" s="21"/>
      <c r="AM137" s="21"/>
      <c r="AN137" s="21"/>
      <c r="AO137" s="21"/>
      <c r="AP137" s="21"/>
      <c r="AX137" s="21"/>
      <c r="AY137" s="21"/>
      <c r="AZ137" s="21"/>
      <c r="BA137" s="21"/>
      <c r="BB137" s="21"/>
      <c r="BC137" s="21"/>
      <c r="BK137" s="21"/>
      <c r="BL137" s="21"/>
      <c r="BM137" s="21"/>
      <c r="BN137" s="21"/>
      <c r="BO137" s="21"/>
      <c r="BP137" s="21"/>
    </row>
    <row r="141" spans="32:68" x14ac:dyDescent="0.3">
      <c r="AK141" s="21"/>
      <c r="AL141" s="21"/>
      <c r="AM141" s="21"/>
      <c r="AN141" s="21"/>
      <c r="AO141" s="21"/>
      <c r="AP141" s="21"/>
      <c r="AX141" s="21"/>
      <c r="AY141" s="21"/>
      <c r="AZ141" s="21"/>
      <c r="BA141" s="21"/>
      <c r="BB141" s="21"/>
      <c r="BC141" s="21"/>
      <c r="BK141" s="21"/>
      <c r="BL141" s="21"/>
      <c r="BM141" s="21"/>
      <c r="BN141" s="21"/>
      <c r="BO141" s="21"/>
      <c r="BP141" s="21"/>
    </row>
    <row r="142" spans="32:68" x14ac:dyDescent="0.3">
      <c r="AK142" s="21"/>
      <c r="AL142" s="21"/>
      <c r="AM142" s="21"/>
      <c r="AN142" s="21"/>
      <c r="AO142" s="21"/>
      <c r="AP142" s="21"/>
      <c r="AX142" s="21"/>
      <c r="AY142" s="21"/>
      <c r="AZ142" s="21"/>
      <c r="BA142" s="21"/>
      <c r="BB142" s="21"/>
      <c r="BC142" s="21"/>
      <c r="BK142" s="21"/>
      <c r="BL142" s="21"/>
      <c r="BM142" s="21"/>
      <c r="BN142" s="21"/>
      <c r="BO142" s="21"/>
      <c r="BP142" s="21"/>
    </row>
    <row r="143" spans="32:68" x14ac:dyDescent="0.3">
      <c r="AF143" s="18"/>
      <c r="AG143" s="18" t="s">
        <v>189</v>
      </c>
      <c r="AH143" s="30"/>
      <c r="AI143" s="24"/>
      <c r="AK143" s="21"/>
      <c r="AL143" s="21"/>
      <c r="AM143" s="21"/>
      <c r="AN143" s="21"/>
      <c r="AO143" s="21"/>
      <c r="AP143" s="21"/>
      <c r="AS143" s="18"/>
      <c r="AT143" s="18" t="s">
        <v>189</v>
      </c>
      <c r="AU143" s="17"/>
      <c r="AV143" s="18"/>
      <c r="AX143" s="21"/>
      <c r="AY143" s="21"/>
      <c r="AZ143" s="21"/>
      <c r="BA143" s="21"/>
      <c r="BB143" s="21"/>
      <c r="BC143" s="21"/>
      <c r="BF143" s="18"/>
      <c r="BG143" s="18" t="s">
        <v>189</v>
      </c>
      <c r="BH143" s="6"/>
      <c r="BI143" s="28"/>
      <c r="BK143" s="21"/>
      <c r="BL143" s="21"/>
      <c r="BM143" s="21"/>
      <c r="BN143" s="21"/>
      <c r="BO143" s="21"/>
      <c r="BP143" s="21"/>
    </row>
    <row r="144" spans="32:68" x14ac:dyDescent="0.3">
      <c r="AF144" s="18"/>
      <c r="AG144" s="18" t="s">
        <v>189</v>
      </c>
      <c r="AH144" s="30"/>
      <c r="AI144" s="24"/>
      <c r="AK144" s="21"/>
      <c r="AL144" s="21"/>
      <c r="AM144" s="21"/>
      <c r="AN144" s="21"/>
      <c r="AO144" s="21"/>
      <c r="AP144" s="21"/>
      <c r="AS144" s="18"/>
      <c r="AT144" s="18" t="s">
        <v>189</v>
      </c>
      <c r="AU144" s="17"/>
      <c r="AV144" s="18"/>
      <c r="AX144" s="21"/>
      <c r="AY144" s="21"/>
      <c r="AZ144" s="21"/>
      <c r="BA144" s="21"/>
      <c r="BB144" s="21"/>
      <c r="BC144" s="21"/>
      <c r="BF144" s="18"/>
      <c r="BG144" s="18" t="s">
        <v>189</v>
      </c>
      <c r="BH144" s="6"/>
      <c r="BI144" s="28"/>
      <c r="BK144" s="21"/>
      <c r="BL144" s="21"/>
      <c r="BM144" s="21"/>
      <c r="BN144" s="21"/>
      <c r="BO144" s="21"/>
      <c r="BP144" s="21"/>
    </row>
    <row r="145" spans="32:68" x14ac:dyDescent="0.3">
      <c r="AF145" s="18"/>
      <c r="AG145" s="18" t="s">
        <v>189</v>
      </c>
      <c r="AH145" s="30"/>
      <c r="AI145" s="24"/>
      <c r="AK145" s="21"/>
      <c r="AL145" s="21"/>
      <c r="AM145" s="21"/>
      <c r="AN145" s="21"/>
      <c r="AO145" s="21"/>
      <c r="AP145" s="21"/>
      <c r="AS145" s="18"/>
      <c r="AT145" s="18" t="s">
        <v>189</v>
      </c>
      <c r="AU145" s="17"/>
      <c r="AV145" s="18"/>
      <c r="AX145" s="21"/>
      <c r="AY145" s="21"/>
      <c r="AZ145" s="21"/>
      <c r="BA145" s="21"/>
      <c r="BB145" s="21"/>
      <c r="BC145" s="21"/>
      <c r="BF145" s="18"/>
      <c r="BG145" s="18" t="s">
        <v>189</v>
      </c>
      <c r="BH145" s="6"/>
      <c r="BI145" s="28"/>
      <c r="BK145" s="21"/>
      <c r="BL145" s="21"/>
      <c r="BM145" s="21"/>
      <c r="BN145" s="21"/>
      <c r="BO145" s="21"/>
      <c r="BP145" s="21"/>
    </row>
    <row r="146" spans="32:68" x14ac:dyDescent="0.3">
      <c r="AF146" s="18"/>
      <c r="AG146" s="18" t="s">
        <v>189</v>
      </c>
      <c r="AH146" s="30"/>
      <c r="AI146" s="24"/>
      <c r="AK146" s="21"/>
      <c r="AL146" s="21"/>
      <c r="AM146" s="21"/>
      <c r="AN146" s="21"/>
      <c r="AO146" s="21"/>
      <c r="AP146" s="21"/>
      <c r="AS146" s="18"/>
      <c r="AT146" s="18" t="s">
        <v>189</v>
      </c>
      <c r="AU146" s="17"/>
      <c r="AV146" s="18"/>
      <c r="AX146" s="21"/>
      <c r="AY146" s="21"/>
      <c r="AZ146" s="21"/>
      <c r="BA146" s="21"/>
      <c r="BB146" s="21"/>
      <c r="BC146" s="21"/>
      <c r="BF146" s="18"/>
      <c r="BG146" s="18" t="s">
        <v>189</v>
      </c>
      <c r="BH146" s="6"/>
      <c r="BI146" s="28"/>
      <c r="BK146" s="21"/>
      <c r="BL146" s="21"/>
      <c r="BM146" s="21"/>
      <c r="BN146" s="21"/>
      <c r="BO146" s="21"/>
      <c r="BP146" s="21"/>
    </row>
    <row r="147" spans="32:68" x14ac:dyDescent="0.3">
      <c r="AK147" s="21"/>
      <c r="AL147" s="21"/>
      <c r="AM147" s="21"/>
      <c r="AN147" s="21"/>
      <c r="AO147" s="21"/>
      <c r="AP147" s="21"/>
      <c r="AX147" s="21"/>
      <c r="AY147" s="21"/>
      <c r="AZ147" s="21"/>
      <c r="BA147" s="21"/>
      <c r="BB147" s="21"/>
      <c r="BC147" s="21"/>
      <c r="BK147" s="21"/>
      <c r="BL147" s="21"/>
      <c r="BM147" s="21"/>
      <c r="BN147" s="21"/>
      <c r="BO147" s="21"/>
      <c r="BP147" s="21"/>
    </row>
    <row r="148" spans="32:68" x14ac:dyDescent="0.3">
      <c r="AK148" s="21"/>
      <c r="AL148" s="21"/>
      <c r="AM148" s="21"/>
      <c r="AN148" s="21"/>
      <c r="AO148" s="21"/>
      <c r="AP148" s="21"/>
      <c r="AX148" s="21"/>
      <c r="AY148" s="21"/>
      <c r="AZ148" s="21"/>
      <c r="BA148" s="21"/>
      <c r="BB148" s="21"/>
      <c r="BC148" s="21"/>
      <c r="BK148" s="21"/>
      <c r="BL148" s="21"/>
      <c r="BM148" s="21"/>
      <c r="BN148" s="21"/>
      <c r="BO148" s="21"/>
      <c r="BP148" s="21"/>
    </row>
    <row r="149" spans="32:68" x14ac:dyDescent="0.3">
      <c r="AK149" s="21"/>
      <c r="AL149" s="21"/>
      <c r="AM149" s="21"/>
      <c r="AN149" s="21"/>
      <c r="AO149" s="21"/>
      <c r="AP149" s="21"/>
      <c r="AX149" s="21"/>
      <c r="AY149" s="21"/>
      <c r="AZ149" s="21"/>
      <c r="BA149" s="21"/>
      <c r="BB149" s="21"/>
      <c r="BC149" s="21"/>
      <c r="BK149" s="21"/>
      <c r="BL149" s="21"/>
      <c r="BM149" s="21"/>
      <c r="BN149" s="21"/>
      <c r="BO149" s="21"/>
      <c r="BP149" s="21"/>
    </row>
    <row r="150" spans="32:68" x14ac:dyDescent="0.3">
      <c r="AK150" s="21"/>
      <c r="AL150" s="21"/>
      <c r="AM150" s="21"/>
      <c r="AN150" s="21"/>
      <c r="AO150" s="21"/>
      <c r="AP150" s="21"/>
      <c r="AX150" s="21"/>
      <c r="AY150" s="21"/>
      <c r="AZ150" s="21"/>
      <c r="BA150" s="21"/>
      <c r="BB150" s="21"/>
      <c r="BC150" s="21"/>
      <c r="BK150" s="21"/>
      <c r="BL150" s="21"/>
      <c r="BM150" s="21"/>
      <c r="BN150" s="21"/>
      <c r="BO150" s="21"/>
      <c r="BP150" s="21"/>
    </row>
    <row r="151" spans="32:68" x14ac:dyDescent="0.3">
      <c r="AK151" s="21"/>
      <c r="AL151" s="21"/>
      <c r="AM151" s="21"/>
      <c r="AN151" s="21"/>
      <c r="AO151" s="21"/>
      <c r="AP151" s="21"/>
      <c r="AX151" s="21"/>
      <c r="AY151" s="21"/>
      <c r="AZ151" s="21"/>
      <c r="BA151" s="21"/>
      <c r="BB151" s="21"/>
      <c r="BC151" s="21"/>
      <c r="BK151" s="21"/>
      <c r="BL151" s="21"/>
      <c r="BM151" s="21"/>
      <c r="BN151" s="21"/>
      <c r="BO151" s="21"/>
      <c r="BP151" s="21"/>
    </row>
    <row r="152" spans="32:68" x14ac:dyDescent="0.3">
      <c r="AK152" s="21"/>
      <c r="AL152" s="21"/>
      <c r="AM152" s="21"/>
      <c r="AN152" s="21"/>
      <c r="AO152" s="21"/>
      <c r="AP152" s="21"/>
      <c r="AX152" s="21"/>
      <c r="AY152" s="21"/>
      <c r="AZ152" s="21"/>
      <c r="BA152" s="21"/>
      <c r="BB152" s="21"/>
      <c r="BC152" s="21"/>
      <c r="BK152" s="21"/>
      <c r="BL152" s="21"/>
      <c r="BM152" s="21"/>
      <c r="BN152" s="21"/>
      <c r="BO152" s="21"/>
      <c r="BP152" s="21"/>
    </row>
    <row r="153" spans="32:68" x14ac:dyDescent="0.3">
      <c r="AK153" s="21"/>
      <c r="AL153" s="21"/>
      <c r="AM153" s="21"/>
      <c r="AN153" s="21"/>
      <c r="AO153" s="21"/>
      <c r="AP153" s="21"/>
      <c r="AX153" s="21"/>
      <c r="AY153" s="21"/>
      <c r="AZ153" s="21"/>
      <c r="BA153" s="21"/>
      <c r="BB153" s="21"/>
      <c r="BC153" s="21"/>
      <c r="BK153" s="21"/>
      <c r="BL153" s="21"/>
      <c r="BM153" s="21"/>
      <c r="BN153" s="21"/>
      <c r="BO153" s="21"/>
      <c r="BP153" s="21"/>
    </row>
    <row r="154" spans="32:68" x14ac:dyDescent="0.3">
      <c r="AK154" s="21"/>
      <c r="AL154" s="21"/>
      <c r="AM154" s="21"/>
      <c r="AN154" s="21"/>
      <c r="AO154" s="21"/>
      <c r="AP154" s="21"/>
      <c r="AX154" s="21"/>
      <c r="AY154" s="21"/>
      <c r="AZ154" s="21"/>
      <c r="BA154" s="21"/>
      <c r="BB154" s="21"/>
      <c r="BC154" s="21"/>
      <c r="BK154" s="21"/>
      <c r="BL154" s="21"/>
      <c r="BM154" s="21"/>
      <c r="BN154" s="21"/>
      <c r="BO154" s="21"/>
      <c r="BP154" s="21"/>
    </row>
    <row r="155" spans="32:68" x14ac:dyDescent="0.3">
      <c r="AK155" s="21"/>
      <c r="AL155" s="21"/>
      <c r="AM155" s="21"/>
      <c r="AN155" s="21"/>
      <c r="AO155" s="21"/>
      <c r="AP155" s="21"/>
      <c r="AX155" s="21"/>
      <c r="AY155" s="21"/>
      <c r="AZ155" s="21"/>
      <c r="BA155" s="21"/>
      <c r="BB155" s="21"/>
      <c r="BC155" s="21"/>
      <c r="BK155" s="21"/>
      <c r="BL155" s="21"/>
      <c r="BM155" s="21"/>
      <c r="BN155" s="21"/>
      <c r="BO155" s="21"/>
      <c r="BP155" s="21"/>
    </row>
    <row r="156" spans="32:68" x14ac:dyDescent="0.3">
      <c r="AK156" s="21"/>
      <c r="AL156" s="21"/>
      <c r="AM156" s="21"/>
      <c r="AN156" s="21"/>
      <c r="AO156" s="21"/>
      <c r="AP156" s="21"/>
      <c r="AX156" s="21"/>
      <c r="AY156" s="21"/>
      <c r="AZ156" s="21"/>
      <c r="BA156" s="21"/>
      <c r="BB156" s="21"/>
      <c r="BC156" s="21"/>
      <c r="BK156" s="21"/>
      <c r="BL156" s="21"/>
      <c r="BM156" s="21"/>
      <c r="BN156" s="21"/>
      <c r="BO156" s="21"/>
      <c r="BP156" s="21"/>
    </row>
    <row r="157" spans="32:68" x14ac:dyDescent="0.3">
      <c r="AK157" s="21"/>
      <c r="AL157" s="21"/>
      <c r="AM157" s="21"/>
      <c r="AN157" s="21"/>
      <c r="AO157" s="21"/>
      <c r="AP157" s="21"/>
      <c r="AX157" s="21"/>
      <c r="AY157" s="21"/>
      <c r="AZ157" s="21"/>
      <c r="BA157" s="21"/>
      <c r="BB157" s="21"/>
      <c r="BC157" s="21"/>
      <c r="BK157" s="21"/>
      <c r="BL157" s="21"/>
      <c r="BM157" s="21"/>
      <c r="BN157" s="21"/>
      <c r="BO157" s="21"/>
      <c r="BP157" s="21"/>
    </row>
    <row r="158" spans="32:68" x14ac:dyDescent="0.3">
      <c r="AK158" s="21"/>
      <c r="AL158" s="21"/>
      <c r="AM158" s="21"/>
      <c r="AN158" s="21"/>
      <c r="AO158" s="21"/>
      <c r="AP158" s="21"/>
      <c r="AX158" s="21"/>
      <c r="AY158" s="21"/>
      <c r="AZ158" s="21"/>
      <c r="BA158" s="21"/>
      <c r="BB158" s="21"/>
      <c r="BC158" s="21"/>
      <c r="BK158" s="21"/>
      <c r="BL158" s="21"/>
      <c r="BM158" s="21"/>
      <c r="BN158" s="21"/>
      <c r="BO158" s="21"/>
      <c r="BP158" s="21"/>
    </row>
    <row r="159" spans="32:68" x14ac:dyDescent="0.3">
      <c r="AK159" s="21"/>
      <c r="AL159" s="21"/>
      <c r="AM159" s="21"/>
      <c r="AN159" s="21"/>
      <c r="AO159" s="21"/>
      <c r="AP159" s="21"/>
      <c r="AX159" s="21"/>
      <c r="AY159" s="21"/>
      <c r="AZ159" s="21"/>
      <c r="BA159" s="21"/>
      <c r="BB159" s="21"/>
      <c r="BC159" s="21"/>
      <c r="BK159" s="21"/>
      <c r="BL159" s="21"/>
      <c r="BM159" s="21"/>
      <c r="BN159" s="21"/>
      <c r="BO159" s="21"/>
      <c r="BP159" s="21"/>
    </row>
    <row r="160" spans="32:68" x14ac:dyDescent="0.3">
      <c r="AK160" s="21"/>
      <c r="AL160" s="21"/>
      <c r="AM160" s="21"/>
      <c r="AN160" s="21"/>
      <c r="AO160" s="21"/>
      <c r="AP160" s="21"/>
      <c r="AX160" s="21"/>
      <c r="AY160" s="21"/>
      <c r="AZ160" s="21"/>
      <c r="BA160" s="21"/>
      <c r="BB160" s="21"/>
      <c r="BC160" s="21"/>
      <c r="BK160" s="21"/>
      <c r="BL160" s="21"/>
      <c r="BM160" s="21"/>
      <c r="BN160" s="21"/>
      <c r="BO160" s="21"/>
      <c r="BP160" s="21"/>
    </row>
    <row r="161" spans="2:68" x14ac:dyDescent="0.3">
      <c r="AK161" s="21"/>
      <c r="AL161" s="21"/>
      <c r="AM161" s="21"/>
      <c r="AN161" s="21"/>
      <c r="AO161" s="21"/>
      <c r="AP161" s="21"/>
      <c r="AX161" s="21"/>
      <c r="AY161" s="21"/>
      <c r="AZ161" s="21"/>
      <c r="BA161" s="21"/>
      <c r="BB161" s="21"/>
      <c r="BC161" s="21"/>
      <c r="BK161" s="21"/>
      <c r="BL161" s="21"/>
      <c r="BM161" s="21"/>
      <c r="BN161" s="21"/>
      <c r="BO161" s="21"/>
      <c r="BP161" s="21"/>
    </row>
    <row r="162" spans="2:68" x14ac:dyDescent="0.3">
      <c r="AK162" s="21"/>
      <c r="AL162" s="21"/>
      <c r="AM162" s="21"/>
      <c r="AN162" s="21"/>
      <c r="AO162" s="21"/>
      <c r="AP162" s="21"/>
      <c r="AX162" s="21"/>
      <c r="AY162" s="21"/>
      <c r="AZ162" s="21"/>
      <c r="BA162" s="21"/>
      <c r="BB162" s="21"/>
      <c r="BC162" s="21"/>
      <c r="BK162" s="21"/>
      <c r="BL162" s="21"/>
      <c r="BM162" s="21"/>
      <c r="BN162" s="21"/>
      <c r="BO162" s="21"/>
      <c r="BP162" s="21"/>
    </row>
    <row r="166" spans="2:68" ht="21" customHeight="1" x14ac:dyDescent="0.3">
      <c r="AK166" s="638"/>
      <c r="AL166" s="638"/>
      <c r="AM166" s="638"/>
      <c r="AN166" s="638"/>
      <c r="AO166" s="638"/>
      <c r="AP166" s="638"/>
      <c r="AX166" s="21"/>
      <c r="AY166" s="21"/>
      <c r="AZ166" s="21"/>
      <c r="BA166" s="21"/>
      <c r="BB166" s="21"/>
      <c r="BC166" s="21"/>
      <c r="BK166" s="21"/>
      <c r="BL166" s="21"/>
      <c r="BM166" s="21"/>
      <c r="BN166" s="21"/>
      <c r="BO166" s="21"/>
      <c r="BP166" s="21"/>
    </row>
    <row r="167" spans="2:68" ht="21" customHeight="1" x14ac:dyDescent="0.3">
      <c r="AK167" s="638"/>
      <c r="AL167" s="638"/>
      <c r="AM167" s="638"/>
      <c r="AN167" s="638"/>
      <c r="AO167" s="638"/>
      <c r="AP167" s="638"/>
      <c r="AX167" s="21"/>
      <c r="AY167" s="21"/>
      <c r="AZ167" s="21"/>
      <c r="BA167" s="21"/>
      <c r="BB167" s="21"/>
      <c r="BC167" s="21"/>
      <c r="BK167" s="21"/>
      <c r="BL167" s="21"/>
      <c r="BM167" s="21"/>
      <c r="BN167" s="21"/>
      <c r="BO167" s="21"/>
      <c r="BP167" s="21"/>
    </row>
    <row r="168" spans="2:68" ht="21" customHeight="1" x14ac:dyDescent="0.3">
      <c r="B168" s="18"/>
      <c r="C168" s="18"/>
      <c r="D168" s="31"/>
      <c r="E168" s="24"/>
      <c r="AF168" s="18"/>
      <c r="AG168" s="18" t="s">
        <v>189</v>
      </c>
      <c r="AH168" s="30"/>
      <c r="AI168" s="24"/>
      <c r="AK168" s="638"/>
      <c r="AL168" s="638"/>
      <c r="AM168" s="638"/>
      <c r="AN168" s="638"/>
      <c r="AO168" s="638"/>
      <c r="AP168" s="638"/>
      <c r="AS168" s="18"/>
      <c r="AT168" s="18" t="s">
        <v>182</v>
      </c>
      <c r="AU168" s="17"/>
      <c r="AV168" s="18"/>
      <c r="AX168" s="21"/>
      <c r="AY168" s="21"/>
      <c r="AZ168" s="21"/>
      <c r="BA168" s="21"/>
      <c r="BB168" s="21"/>
      <c r="BC168" s="21"/>
      <c r="BF168" s="18"/>
      <c r="BG168" s="18" t="s">
        <v>189</v>
      </c>
      <c r="BH168" s="6"/>
      <c r="BI168" s="28"/>
      <c r="BK168" s="21"/>
      <c r="BL168" s="21"/>
      <c r="BM168" s="21"/>
      <c r="BN168" s="21"/>
      <c r="BO168" s="21"/>
      <c r="BP168" s="21"/>
    </row>
    <row r="169" spans="2:68" ht="21" customHeight="1" x14ac:dyDescent="0.3">
      <c r="B169" s="18"/>
      <c r="C169" s="18" t="s">
        <v>183</v>
      </c>
      <c r="D169" s="31">
        <f>(AH121/(3*AH119)*(1-(3.14*AH119^2)/(8*'Вывод расчетов (1-11)'!GK100))^2+0.66-AH120/(2*AH119))*1+AH122/AH120</f>
        <v>1.4631482458983054</v>
      </c>
      <c r="E169" s="24"/>
      <c r="AF169" s="18"/>
      <c r="AG169" s="18" t="s">
        <v>189</v>
      </c>
      <c r="AH169" s="30"/>
      <c r="AI169" s="24"/>
      <c r="AK169" s="638"/>
      <c r="AL169" s="638"/>
      <c r="AM169" s="638"/>
      <c r="AN169" s="638"/>
      <c r="AO169" s="638"/>
      <c r="AP169" s="638"/>
      <c r="AS169" s="18"/>
      <c r="AT169" s="18" t="s">
        <v>182</v>
      </c>
      <c r="AU169" s="17"/>
      <c r="AV169" s="18"/>
      <c r="AX169" s="21"/>
      <c r="AY169" s="21"/>
      <c r="AZ169" s="21"/>
      <c r="BA169" s="21"/>
      <c r="BB169" s="21"/>
      <c r="BC169" s="21"/>
      <c r="BF169" s="18"/>
      <c r="BG169" s="18" t="s">
        <v>189</v>
      </c>
      <c r="BH169" s="6"/>
      <c r="BI169" s="28"/>
      <c r="BK169" s="21"/>
      <c r="BL169" s="21"/>
      <c r="BM169" s="21"/>
      <c r="BN169" s="21"/>
      <c r="BO169" s="21"/>
      <c r="BP169" s="21"/>
    </row>
    <row r="170" spans="2:68" ht="21" customHeight="1" x14ac:dyDescent="0.3">
      <c r="B170" s="18"/>
      <c r="C170" s="18" t="s">
        <v>184</v>
      </c>
      <c r="D170" s="30"/>
      <c r="E170" s="24"/>
      <c r="AF170" s="18"/>
      <c r="AG170" s="18" t="s">
        <v>189</v>
      </c>
      <c r="AH170" s="30"/>
      <c r="AI170" s="24"/>
      <c r="AK170" s="638"/>
      <c r="AL170" s="638"/>
      <c r="AM170" s="638"/>
      <c r="AN170" s="638"/>
      <c r="AO170" s="638"/>
      <c r="AP170" s="638"/>
      <c r="AS170" s="18"/>
      <c r="AT170" s="18" t="s">
        <v>156</v>
      </c>
      <c r="AU170" s="17"/>
      <c r="AV170" s="18"/>
      <c r="AX170" s="21"/>
      <c r="AY170" s="21"/>
      <c r="AZ170" s="21"/>
      <c r="BA170" s="21"/>
      <c r="BB170" s="21"/>
      <c r="BC170" s="21"/>
      <c r="BF170" s="18"/>
      <c r="BG170" s="18" t="s">
        <v>189</v>
      </c>
      <c r="BH170" s="6"/>
      <c r="BI170" s="28"/>
      <c r="BK170" s="21"/>
      <c r="BL170" s="21"/>
      <c r="BM170" s="21"/>
      <c r="BN170" s="21"/>
      <c r="BO170" s="21"/>
      <c r="BP170" s="21"/>
    </row>
    <row r="171" spans="2:68" ht="21" customHeight="1" x14ac:dyDescent="0.3">
      <c r="B171" s="18"/>
      <c r="C171" s="18" t="s">
        <v>185</v>
      </c>
      <c r="D171" s="30"/>
      <c r="E171" s="24"/>
      <c r="AF171" s="18"/>
      <c r="AG171" s="18" t="s">
        <v>189</v>
      </c>
      <c r="AH171" s="30"/>
      <c r="AI171" s="24"/>
      <c r="AK171" s="638"/>
      <c r="AL171" s="638"/>
      <c r="AM171" s="638"/>
      <c r="AN171" s="638"/>
      <c r="AO171" s="638"/>
      <c r="AP171" s="638"/>
      <c r="AS171" s="18"/>
      <c r="AT171" s="18" t="s">
        <v>55</v>
      </c>
      <c r="AU171" s="17"/>
      <c r="AV171" s="18"/>
      <c r="AX171" s="21"/>
      <c r="AY171" s="21"/>
      <c r="AZ171" s="21"/>
      <c r="BA171" s="21"/>
      <c r="BB171" s="21"/>
      <c r="BC171" s="21"/>
      <c r="BF171" s="18"/>
      <c r="BG171" s="18" t="s">
        <v>189</v>
      </c>
      <c r="BH171" s="6"/>
      <c r="BI171" s="28"/>
      <c r="BK171" s="21"/>
      <c r="BL171" s="21"/>
      <c r="BM171" s="21"/>
      <c r="BN171" s="21"/>
      <c r="BO171" s="21"/>
      <c r="BP171" s="21"/>
    </row>
    <row r="172" spans="2:68" ht="21" customHeight="1" x14ac:dyDescent="0.3">
      <c r="B172" s="18"/>
      <c r="C172" s="18" t="s">
        <v>205</v>
      </c>
      <c r="D172" s="30"/>
      <c r="E172" s="24"/>
      <c r="AK172" s="638"/>
      <c r="AL172" s="638"/>
      <c r="AM172" s="638"/>
      <c r="AN172" s="638"/>
      <c r="AO172" s="638"/>
      <c r="AP172" s="638"/>
      <c r="AS172" s="18"/>
      <c r="AT172" s="18" t="s">
        <v>154</v>
      </c>
      <c r="AU172" s="18"/>
      <c r="AV172" s="18"/>
      <c r="AX172" s="21"/>
      <c r="AY172" s="21"/>
      <c r="AZ172" s="21"/>
      <c r="BA172" s="21"/>
      <c r="BB172" s="21"/>
      <c r="BC172" s="21"/>
      <c r="BK172" s="21"/>
      <c r="BL172" s="21"/>
      <c r="BM172" s="21"/>
      <c r="BN172" s="21"/>
      <c r="BO172" s="21"/>
      <c r="BP172" s="21"/>
    </row>
    <row r="173" spans="2:68" ht="21" customHeight="1" x14ac:dyDescent="0.3">
      <c r="B173" s="18"/>
      <c r="C173" s="18" t="s">
        <v>206</v>
      </c>
      <c r="D173" s="30"/>
      <c r="E173" s="24"/>
      <c r="AK173" s="638"/>
      <c r="AL173" s="638"/>
      <c r="AM173" s="638"/>
      <c r="AN173" s="638"/>
      <c r="AO173" s="638"/>
      <c r="AP173" s="638"/>
      <c r="AS173" s="16"/>
      <c r="AT173" s="16"/>
      <c r="AV173" s="16"/>
      <c r="AX173" s="21"/>
      <c r="AY173" s="21"/>
      <c r="AZ173" s="21"/>
      <c r="BA173" s="21"/>
      <c r="BB173" s="21"/>
      <c r="BC173" s="21"/>
      <c r="BK173" s="21"/>
      <c r="BL173" s="21"/>
      <c r="BM173" s="21"/>
      <c r="BN173" s="21"/>
      <c r="BO173" s="21"/>
      <c r="BP173" s="21"/>
    </row>
    <row r="174" spans="2:68" ht="21" customHeight="1" x14ac:dyDescent="0.3">
      <c r="B174" s="18"/>
      <c r="C174" s="18" t="s">
        <v>207</v>
      </c>
      <c r="D174" s="30"/>
      <c r="E174" s="24"/>
      <c r="AK174" s="638"/>
      <c r="AL174" s="638"/>
      <c r="AM174" s="638"/>
      <c r="AN174" s="638"/>
      <c r="AO174" s="638"/>
      <c r="AP174" s="638"/>
      <c r="AS174" s="16"/>
      <c r="AT174" s="16"/>
      <c r="AV174" s="16"/>
      <c r="AX174" s="21"/>
      <c r="AY174" s="21"/>
      <c r="AZ174" s="21"/>
      <c r="BA174" s="21"/>
      <c r="BB174" s="21"/>
      <c r="BC174" s="21"/>
      <c r="BK174" s="21"/>
      <c r="BL174" s="21"/>
      <c r="BM174" s="21"/>
      <c r="BN174" s="21"/>
      <c r="BO174" s="21"/>
      <c r="BP174" s="21"/>
    </row>
    <row r="175" spans="2:68" ht="21" customHeight="1" x14ac:dyDescent="0.3">
      <c r="B175" s="18"/>
      <c r="C175" s="18" t="s">
        <v>208</v>
      </c>
      <c r="D175" s="18"/>
      <c r="E175" s="18"/>
      <c r="AK175" s="638"/>
      <c r="AL175" s="638"/>
      <c r="AM175" s="638"/>
      <c r="AN175" s="638"/>
      <c r="AO175" s="638"/>
      <c r="AP175" s="638"/>
      <c r="AX175" s="21"/>
      <c r="AY175" s="21"/>
      <c r="AZ175" s="21"/>
      <c r="BA175" s="21"/>
      <c r="BB175" s="21"/>
      <c r="BC175" s="21"/>
      <c r="BK175" s="21"/>
      <c r="BL175" s="21"/>
      <c r="BM175" s="21"/>
      <c r="BN175" s="21"/>
      <c r="BO175" s="21"/>
      <c r="BP175" s="21"/>
    </row>
    <row r="176" spans="2:68" ht="21" customHeight="1" x14ac:dyDescent="0.3">
      <c r="AK176" s="638"/>
      <c r="AL176" s="638"/>
      <c r="AM176" s="638"/>
      <c r="AN176" s="638"/>
      <c r="AO176" s="638"/>
      <c r="AP176" s="638"/>
      <c r="AX176" s="21"/>
      <c r="AY176" s="21"/>
      <c r="AZ176" s="21"/>
      <c r="BA176" s="21"/>
      <c r="BB176" s="21"/>
      <c r="BC176" s="21"/>
      <c r="BK176" s="21"/>
      <c r="BL176" s="21"/>
      <c r="BM176" s="21"/>
      <c r="BN176" s="21"/>
      <c r="BO176" s="21"/>
      <c r="BP176" s="21"/>
    </row>
    <row r="177" spans="37:68" ht="21" customHeight="1" x14ac:dyDescent="0.3">
      <c r="AK177" s="638"/>
      <c r="AL177" s="638"/>
      <c r="AM177" s="638"/>
      <c r="AN177" s="638"/>
      <c r="AO177" s="638"/>
      <c r="AP177" s="638"/>
      <c r="AX177" s="21"/>
      <c r="AY177" s="21"/>
      <c r="AZ177" s="21"/>
      <c r="BA177" s="21"/>
      <c r="BB177" s="21"/>
      <c r="BC177" s="21"/>
      <c r="BK177" s="21"/>
      <c r="BL177" s="21"/>
      <c r="BM177" s="21"/>
      <c r="BN177" s="21"/>
      <c r="BO177" s="21"/>
      <c r="BP177" s="21"/>
    </row>
    <row r="178" spans="37:68" ht="21" customHeight="1" x14ac:dyDescent="0.3">
      <c r="AK178" s="638"/>
      <c r="AL178" s="638"/>
      <c r="AM178" s="638"/>
      <c r="AN178" s="638"/>
      <c r="AO178" s="638"/>
      <c r="AP178" s="638"/>
      <c r="AX178" s="21"/>
      <c r="AY178" s="21"/>
      <c r="AZ178" s="21"/>
      <c r="BA178" s="21"/>
      <c r="BB178" s="21"/>
      <c r="BC178" s="21"/>
      <c r="BK178" s="21"/>
      <c r="BL178" s="21"/>
      <c r="BM178" s="21"/>
      <c r="BO178" s="21"/>
      <c r="BP178" s="21"/>
    </row>
    <row r="179" spans="37:68" ht="21" customHeight="1" x14ac:dyDescent="0.3">
      <c r="AK179" s="638"/>
      <c r="AL179" s="638"/>
      <c r="AM179" s="638"/>
      <c r="AN179" s="638"/>
      <c r="AO179" s="638"/>
      <c r="AP179" s="638"/>
      <c r="AX179" s="21"/>
      <c r="AY179" s="21"/>
      <c r="AZ179" s="21"/>
      <c r="BA179" s="21"/>
      <c r="BB179" s="21"/>
      <c r="BC179" s="21"/>
      <c r="BK179" s="21"/>
      <c r="BL179" s="21"/>
      <c r="BM179" s="21"/>
      <c r="BN179" s="21"/>
      <c r="BO179" s="21"/>
      <c r="BP179" s="21"/>
    </row>
    <row r="180" spans="37:68" ht="21" customHeight="1" x14ac:dyDescent="0.3">
      <c r="AK180" s="638"/>
      <c r="AL180" s="638"/>
      <c r="AM180" s="638"/>
      <c r="AN180" s="638"/>
      <c r="AO180" s="638"/>
      <c r="AP180" s="638"/>
      <c r="AX180" s="21"/>
      <c r="AY180" s="21"/>
      <c r="AZ180" s="21"/>
      <c r="BA180" s="21"/>
      <c r="BB180" s="21"/>
      <c r="BC180" s="21"/>
      <c r="BK180" s="21"/>
      <c r="BL180" s="21"/>
      <c r="BM180" s="21"/>
      <c r="BN180" s="21"/>
      <c r="BO180" s="21"/>
      <c r="BP180" s="21"/>
    </row>
    <row r="181" spans="37:68" ht="21" customHeight="1" x14ac:dyDescent="0.3">
      <c r="AK181" s="638"/>
      <c r="AL181" s="638"/>
      <c r="AM181" s="638"/>
      <c r="AN181" s="638"/>
      <c r="AO181" s="638"/>
      <c r="AP181" s="638"/>
      <c r="AX181" s="21"/>
      <c r="AY181" s="21"/>
      <c r="AZ181" s="21"/>
      <c r="BA181" s="21"/>
      <c r="BB181" s="21"/>
      <c r="BC181" s="21"/>
      <c r="BK181" s="21"/>
      <c r="BL181" s="21"/>
      <c r="BM181" s="21"/>
      <c r="BN181" s="21"/>
      <c r="BO181" s="21"/>
      <c r="BP181" s="21"/>
    </row>
    <row r="182" spans="37:68" ht="21" customHeight="1" x14ac:dyDescent="0.3">
      <c r="AK182" s="638"/>
      <c r="AL182" s="638"/>
      <c r="AM182" s="638"/>
      <c r="AN182" s="638"/>
      <c r="AO182" s="638"/>
      <c r="AP182" s="638"/>
      <c r="AX182" s="21"/>
      <c r="AY182" s="21"/>
      <c r="AZ182" s="21"/>
      <c r="BA182" s="21"/>
      <c r="BB182" s="21"/>
      <c r="BC182" s="21"/>
      <c r="BK182" s="21"/>
      <c r="BL182" s="21"/>
      <c r="BM182" s="21"/>
      <c r="BN182" s="21"/>
      <c r="BO182" s="21"/>
      <c r="BP182" s="21"/>
    </row>
    <row r="183" spans="37:68" ht="21" customHeight="1" x14ac:dyDescent="0.3">
      <c r="AK183" s="638"/>
      <c r="AL183" s="638"/>
      <c r="AM183" s="638"/>
      <c r="AN183" s="638"/>
      <c r="AO183" s="638"/>
      <c r="AP183" s="638"/>
      <c r="AX183" s="21"/>
      <c r="AY183" s="21"/>
      <c r="AZ183" s="21"/>
      <c r="BA183" s="21"/>
      <c r="BB183" s="21"/>
      <c r="BC183" s="21"/>
      <c r="BK183" s="21"/>
      <c r="BL183" s="21"/>
      <c r="BM183" s="21"/>
      <c r="BN183" s="21"/>
      <c r="BO183" s="21"/>
      <c r="BP183" s="21"/>
    </row>
    <row r="184" spans="37:68" ht="21" customHeight="1" x14ac:dyDescent="0.3">
      <c r="AK184" s="638"/>
      <c r="AL184" s="638"/>
      <c r="AM184" s="638"/>
      <c r="AN184" s="638"/>
      <c r="AO184" s="638"/>
      <c r="AP184" s="638"/>
      <c r="AX184" s="21"/>
      <c r="AY184" s="21"/>
      <c r="AZ184" s="21"/>
      <c r="BA184" s="21"/>
      <c r="BB184" s="21"/>
      <c r="BC184" s="21"/>
      <c r="BK184" s="21"/>
      <c r="BL184" s="21"/>
      <c r="BM184" s="21"/>
      <c r="BN184" s="21"/>
      <c r="BO184" s="21"/>
      <c r="BP184" s="21"/>
    </row>
    <row r="185" spans="37:68" ht="21" customHeight="1" x14ac:dyDescent="0.3">
      <c r="AK185" s="638"/>
      <c r="AL185" s="638"/>
      <c r="AM185" s="638"/>
      <c r="AN185" s="638"/>
      <c r="AO185" s="638"/>
      <c r="AP185" s="638"/>
      <c r="AX185" s="21"/>
      <c r="AY185" s="21"/>
      <c r="AZ185" s="21"/>
      <c r="BA185" s="21"/>
      <c r="BB185" s="21"/>
      <c r="BC185" s="21"/>
      <c r="BK185" s="21"/>
      <c r="BL185" s="21"/>
      <c r="BM185" s="21"/>
      <c r="BN185" s="21"/>
      <c r="BO185" s="21"/>
      <c r="BP185" s="21"/>
    </row>
    <row r="186" spans="37:68" ht="21" customHeight="1" x14ac:dyDescent="0.3">
      <c r="AK186" s="638"/>
      <c r="AL186" s="638"/>
      <c r="AM186" s="638"/>
      <c r="AN186" s="638"/>
      <c r="AO186" s="638"/>
      <c r="AP186" s="638"/>
      <c r="AX186" s="21"/>
      <c r="AY186" s="21"/>
      <c r="AZ186" s="21"/>
      <c r="BA186" s="21"/>
      <c r="BB186" s="21"/>
      <c r="BC186" s="21"/>
      <c r="BK186" s="21"/>
      <c r="BL186" s="21"/>
      <c r="BM186" s="21"/>
      <c r="BN186" s="21"/>
      <c r="BO186" s="21"/>
      <c r="BP186" s="21"/>
    </row>
    <row r="187" spans="37:68" ht="21" customHeight="1" x14ac:dyDescent="0.3">
      <c r="AK187" s="639"/>
      <c r="AL187" s="639"/>
      <c r="AM187" s="639"/>
      <c r="AN187" s="639"/>
      <c r="AO187" s="639"/>
      <c r="AP187" s="639"/>
      <c r="AX187" s="21"/>
      <c r="AY187" s="21"/>
      <c r="AZ187" s="21"/>
      <c r="BA187" s="21"/>
      <c r="BB187" s="21"/>
      <c r="BC187" s="21"/>
      <c r="BK187" s="21"/>
      <c r="BL187" s="21"/>
      <c r="BM187" s="21"/>
      <c r="BN187" s="21"/>
      <c r="BO187" s="21"/>
      <c r="BP187" s="21"/>
    </row>
  </sheetData>
  <mergeCells count="1">
    <mergeCell ref="AK166:AP187"/>
  </mergeCells>
  <pageMargins left="0.7" right="0.7" top="0.75" bottom="0.75" header="0.3" footer="0.3"/>
  <pageSetup paperSize="9" orientation="portrait" horizontalDpi="4294967293"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3"/>
  <dimension ref="B11:AP63"/>
  <sheetViews>
    <sheetView topLeftCell="A19" zoomScale="85" zoomScaleNormal="85" workbookViewId="0">
      <selection activeCell="O28" sqref="O28"/>
    </sheetView>
  </sheetViews>
  <sheetFormatPr defaultRowHeight="15" x14ac:dyDescent="0.25"/>
  <cols>
    <col min="1" max="1" width="9.140625" style="23"/>
    <col min="2" max="2" width="9.140625" style="23" customWidth="1"/>
    <col min="3" max="3" width="11.85546875" style="23" customWidth="1"/>
    <col min="4" max="4" width="9.140625" style="23" customWidth="1"/>
    <col min="5" max="5" width="9.140625" style="23"/>
    <col min="6" max="6" width="17.85546875" style="23" customWidth="1"/>
    <col min="7" max="7" width="9.140625" style="23"/>
    <col min="8" max="8" width="13.85546875" style="23" customWidth="1"/>
    <col min="9" max="9" width="9.140625" style="23"/>
    <col min="10" max="10" width="9.7109375" style="23" customWidth="1"/>
    <col min="11" max="11" width="36.5703125" style="23" customWidth="1"/>
    <col min="12" max="12" width="19.140625" style="92" customWidth="1"/>
    <col min="13" max="18" width="21" style="92" customWidth="1"/>
    <col min="19" max="16384" width="9.140625" style="23"/>
  </cols>
  <sheetData>
    <row r="11" spans="2:10" ht="53.25" customHeight="1" x14ac:dyDescent="0.25">
      <c r="B11" s="21"/>
      <c r="C11" s="21"/>
      <c r="D11" s="46"/>
      <c r="E11" s="46"/>
      <c r="F11" s="46"/>
      <c r="G11" s="46"/>
      <c r="H11" s="46"/>
      <c r="I11" s="21"/>
      <c r="J11" s="21"/>
    </row>
    <row r="12" spans="2:10" ht="15.75" x14ac:dyDescent="0.25">
      <c r="B12" s="46">
        <f>'Вывод расчетов (1-11)'!AH4</f>
        <v>25000</v>
      </c>
      <c r="C12" s="46">
        <f>'Вывод расчетов (1-11)'!AH6</f>
        <v>380</v>
      </c>
      <c r="D12" s="46">
        <f>'Вывод расчетов (1-11)'!CC48</f>
        <v>28.318471799333043</v>
      </c>
      <c r="E12" s="46">
        <f>'Вывод расчетов (1-11)'!AN16</f>
        <v>2</v>
      </c>
      <c r="F12" s="46">
        <f>('Вывод расчетов (1-11)'!NA125+'Вывод расчетов (1-11)'!NA126)/1000</f>
        <v>1.8694015162682791</v>
      </c>
      <c r="G12" s="46">
        <f>'Вывод расчетов (1-11)'!RB76</f>
        <v>1.2789576213148179</v>
      </c>
      <c r="H12" s="46">
        <f>'Вывод расчетов (1-11)'!IV116</f>
        <v>5.016966104470594</v>
      </c>
      <c r="I12" s="93">
        <f>'Вывод расчетов (1-11)'!AH6</f>
        <v>380</v>
      </c>
      <c r="J12" s="93">
        <f>'Вывод расчетов (1-11)'!CC48</f>
        <v>28.318471799333043</v>
      </c>
    </row>
    <row r="15" spans="2:10" ht="38.25" customHeight="1" x14ac:dyDescent="0.25">
      <c r="B15" s="46"/>
      <c r="C15" s="46"/>
      <c r="D15" s="21"/>
      <c r="E15" s="21"/>
      <c r="F15" s="21"/>
      <c r="G15" s="21"/>
      <c r="H15" s="21"/>
      <c r="I15" s="22"/>
      <c r="J15" s="22"/>
    </row>
    <row r="16" spans="2:10" x14ac:dyDescent="0.25">
      <c r="B16" s="21">
        <f>'Вывод расчетов (1-11)'!MD12</f>
        <v>0.11886056139757273</v>
      </c>
      <c r="C16" s="21" t="e">
        <f>'Вывод расчетов (1-11)'!MD56</f>
        <v>#REF!</v>
      </c>
      <c r="D16" s="21">
        <f>'Вывод расчетов (1-11)'!RB75</f>
        <v>1.0020088414721124</v>
      </c>
      <c r="E16" s="21">
        <f>'Вывод расчетов (1-11)'!RB77</f>
        <v>1.0040217183882849</v>
      </c>
      <c r="F16" s="21">
        <f>'Вывод расчетов (1-11)'!RB78</f>
        <v>0.11909933342270675</v>
      </c>
      <c r="G16" s="21">
        <f>'Вывод расчетов (1-11)'!RB79</f>
        <v>0</v>
      </c>
      <c r="H16" s="21">
        <f>'Вывод расчетов (1-11)'!RB80</f>
        <v>0.15280092654446645</v>
      </c>
      <c r="I16" s="22"/>
      <c r="J16" s="22"/>
    </row>
    <row r="17" spans="10:42" x14ac:dyDescent="0.25">
      <c r="Y17" s="22"/>
      <c r="Z17" s="22"/>
      <c r="AA17" s="22"/>
      <c r="AB17" s="22"/>
      <c r="AC17" s="22"/>
      <c r="AD17" s="22"/>
      <c r="AE17" s="22"/>
      <c r="AF17" s="22"/>
      <c r="AG17" s="22"/>
      <c r="AH17" s="22"/>
      <c r="AI17" s="22"/>
      <c r="AJ17" s="22"/>
      <c r="AK17" s="22"/>
      <c r="AL17" s="22"/>
      <c r="AM17" s="22"/>
      <c r="AN17" s="22"/>
      <c r="AO17" s="22"/>
      <c r="AP17" s="22"/>
    </row>
    <row r="18" spans="10:42" x14ac:dyDescent="0.25">
      <c r="Y18" s="22"/>
      <c r="Z18" s="22"/>
      <c r="AA18" s="22"/>
      <c r="AB18" s="22"/>
      <c r="AC18" s="22"/>
      <c r="AD18" s="22"/>
      <c r="AE18" s="22"/>
      <c r="AF18" s="49"/>
      <c r="AG18" s="22"/>
      <c r="AH18" s="22"/>
      <c r="AI18" s="22"/>
      <c r="AJ18" s="22"/>
      <c r="AK18" s="22"/>
      <c r="AL18" s="22"/>
      <c r="AM18" s="22"/>
      <c r="AN18" s="22"/>
      <c r="AO18" s="22"/>
      <c r="AP18" s="22"/>
    </row>
    <row r="19" spans="10:42" x14ac:dyDescent="0.25">
      <c r="Y19" s="22"/>
      <c r="Z19" s="22"/>
      <c r="AA19" s="22"/>
      <c r="AB19" s="22"/>
      <c r="AC19" s="22"/>
      <c r="AD19" s="22"/>
      <c r="AE19" s="22"/>
      <c r="AF19" s="49"/>
      <c r="AG19" s="22"/>
      <c r="AH19" s="22"/>
      <c r="AI19" s="22"/>
      <c r="AJ19" s="22"/>
      <c r="AK19" s="22"/>
      <c r="AL19" s="22"/>
      <c r="AM19" s="22"/>
      <c r="AN19" s="22"/>
      <c r="AO19" s="22"/>
      <c r="AP19" s="22"/>
    </row>
    <row r="20" spans="10:42" ht="26.25" customHeight="1" x14ac:dyDescent="0.25">
      <c r="Y20" s="22"/>
      <c r="Z20" s="22"/>
      <c r="AA20" s="22"/>
      <c r="AB20" s="22"/>
      <c r="AC20" s="22"/>
      <c r="AD20" s="22"/>
      <c r="AE20" s="22"/>
      <c r="AF20" s="22"/>
      <c r="AG20" s="22"/>
      <c r="AH20" s="22"/>
      <c r="AI20" s="22"/>
      <c r="AJ20" s="22"/>
      <c r="AK20" s="22"/>
      <c r="AL20" s="22"/>
      <c r="AM20" s="22"/>
      <c r="AN20" s="22"/>
      <c r="AO20" s="22"/>
      <c r="AP20" s="22"/>
    </row>
    <row r="21" spans="10:42" x14ac:dyDescent="0.25">
      <c r="Y21" s="22"/>
      <c r="Z21" s="22"/>
      <c r="AA21" s="22"/>
      <c r="AB21" s="22"/>
      <c r="AC21" s="22"/>
      <c r="AD21" s="22"/>
      <c r="AE21" s="22"/>
      <c r="AF21" s="22"/>
      <c r="AG21" s="22"/>
      <c r="AH21" s="22"/>
      <c r="AI21" s="22"/>
      <c r="AJ21" s="22"/>
      <c r="AK21" s="22"/>
      <c r="AL21" s="22"/>
      <c r="AM21" s="22"/>
      <c r="AN21" s="22"/>
      <c r="AO21" s="22"/>
      <c r="AP21" s="22"/>
    </row>
    <row r="22" spans="10:42" x14ac:dyDescent="0.25">
      <c r="K22" s="47" t="s">
        <v>330</v>
      </c>
      <c r="L22" s="47" t="s">
        <v>572</v>
      </c>
      <c r="M22" s="47">
        <v>1</v>
      </c>
      <c r="N22" s="47">
        <v>0.8</v>
      </c>
      <c r="O22" s="47">
        <v>0.5</v>
      </c>
      <c r="P22" s="47">
        <v>0.2</v>
      </c>
      <c r="Q22" s="47">
        <v>0.1</v>
      </c>
      <c r="R22" s="47">
        <v>0.8</v>
      </c>
      <c r="Y22" s="22"/>
      <c r="Z22" s="22"/>
      <c r="AA22" s="22"/>
      <c r="AB22" s="22"/>
      <c r="AC22" s="22"/>
      <c r="AD22" s="22"/>
      <c r="AE22" s="22"/>
      <c r="AF22" s="22"/>
      <c r="AG22" s="22"/>
      <c r="AH22" s="22"/>
      <c r="AI22" s="22"/>
      <c r="AJ22" s="22"/>
      <c r="AK22" s="22"/>
      <c r="AL22" s="22"/>
      <c r="AM22" s="22"/>
      <c r="AN22" s="22"/>
      <c r="AO22" s="22"/>
      <c r="AP22" s="22"/>
    </row>
    <row r="23" spans="10:42" ht="43.5" customHeight="1" x14ac:dyDescent="0.25">
      <c r="J23" s="96"/>
      <c r="K23" s="21"/>
      <c r="L23" s="47" t="s">
        <v>547</v>
      </c>
      <c r="M23" s="97">
        <f>63.61*'Вывод расчетов (1-11)'!TV102*(M22^(1/2))</f>
        <v>1.3346931716094541</v>
      </c>
      <c r="N23" s="97">
        <f>63.61*'Вывод расчетов (1-11)'!TV102*(N22^(1/2))</f>
        <v>1.1937858643294126</v>
      </c>
      <c r="O23" s="97">
        <f>63.61*'Вывод расчетов (1-11)'!TV102*(O22^(1/2))</f>
        <v>0.94377059244842543</v>
      </c>
      <c r="P23" s="97">
        <f>63.61*'Вывод расчетов (1-11)'!TV102*(P22^(1/2))</f>
        <v>0.59689293216470629</v>
      </c>
      <c r="Q23" s="97">
        <f>63.61*'Вывод расчетов (1-11)'!TV102*(Q22^(1/2))</f>
        <v>0.42206703997598577</v>
      </c>
      <c r="R23" s="97">
        <f>63.61*'Вывод расчетов (1-11)'!TV102*(R22^(1/2))</f>
        <v>1.1937858643294126</v>
      </c>
      <c r="Y23" s="22"/>
      <c r="Z23" s="22"/>
      <c r="AA23" s="22"/>
      <c r="AB23" s="22"/>
      <c r="AC23" s="22"/>
      <c r="AD23" s="22"/>
      <c r="AE23" s="22"/>
      <c r="AF23" s="22"/>
      <c r="AG23" s="22"/>
      <c r="AH23" s="22"/>
      <c r="AI23" s="22"/>
      <c r="AJ23" s="22"/>
      <c r="AK23" s="22"/>
      <c r="AL23" s="22"/>
      <c r="AM23" s="22"/>
      <c r="AN23" s="22"/>
      <c r="AO23" s="22"/>
      <c r="AP23" s="22"/>
    </row>
    <row r="24" spans="10:42" ht="39.75" customHeight="1" x14ac:dyDescent="0.25">
      <c r="J24" s="96"/>
      <c r="K24" s="21"/>
      <c r="L24" s="47" t="s">
        <v>547</v>
      </c>
      <c r="M24" s="98">
        <f>0.9</f>
        <v>0.9</v>
      </c>
      <c r="N24" s="98">
        <v>0.55000000000000004</v>
      </c>
      <c r="O24" s="98">
        <v>0.5</v>
      </c>
      <c r="P24" s="98">
        <v>0.4</v>
      </c>
      <c r="Q24" s="98">
        <v>0.3</v>
      </c>
      <c r="R24" s="98">
        <v>0.55000000000000004</v>
      </c>
      <c r="Y24" s="22"/>
      <c r="Z24" s="22"/>
      <c r="AA24" s="22"/>
      <c r="AB24" s="22"/>
      <c r="AC24" s="22"/>
      <c r="AD24" s="22"/>
      <c r="AE24" s="22"/>
      <c r="AF24" s="22"/>
      <c r="AG24" s="22"/>
      <c r="AH24" s="22"/>
      <c r="AI24" s="22"/>
      <c r="AJ24" s="22"/>
      <c r="AK24" s="22"/>
      <c r="AL24" s="22"/>
      <c r="AM24" s="22"/>
      <c r="AN24" s="22"/>
      <c r="AO24" s="22"/>
      <c r="AP24" s="22"/>
    </row>
    <row r="25" spans="10:42" ht="39.75" customHeight="1" x14ac:dyDescent="0.25">
      <c r="J25" s="96"/>
      <c r="K25" s="21"/>
      <c r="L25" s="47" t="s">
        <v>547</v>
      </c>
      <c r="M25" s="98">
        <v>0.5</v>
      </c>
      <c r="N25" s="98">
        <v>0.45</v>
      </c>
      <c r="O25" s="98">
        <v>0.4</v>
      </c>
      <c r="P25" s="98">
        <v>0.3</v>
      </c>
      <c r="Q25" s="98">
        <v>0.2</v>
      </c>
      <c r="R25" s="98">
        <v>0.45</v>
      </c>
      <c r="Y25" s="22"/>
      <c r="Z25" s="22"/>
      <c r="AA25" s="22"/>
      <c r="AB25" s="22"/>
      <c r="AC25" s="22"/>
      <c r="AD25" s="22"/>
      <c r="AE25" s="22"/>
      <c r="AF25" s="22"/>
      <c r="AG25" s="22"/>
      <c r="AH25" s="22"/>
      <c r="AI25" s="22"/>
      <c r="AJ25" s="22"/>
      <c r="AK25" s="22"/>
      <c r="AL25" s="22"/>
      <c r="AM25" s="22"/>
      <c r="AN25" s="22"/>
      <c r="AO25" s="22"/>
      <c r="AP25" s="22"/>
    </row>
    <row r="26" spans="10:42" ht="61.5" customHeight="1" x14ac:dyDescent="0.25">
      <c r="J26" s="96"/>
      <c r="K26" s="21"/>
      <c r="L26" s="47" t="s">
        <v>547</v>
      </c>
      <c r="M26" s="97">
        <f>'Вывод расчетов (1-11)'!$TV$102/(1+'Рабочие и пусковые'!M24)</f>
        <v>1.1043390824096295E-2</v>
      </c>
      <c r="N26" s="97">
        <f>'Вывод расчетов (1-11)'!$TV$102/(1+'Рабочие и пусковые'!N24)</f>
        <v>1.3537059719859973E-2</v>
      </c>
      <c r="O26" s="97">
        <f>'Вывод расчетов (1-11)'!$TV$102/(1+'Рабочие и пусковые'!O24)</f>
        <v>1.3988295043855306E-2</v>
      </c>
      <c r="P26" s="97">
        <f>'Вывод расчетов (1-11)'!$TV$102/(1+'Рабочие и пусковые'!P24)</f>
        <v>1.4987458975559257E-2</v>
      </c>
      <c r="Q26" s="97">
        <f>'Вывод расчетов (1-11)'!$TV$102/(1+'Рабочие и пусковые'!Q24)</f>
        <v>1.614034043521766E-2</v>
      </c>
      <c r="R26" s="97">
        <f>'Вывод расчетов (1-11)'!$TV$102/(1+'Рабочие и пусковые'!R24)</f>
        <v>1.3537059719859973E-2</v>
      </c>
      <c r="Y26" s="22"/>
      <c r="Z26" s="22"/>
      <c r="AA26" s="22"/>
      <c r="AB26" s="22"/>
      <c r="AC26" s="22"/>
      <c r="AD26" s="22"/>
      <c r="AE26" s="22"/>
      <c r="AF26" s="22"/>
      <c r="AG26" s="22"/>
      <c r="AH26" s="22"/>
      <c r="AI26" s="22"/>
      <c r="AJ26" s="22"/>
      <c r="AK26" s="22"/>
      <c r="AL26" s="22"/>
      <c r="AM26" s="22"/>
      <c r="AN26" s="22"/>
      <c r="AO26" s="22"/>
      <c r="AP26" s="22"/>
    </row>
    <row r="27" spans="10:42" ht="74.25" customHeight="1" x14ac:dyDescent="0.25">
      <c r="J27" s="96"/>
      <c r="K27" s="21"/>
      <c r="L27" s="47" t="s">
        <v>547</v>
      </c>
      <c r="M27" s="97">
        <f>'Вывод расчетов (1-11)'!$GK$100/((3.14*('Вывод расчетов (1-11)'!$EE$72)^2)/((4*(M25+1))))</f>
        <v>4.1486766185646191</v>
      </c>
      <c r="N27" s="97">
        <f>'Вывод расчетов (1-11)'!$GK$100/((3.14*('Вывод расчетов (1-11)'!$EE$72)^2)/((4*(N25+1))))</f>
        <v>4.0103873979457987</v>
      </c>
      <c r="O27" s="97">
        <f>'Вывод расчетов (1-11)'!$GK$100/((3.14*('Вывод расчетов (1-11)'!$EE$72)^2)/((4*(O25+1))))</f>
        <v>3.8720981773269774</v>
      </c>
      <c r="P27" s="97">
        <f>'Вывод расчетов (1-11)'!$GK$100/((3.14*('Вывод расчетов (1-11)'!$EE$72)^2)/((4*(P25+1))))</f>
        <v>3.5955197360893365</v>
      </c>
      <c r="Q27" s="97">
        <f>'Вывод расчетов (1-11)'!$GK$100/((3.14*('Вывод расчетов (1-11)'!$EE$72)^2)/((4*(Q25+1))))</f>
        <v>3.3189412948516948</v>
      </c>
      <c r="R27" s="97">
        <f>'Вывод расчетов (1-11)'!$GK$100/((3.14*('Вывод расчетов (1-11)'!$EE$72)^2)/((4*(R25+1))))</f>
        <v>4.0103873979457987</v>
      </c>
      <c r="Y27" s="22"/>
      <c r="Z27" s="22"/>
      <c r="AA27" s="22"/>
      <c r="AB27" s="22"/>
      <c r="AC27" s="22"/>
      <c r="AD27" s="22"/>
      <c r="AE27" s="22"/>
      <c r="AF27" s="22"/>
      <c r="AG27" s="22"/>
      <c r="AH27" s="22"/>
      <c r="AI27" s="22"/>
      <c r="AJ27" s="22"/>
      <c r="AK27" s="22"/>
      <c r="AL27" s="22"/>
      <c r="AM27" s="22"/>
      <c r="AN27" s="22"/>
      <c r="AO27" s="22"/>
      <c r="AP27" s="22"/>
    </row>
    <row r="28" spans="10:42" ht="64.5" customHeight="1" x14ac:dyDescent="0.25">
      <c r="J28" s="96"/>
      <c r="K28" s="21"/>
      <c r="L28" s="47" t="s">
        <v>547</v>
      </c>
      <c r="M28" s="97">
        <f>1+('Вывод расчетов (1-11)'!$MD$40/'Вывод расчетов (1-11)'!$MD$44)*(M27-1)</f>
        <v>1563.3245390385491</v>
      </c>
      <c r="N28" s="97">
        <f>1+('Вывод расчетов (1-11)'!$MD$40/'Вывод расчетов (1-11)'!$MD$44)*(N27-1)</f>
        <v>1494.7075710134905</v>
      </c>
      <c r="O28" s="97">
        <f>1+('Вывод расчетов (1-11)'!$MD$40/'Вывод расчетов (1-11)'!$MD$44)*(O27-1)</f>
        <v>1426.0906029884311</v>
      </c>
      <c r="P28" s="97">
        <f>1+('Вывод расчетов (1-11)'!$MD$40/'Вывод расчетов (1-11)'!$MD$44)*(P27-1)</f>
        <v>1288.8566669383133</v>
      </c>
      <c r="Q28" s="97">
        <f>1+('Вывод расчетов (1-11)'!$MD$40/'Вывод расчетов (1-11)'!$MD$44)*(Q27-1)</f>
        <v>1151.6227308881953</v>
      </c>
      <c r="R28" s="97">
        <f>1+('Вывод расчетов (1-11)'!$MD$40/'Вывод расчетов (1-11)'!$MD$44)*(R27-1)</f>
        <v>1494.7075710134905</v>
      </c>
      <c r="Y28" s="22"/>
      <c r="Z28" s="22"/>
      <c r="AA28" s="22"/>
      <c r="AB28" s="22"/>
      <c r="AC28" s="22"/>
      <c r="AD28" s="22"/>
      <c r="AE28" s="22"/>
      <c r="AF28" s="22"/>
      <c r="AG28" s="22"/>
      <c r="AH28" s="22"/>
      <c r="AI28" s="22"/>
      <c r="AJ28" s="22"/>
      <c r="AK28" s="22"/>
      <c r="AL28" s="22"/>
      <c r="AM28" s="22"/>
      <c r="AN28" s="22"/>
      <c r="AO28" s="22"/>
      <c r="AP28" s="22"/>
    </row>
    <row r="29" spans="10:42" ht="39.75" customHeight="1" x14ac:dyDescent="0.25">
      <c r="J29" s="96"/>
      <c r="K29" s="21"/>
      <c r="L29" s="47" t="s">
        <v>573</v>
      </c>
      <c r="M29" s="97" t="e">
        <f>M28*'Вывод расчетов (1-11)'!$MD$56</f>
        <v>#REF!</v>
      </c>
      <c r="N29" s="97" t="e">
        <f>N28*'Вывод расчетов (1-11)'!$MD$56</f>
        <v>#REF!</v>
      </c>
      <c r="O29" s="97" t="e">
        <f>O28*'Вывод расчетов (1-11)'!$MD$56</f>
        <v>#REF!</v>
      </c>
      <c r="P29" s="97" t="e">
        <f>P28*'Вывод расчетов (1-11)'!$MD$56</f>
        <v>#REF!</v>
      </c>
      <c r="Q29" s="97" t="e">
        <f>Q28*'Вывод расчетов (1-11)'!$MD$56</f>
        <v>#REF!</v>
      </c>
      <c r="R29" s="97" t="e">
        <f>R28*'Вывод расчетов (1-11)'!$MD$56</f>
        <v>#REF!</v>
      </c>
      <c r="Y29" s="22"/>
      <c r="Z29" s="22"/>
      <c r="AA29" s="22"/>
      <c r="AB29" s="22"/>
      <c r="AC29" s="22"/>
      <c r="AD29" s="22"/>
      <c r="AE29" s="22"/>
      <c r="AF29" s="22"/>
      <c r="AG29" s="22"/>
      <c r="AH29" s="22"/>
      <c r="AI29" s="22"/>
      <c r="AJ29" s="22"/>
      <c r="AK29" s="22"/>
      <c r="AL29" s="22"/>
      <c r="AM29" s="22"/>
      <c r="AN29" s="22"/>
      <c r="AO29" s="22"/>
      <c r="AP29" s="22"/>
    </row>
    <row r="30" spans="10:42" ht="38.25" customHeight="1" x14ac:dyDescent="0.25">
      <c r="J30" s="96"/>
      <c r="K30" s="21"/>
      <c r="L30" s="47" t="s">
        <v>547</v>
      </c>
      <c r="M30" s="97">
        <f>M25</f>
        <v>0.5</v>
      </c>
      <c r="N30" s="97">
        <f>N25</f>
        <v>0.45</v>
      </c>
      <c r="O30" s="97">
        <f t="shared" ref="O30:R30" si="0">O25</f>
        <v>0.4</v>
      </c>
      <c r="P30" s="97">
        <f t="shared" si="0"/>
        <v>0.3</v>
      </c>
      <c r="Q30" s="97">
        <f t="shared" si="0"/>
        <v>0.2</v>
      </c>
      <c r="R30" s="97">
        <f t="shared" si="0"/>
        <v>0.45</v>
      </c>
      <c r="Y30" s="22"/>
      <c r="Z30" s="22"/>
      <c r="AA30" s="22"/>
      <c r="AB30" s="22"/>
      <c r="AC30" s="22"/>
      <c r="AD30" s="22"/>
      <c r="AE30" s="22"/>
      <c r="AF30" s="22"/>
      <c r="AG30" s="22"/>
      <c r="AH30" s="22"/>
      <c r="AI30" s="22"/>
      <c r="AJ30" s="22"/>
      <c r="AK30" s="22"/>
      <c r="AL30" s="22"/>
      <c r="AM30" s="22"/>
      <c r="AN30" s="22"/>
      <c r="AO30" s="22"/>
      <c r="AP30" s="22"/>
    </row>
    <row r="31" spans="10:42" ht="36" customHeight="1" x14ac:dyDescent="0.25">
      <c r="J31" s="96"/>
      <c r="K31" s="21"/>
      <c r="L31" s="47" t="s">
        <v>547</v>
      </c>
      <c r="M31" s="97" t="s">
        <v>547</v>
      </c>
      <c r="N31" s="97" t="s">
        <v>547</v>
      </c>
      <c r="O31" s="97" t="s">
        <v>547</v>
      </c>
      <c r="P31" s="97" t="s">
        <v>547</v>
      </c>
      <c r="Q31" s="97" t="s">
        <v>547</v>
      </c>
      <c r="R31" s="97" t="s">
        <v>547</v>
      </c>
      <c r="Y31" s="22"/>
      <c r="Z31" s="22"/>
      <c r="AA31" s="22"/>
      <c r="AB31" s="22"/>
      <c r="AC31" s="22"/>
      <c r="AD31" s="22"/>
      <c r="AE31" s="22"/>
      <c r="AF31" s="22"/>
      <c r="AG31" s="22"/>
      <c r="AH31" s="22"/>
      <c r="AI31" s="22"/>
      <c r="AJ31" s="22"/>
      <c r="AK31" s="22"/>
      <c r="AL31" s="22"/>
      <c r="AM31" s="22"/>
      <c r="AN31" s="22"/>
      <c r="AO31" s="22"/>
      <c r="AP31" s="22"/>
    </row>
    <row r="32" spans="10:42" ht="72.75" customHeight="1" x14ac:dyDescent="0.25">
      <c r="J32" s="96"/>
      <c r="K32" s="21"/>
      <c r="L32" s="47" t="s">
        <v>547</v>
      </c>
      <c r="M32" s="97" t="s">
        <v>547</v>
      </c>
      <c r="N32" s="97" t="s">
        <v>547</v>
      </c>
      <c r="O32" s="97" t="s">
        <v>547</v>
      </c>
      <c r="P32" s="97" t="s">
        <v>547</v>
      </c>
      <c r="Q32" s="97" t="s">
        <v>547</v>
      </c>
      <c r="R32" s="97" t="s">
        <v>547</v>
      </c>
      <c r="Y32" s="22"/>
      <c r="Z32" s="22"/>
      <c r="AA32" s="22"/>
      <c r="AB32" s="22"/>
      <c r="AC32" s="22"/>
      <c r="AD32" s="22"/>
      <c r="AE32" s="22"/>
      <c r="AF32" s="22"/>
      <c r="AG32" s="22"/>
      <c r="AH32" s="22"/>
      <c r="AI32" s="22"/>
      <c r="AJ32" s="22"/>
      <c r="AK32" s="22"/>
      <c r="AL32" s="22"/>
      <c r="AM32" s="22"/>
      <c r="AN32" s="22"/>
      <c r="AO32" s="22"/>
      <c r="AP32" s="22"/>
    </row>
    <row r="33" spans="2:42" ht="38.25" customHeight="1" x14ac:dyDescent="0.25">
      <c r="J33" s="96"/>
      <c r="K33" s="21"/>
      <c r="L33" s="47" t="s">
        <v>573</v>
      </c>
      <c r="M33" s="97" t="s">
        <v>547</v>
      </c>
      <c r="N33" s="97" t="s">
        <v>547</v>
      </c>
      <c r="O33" s="97" t="s">
        <v>547</v>
      </c>
      <c r="P33" s="97" t="s">
        <v>547</v>
      </c>
      <c r="Q33" s="97" t="s">
        <v>547</v>
      </c>
      <c r="R33" s="97" t="s">
        <v>547</v>
      </c>
      <c r="Y33" s="22"/>
      <c r="Z33" s="22"/>
      <c r="AA33" s="22"/>
      <c r="AB33" s="22"/>
      <c r="AC33" s="22"/>
      <c r="AD33" s="22"/>
      <c r="AE33" s="22"/>
      <c r="AF33" s="22"/>
      <c r="AG33" s="22"/>
      <c r="AH33" s="22"/>
      <c r="AI33" s="22"/>
      <c r="AJ33" s="22"/>
      <c r="AK33" s="22"/>
      <c r="AL33" s="22"/>
      <c r="AM33" s="22"/>
      <c r="AN33" s="22"/>
      <c r="AO33" s="22"/>
      <c r="AP33" s="22"/>
    </row>
    <row r="34" spans="2:42" ht="63" customHeight="1" x14ac:dyDescent="0.25">
      <c r="J34" s="96"/>
      <c r="K34" s="21"/>
      <c r="L34" s="47" t="s">
        <v>573</v>
      </c>
      <c r="M34" s="97" t="e">
        <f>'Рабочие и пусковые'!$D$200+('Вывод расчетов (1-11)'!$TV$149*'Вывод расчетов (1-11)'!$TV$121)/M22</f>
        <v>#REF!</v>
      </c>
      <c r="N34" s="97" t="e">
        <f>'Рабочие и пусковые'!$D$200+('Вывод расчетов (1-11)'!$TV$149*'Вывод расчетов (1-11)'!$TV$121)/N22</f>
        <v>#REF!</v>
      </c>
      <c r="O34" s="97" t="e">
        <f>'Рабочие и пусковые'!$D$200+('Вывод расчетов (1-11)'!$TV$149*'Вывод расчетов (1-11)'!$TV$121)/O22</f>
        <v>#REF!</v>
      </c>
      <c r="P34" s="97" t="e">
        <f>'Рабочие и пусковые'!$D$200+('Вывод расчетов (1-11)'!$TV$149*'Вывод расчетов (1-11)'!$TV$121)/P22</f>
        <v>#REF!</v>
      </c>
      <c r="Q34" s="97" t="e">
        <f>'Рабочие и пусковые'!$D$200+('Вывод расчетов (1-11)'!$TV$149*'Вывод расчетов (1-11)'!$TV$121)/Q22</f>
        <v>#REF!</v>
      </c>
      <c r="R34" s="97" t="e">
        <f>'Рабочие и пусковые'!$D$200+('Вывод расчетов (1-11)'!$TV$149*'Вывод расчетов (1-11)'!$TV$121)/R22</f>
        <v>#REF!</v>
      </c>
      <c r="Y34" s="22"/>
      <c r="Z34" s="22"/>
      <c r="AA34" s="22"/>
      <c r="AB34" s="22"/>
      <c r="AC34" s="22"/>
      <c r="AD34" s="22"/>
      <c r="AE34" s="22"/>
      <c r="AF34" s="22"/>
      <c r="AG34" s="22"/>
      <c r="AH34" s="22"/>
      <c r="AI34" s="22"/>
      <c r="AJ34" s="22"/>
      <c r="AK34" s="22"/>
      <c r="AL34" s="22"/>
      <c r="AM34" s="22"/>
      <c r="AN34" s="22"/>
      <c r="AO34" s="22"/>
      <c r="AP34" s="22"/>
    </row>
    <row r="35" spans="2:42" ht="39" customHeight="1" x14ac:dyDescent="0.25">
      <c r="J35" s="96"/>
      <c r="K35" s="21"/>
      <c r="L35" s="47" t="s">
        <v>547</v>
      </c>
      <c r="M35" s="97" t="e">
        <f>'Вывод расчетов (1-11)'!$MD$64+'Вывод расчетов (1-11)'!$TV$149*'Вывод расчетов (1-11)'!$TV$121</f>
        <v>#REF!</v>
      </c>
      <c r="N35" s="97" t="s">
        <v>547</v>
      </c>
      <c r="O35" s="97" t="s">
        <v>547</v>
      </c>
      <c r="P35" s="97" t="s">
        <v>547</v>
      </c>
      <c r="Q35" s="97" t="s">
        <v>547</v>
      </c>
      <c r="R35" s="97" t="s">
        <v>547</v>
      </c>
      <c r="Y35" s="22"/>
      <c r="Z35" s="22"/>
      <c r="AA35" s="22"/>
      <c r="AB35" s="22"/>
      <c r="AC35" s="22"/>
      <c r="AD35" s="22"/>
      <c r="AE35" s="22"/>
      <c r="AF35" s="22"/>
      <c r="AG35" s="22"/>
      <c r="AH35" s="22"/>
      <c r="AI35" s="22"/>
      <c r="AJ35" s="22"/>
      <c r="AK35" s="22"/>
      <c r="AL35" s="22"/>
      <c r="AM35" s="22"/>
      <c r="AN35" s="22"/>
      <c r="AO35" s="22"/>
      <c r="AP35" s="22"/>
    </row>
    <row r="36" spans="2:42" ht="69" customHeight="1" x14ac:dyDescent="0.25">
      <c r="J36" s="96"/>
      <c r="K36" s="21"/>
      <c r="L36" s="47" t="s">
        <v>38</v>
      </c>
      <c r="M36" s="97" t="e">
        <f>'Вывод расчетов (1-11)'!$AH$4/((M34^2)+'Рабочие и пусковые'!$M$35)^0.5</f>
        <v>#REF!</v>
      </c>
      <c r="N36" s="97" t="e">
        <f>'Вывод расчетов (1-11)'!$AH$4/((N34^2)+'Рабочие и пусковые'!$M$35)^0.5</f>
        <v>#REF!</v>
      </c>
      <c r="O36" s="97" t="e">
        <f>'Вывод расчетов (1-11)'!$AH$4/((O34^2)+'Рабочие и пусковые'!$M$35)^0.5</f>
        <v>#REF!</v>
      </c>
      <c r="P36" s="97" t="e">
        <f>'Вывод расчетов (1-11)'!$AH$4/((P34^2)+'Рабочие и пусковые'!$M$35)^0.5</f>
        <v>#REF!</v>
      </c>
      <c r="Q36" s="97" t="e">
        <f>'Вывод расчетов (1-11)'!$AH$4/((Q34^2)+'Рабочие и пусковые'!$M$35)^0.5</f>
        <v>#REF!</v>
      </c>
      <c r="R36" s="97" t="e">
        <f>'Вывод расчетов (1-11)'!$AH$4/((R34^2)+'Рабочие и пусковые'!$M$35)^0.5</f>
        <v>#REF!</v>
      </c>
      <c r="Y36" s="22"/>
      <c r="Z36" s="22"/>
      <c r="AA36" s="22"/>
      <c r="AB36" s="22"/>
      <c r="AC36" s="22"/>
      <c r="AD36" s="22"/>
      <c r="AE36" s="22"/>
      <c r="AF36" s="22"/>
      <c r="AG36" s="22"/>
      <c r="AH36" s="22"/>
      <c r="AI36" s="22"/>
      <c r="AJ36" s="22"/>
      <c r="AK36" s="22"/>
      <c r="AL36" s="22"/>
      <c r="AM36" s="22"/>
      <c r="AN36" s="22"/>
      <c r="AO36" s="22"/>
      <c r="AP36" s="22"/>
    </row>
    <row r="37" spans="2:42" ht="79.5" customHeight="1" x14ac:dyDescent="0.25">
      <c r="B37" s="22"/>
      <c r="C37" s="22"/>
      <c r="J37" s="96"/>
      <c r="K37" s="21"/>
      <c r="L37" s="47" t="s">
        <v>38</v>
      </c>
      <c r="M37" s="97" t="e">
        <f>('Вывод расчетов (1-11)'!$TV$147*(((M34^2)+('Рабочие и пусковые'!$M$35+'Вывод расчетов (1-11)'!$TV$146)^2)^0.5))/('Вывод расчетов (1-11)'!$TV$149*'Вывод расчетов (1-11)'!$TV$146)</f>
        <v>#REF!</v>
      </c>
      <c r="N37" s="97" t="e">
        <f>('Вывод расчетов (1-11)'!$TV$147*(((N34^2)+('Рабочие и пусковые'!$M$35+'Вывод расчетов (1-11)'!$TV$146)^2)^0.5))/('Вывод расчетов (1-11)'!$TV$149*'Вывод расчетов (1-11)'!$TV$146)</f>
        <v>#REF!</v>
      </c>
      <c r="O37" s="97" t="e">
        <f>('Вывод расчетов (1-11)'!$TV$147*(((O34^2)+('Рабочие и пусковые'!$M$35+'Вывод расчетов (1-11)'!$TV$146)^2)^0.5))/('Вывод расчетов (1-11)'!$TV$149*'Вывод расчетов (1-11)'!$TV$146)</f>
        <v>#REF!</v>
      </c>
      <c r="P37" s="97" t="e">
        <f>('Вывод расчетов (1-11)'!$TV$147*(((P34^2)+('Рабочие и пусковые'!$M$35+'Вывод расчетов (1-11)'!$TV$146)^2)^0.5))/('Вывод расчетов (1-11)'!$TV$149*'Вывод расчетов (1-11)'!$TV$146)</f>
        <v>#REF!</v>
      </c>
      <c r="Q37" s="97" t="e">
        <f>('Вывод расчетов (1-11)'!$TV$147*(((Q34^2)+('Рабочие и пусковые'!$M$35+'Вывод расчетов (1-11)'!$TV$146)^2)^0.5))/('Вывод расчетов (1-11)'!$TV$149*'Вывод расчетов (1-11)'!$TV$146)</f>
        <v>#REF!</v>
      </c>
      <c r="R37" s="97" t="e">
        <f>('Вывод расчетов (1-11)'!$TV$147*(((R34^2)+('Рабочие и пусковые'!$M$35+'Вывод расчетов (1-11)'!$TV$146)^2)^0.5))/('Вывод расчетов (1-11)'!$TV$149*'Вывод расчетов (1-11)'!$TV$146)</f>
        <v>#REF!</v>
      </c>
      <c r="Y37" s="22"/>
      <c r="Z37" s="22"/>
      <c r="AA37" s="22"/>
      <c r="AB37" s="22"/>
      <c r="AC37" s="22"/>
      <c r="AD37" s="22"/>
      <c r="AE37" s="22"/>
      <c r="AF37" s="22"/>
      <c r="AG37" s="22"/>
      <c r="AH37" s="22"/>
      <c r="AI37" s="22"/>
      <c r="AJ37" s="22"/>
      <c r="AK37" s="22"/>
      <c r="AL37" s="22"/>
      <c r="AM37" s="22"/>
      <c r="AN37" s="22"/>
      <c r="AO37" s="22"/>
      <c r="AP37" s="22"/>
    </row>
    <row r="38" spans="2:42" x14ac:dyDescent="0.25">
      <c r="B38" s="22"/>
      <c r="C38" s="22"/>
      <c r="J38" s="22"/>
      <c r="Y38" s="22"/>
      <c r="Z38" s="22"/>
      <c r="AA38" s="22"/>
      <c r="AB38" s="22"/>
      <c r="AC38" s="22"/>
      <c r="AD38" s="22"/>
      <c r="AE38" s="22"/>
      <c r="AF38" s="22"/>
      <c r="AG38" s="22"/>
      <c r="AH38" s="22"/>
      <c r="AI38" s="22"/>
      <c r="AJ38" s="22"/>
      <c r="AK38" s="22"/>
      <c r="AL38" s="22"/>
      <c r="AM38" s="22"/>
      <c r="AN38" s="22"/>
      <c r="AO38" s="22"/>
      <c r="AP38" s="22"/>
    </row>
    <row r="39" spans="2:42" x14ac:dyDescent="0.25">
      <c r="B39" s="22"/>
      <c r="C39" s="22"/>
      <c r="J39" s="22"/>
      <c r="Y39" s="22"/>
      <c r="Z39" s="22"/>
      <c r="AA39" s="22"/>
      <c r="AB39" s="22"/>
      <c r="AC39" s="22"/>
      <c r="AD39" s="22"/>
      <c r="AE39" s="22"/>
      <c r="AF39" s="22"/>
      <c r="AG39" s="22"/>
      <c r="AH39" s="22"/>
      <c r="AI39" s="22"/>
      <c r="AJ39" s="22"/>
      <c r="AK39" s="22"/>
      <c r="AL39" s="22"/>
      <c r="AM39" s="22"/>
      <c r="AN39" s="22"/>
      <c r="AO39" s="22"/>
      <c r="AP39" s="22"/>
    </row>
    <row r="40" spans="2:42" x14ac:dyDescent="0.25">
      <c r="B40" s="22"/>
      <c r="C40" s="22"/>
      <c r="J40" s="22"/>
      <c r="Y40" s="22"/>
      <c r="Z40" s="22"/>
      <c r="AA40" s="22"/>
      <c r="AB40" s="22"/>
      <c r="AC40" s="22"/>
      <c r="AD40" s="22"/>
      <c r="AE40" s="22"/>
      <c r="AF40" s="22"/>
      <c r="AG40" s="22"/>
      <c r="AH40" s="22"/>
      <c r="AI40" s="22"/>
      <c r="AJ40" s="22"/>
      <c r="AK40" s="22"/>
      <c r="AL40" s="22"/>
      <c r="AM40" s="22"/>
      <c r="AN40" s="22"/>
      <c r="AO40" s="22"/>
      <c r="AP40" s="22"/>
    </row>
    <row r="41" spans="2:42" x14ac:dyDescent="0.25">
      <c r="B41" s="22"/>
      <c r="C41" s="22"/>
      <c r="J41" s="22"/>
      <c r="Y41" s="22"/>
      <c r="Z41" s="22"/>
      <c r="AA41" s="22"/>
      <c r="AB41" s="22"/>
      <c r="AC41" s="22"/>
      <c r="AD41" s="22"/>
      <c r="AE41" s="22"/>
      <c r="AF41" s="22"/>
      <c r="AG41" s="22"/>
      <c r="AH41" s="22"/>
      <c r="AI41" s="22"/>
      <c r="AJ41" s="22"/>
      <c r="AK41" s="22"/>
      <c r="AL41" s="22"/>
      <c r="AM41" s="22"/>
      <c r="AN41" s="22"/>
      <c r="AO41" s="22"/>
      <c r="AP41" s="22"/>
    </row>
    <row r="42" spans="2:42" x14ac:dyDescent="0.25">
      <c r="B42" s="22"/>
      <c r="C42" s="22"/>
      <c r="J42" s="22"/>
      <c r="Y42" s="22"/>
      <c r="Z42" s="22"/>
      <c r="AA42" s="22"/>
      <c r="AB42" s="22"/>
      <c r="AC42" s="22"/>
      <c r="AD42" s="22"/>
      <c r="AE42" s="22"/>
      <c r="AF42" s="22"/>
      <c r="AG42" s="22"/>
      <c r="AH42" s="22"/>
      <c r="AI42" s="22"/>
      <c r="AJ42" s="22"/>
      <c r="AK42" s="22"/>
      <c r="AL42" s="22"/>
      <c r="AM42" s="22"/>
      <c r="AN42" s="22"/>
      <c r="AO42" s="22"/>
      <c r="AP42" s="22"/>
    </row>
    <row r="43" spans="2:42" x14ac:dyDescent="0.25">
      <c r="J43" s="22"/>
      <c r="K43" s="48" t="s">
        <v>331</v>
      </c>
      <c r="L43" s="47" t="s">
        <v>572</v>
      </c>
      <c r="M43" s="47">
        <v>3.0000000000000001E-3</v>
      </c>
      <c r="N43" s="47">
        <v>1E-3</v>
      </c>
      <c r="O43" s="47">
        <v>1.5E-3</v>
      </c>
      <c r="P43" s="47">
        <v>0.02</v>
      </c>
      <c r="Q43" s="47">
        <v>2.5000000000000001E-2</v>
      </c>
      <c r="R43" s="47">
        <v>3.0000000000000001E-3</v>
      </c>
      <c r="Y43" s="22"/>
      <c r="Z43" s="22"/>
      <c r="AA43" s="22"/>
      <c r="AB43" s="22"/>
      <c r="AC43" s="22"/>
      <c r="AD43" s="22"/>
      <c r="AE43" s="22"/>
      <c r="AF43" s="22"/>
      <c r="AG43" s="22"/>
      <c r="AH43" s="22"/>
      <c r="AI43" s="22"/>
      <c r="AJ43" s="22"/>
      <c r="AK43" s="22"/>
      <c r="AL43" s="22"/>
      <c r="AM43" s="22"/>
      <c r="AN43" s="22"/>
      <c r="AO43" s="22"/>
      <c r="AP43" s="22"/>
    </row>
    <row r="44" spans="2:42" ht="45" customHeight="1" x14ac:dyDescent="0.25">
      <c r="J44" s="96"/>
      <c r="K44" s="21"/>
      <c r="L44" s="47" t="s">
        <v>573</v>
      </c>
      <c r="M44" s="97" t="e">
        <f>($E$16*$C$16)/M43</f>
        <v>#REF!</v>
      </c>
      <c r="N44" s="97" t="e">
        <f>($E$16*$C$16)/N43</f>
        <v>#REF!</v>
      </c>
      <c r="O44" s="97" t="e">
        <f t="shared" ref="O44:R44" si="1">($E$16*$C$16)/O43</f>
        <v>#REF!</v>
      </c>
      <c r="P44" s="97" t="e">
        <f t="shared" si="1"/>
        <v>#REF!</v>
      </c>
      <c r="Q44" s="97" t="e">
        <f t="shared" si="1"/>
        <v>#REF!</v>
      </c>
      <c r="R44" s="97" t="e">
        <f t="shared" si="1"/>
        <v>#REF!</v>
      </c>
      <c r="Y44" s="22"/>
      <c r="Z44" s="22"/>
      <c r="AA44" s="22"/>
      <c r="AB44" s="22"/>
      <c r="AC44" s="22"/>
      <c r="AD44" s="22"/>
      <c r="AE44" s="22"/>
      <c r="AF44" s="22"/>
      <c r="AG44" s="22"/>
      <c r="AH44" s="22"/>
      <c r="AI44" s="22"/>
      <c r="AJ44" s="22"/>
      <c r="AK44" s="22"/>
      <c r="AL44" s="22"/>
      <c r="AM44" s="22"/>
      <c r="AN44" s="22"/>
      <c r="AO44" s="22"/>
      <c r="AP44" s="22"/>
    </row>
    <row r="45" spans="2:42" ht="39" customHeight="1" x14ac:dyDescent="0.25">
      <c r="J45" s="96"/>
      <c r="K45" s="21"/>
      <c r="L45" s="47" t="s">
        <v>573</v>
      </c>
      <c r="M45" s="97" t="e">
        <f>$G$16*$C$16/M43</f>
        <v>#REF!</v>
      </c>
      <c r="N45" s="97" t="e">
        <f t="shared" ref="N45:R45" si="2">$G$16*$C$16/N43</f>
        <v>#REF!</v>
      </c>
      <c r="O45" s="97" t="e">
        <f t="shared" si="2"/>
        <v>#REF!</v>
      </c>
      <c r="P45" s="97" t="e">
        <f t="shared" si="2"/>
        <v>#REF!</v>
      </c>
      <c r="Q45" s="97" t="e">
        <f t="shared" si="2"/>
        <v>#REF!</v>
      </c>
      <c r="R45" s="97" t="e">
        <f t="shared" si="2"/>
        <v>#REF!</v>
      </c>
      <c r="Y45" s="22"/>
      <c r="Z45" s="22"/>
      <c r="AA45" s="22"/>
      <c r="AB45" s="22"/>
      <c r="AC45" s="22"/>
      <c r="AD45" s="22"/>
      <c r="AE45" s="22"/>
      <c r="AF45" s="22"/>
      <c r="AG45" s="22"/>
      <c r="AH45" s="22"/>
      <c r="AI45" s="22"/>
      <c r="AJ45" s="22"/>
      <c r="AK45" s="22"/>
      <c r="AL45" s="22"/>
      <c r="AM45" s="22"/>
      <c r="AN45" s="22"/>
      <c r="AO45" s="22"/>
      <c r="AP45" s="22"/>
    </row>
    <row r="46" spans="2:42" ht="39" customHeight="1" x14ac:dyDescent="0.25">
      <c r="J46" s="96"/>
      <c r="K46" s="21"/>
      <c r="L46" s="47" t="s">
        <v>573</v>
      </c>
      <c r="M46" s="97" t="e">
        <f>$F$16+($E$16*$C$16)/M43</f>
        <v>#REF!</v>
      </c>
      <c r="N46" s="97" t="e">
        <f>$F$16+($E$16*$C$16)/N43</f>
        <v>#REF!</v>
      </c>
      <c r="O46" s="97" t="e">
        <f t="shared" ref="O46:R46" si="3">$F$16+($E$16*$C$16)/O43</f>
        <v>#REF!</v>
      </c>
      <c r="P46" s="97" t="e">
        <f t="shared" si="3"/>
        <v>#REF!</v>
      </c>
      <c r="Q46" s="97" t="e">
        <f t="shared" si="3"/>
        <v>#REF!</v>
      </c>
      <c r="R46" s="97" t="e">
        <f t="shared" si="3"/>
        <v>#REF!</v>
      </c>
      <c r="Y46" s="22"/>
      <c r="Z46" s="22"/>
      <c r="AA46" s="22"/>
      <c r="AB46" s="22"/>
      <c r="AC46" s="22"/>
      <c r="AD46" s="22"/>
      <c r="AE46" s="22"/>
      <c r="AF46" s="22"/>
      <c r="AG46" s="22"/>
      <c r="AH46" s="22"/>
      <c r="AI46" s="22"/>
      <c r="AJ46" s="22"/>
      <c r="AK46" s="22"/>
      <c r="AL46" s="22"/>
      <c r="AM46" s="22"/>
      <c r="AN46" s="22"/>
      <c r="AO46" s="22"/>
      <c r="AP46" s="22"/>
    </row>
    <row r="47" spans="2:42" ht="42" customHeight="1" x14ac:dyDescent="0.25">
      <c r="J47" s="96"/>
      <c r="K47" s="21"/>
      <c r="L47" s="47" t="s">
        <v>573</v>
      </c>
      <c r="M47" s="97" t="e">
        <f>$H$16+(($G$16*$C$16)/M43)</f>
        <v>#REF!</v>
      </c>
      <c r="N47" s="97" t="e">
        <f t="shared" ref="N47:R47" si="4">$H$16+(($G$16*$C$16)/N43)</f>
        <v>#REF!</v>
      </c>
      <c r="O47" s="97" t="e">
        <f t="shared" si="4"/>
        <v>#REF!</v>
      </c>
      <c r="P47" s="97" t="e">
        <f t="shared" si="4"/>
        <v>#REF!</v>
      </c>
      <c r="Q47" s="97" t="e">
        <f t="shared" si="4"/>
        <v>#REF!</v>
      </c>
      <c r="R47" s="97" t="e">
        <f t="shared" si="4"/>
        <v>#REF!</v>
      </c>
      <c r="Y47" s="22"/>
      <c r="Z47" s="22"/>
      <c r="AA47" s="22"/>
      <c r="AB47" s="22"/>
      <c r="AC47" s="22"/>
      <c r="AD47" s="22"/>
      <c r="AE47" s="22"/>
      <c r="AF47" s="22"/>
      <c r="AG47" s="22"/>
      <c r="AH47" s="22"/>
      <c r="AI47" s="22"/>
      <c r="AJ47" s="22"/>
      <c r="AK47" s="22"/>
      <c r="AL47" s="22"/>
      <c r="AM47" s="22"/>
      <c r="AN47" s="22"/>
      <c r="AO47" s="22"/>
      <c r="AP47" s="22"/>
    </row>
    <row r="48" spans="2:42" ht="39.75" customHeight="1" x14ac:dyDescent="0.25">
      <c r="J48" s="96"/>
      <c r="K48" s="21"/>
      <c r="L48" s="47" t="s">
        <v>573</v>
      </c>
      <c r="M48" s="97" t="e">
        <f>(M46^2+M47^2)^0.5</f>
        <v>#REF!</v>
      </c>
      <c r="N48" s="97" t="e">
        <f>(N46^2+N47^2)^0.5</f>
        <v>#REF!</v>
      </c>
      <c r="O48" s="97" t="e">
        <f t="shared" ref="O48:R48" si="5">(O46^2+O47^2)^0.5</f>
        <v>#REF!</v>
      </c>
      <c r="P48" s="97" t="e">
        <f t="shared" si="5"/>
        <v>#REF!</v>
      </c>
      <c r="Q48" s="97" t="e">
        <f t="shared" si="5"/>
        <v>#REF!</v>
      </c>
      <c r="R48" s="97" t="e">
        <f t="shared" si="5"/>
        <v>#REF!</v>
      </c>
      <c r="Y48" s="22"/>
      <c r="Z48" s="22"/>
      <c r="AA48" s="22"/>
      <c r="AB48" s="22"/>
      <c r="AC48" s="22"/>
      <c r="AD48" s="22"/>
      <c r="AE48" s="22"/>
      <c r="AF48" s="22"/>
      <c r="AG48" s="22"/>
      <c r="AH48" s="22"/>
      <c r="AI48" s="22"/>
      <c r="AJ48" s="22"/>
      <c r="AK48" s="22"/>
      <c r="AL48" s="22"/>
      <c r="AM48" s="22"/>
      <c r="AN48" s="22"/>
      <c r="AO48" s="22"/>
      <c r="AP48" s="22"/>
    </row>
    <row r="49" spans="10:42" ht="41.25" customHeight="1" x14ac:dyDescent="0.25">
      <c r="J49" s="96"/>
      <c r="K49" s="21"/>
      <c r="L49" s="47" t="s">
        <v>38</v>
      </c>
      <c r="M49" s="97" t="e">
        <f>'Вывод расчетов (1-11)'!$AH$6/M48</f>
        <v>#REF!</v>
      </c>
      <c r="N49" s="97" t="e">
        <f>'Вывод расчетов (1-11)'!$AH$6/N48</f>
        <v>#REF!</v>
      </c>
      <c r="O49" s="97" t="e">
        <f>'Вывод расчетов (1-11)'!$AH$6/O48</f>
        <v>#REF!</v>
      </c>
      <c r="P49" s="97" t="e">
        <f>'Вывод расчетов (1-11)'!$AH$6/P48</f>
        <v>#REF!</v>
      </c>
      <c r="Q49" s="97" t="e">
        <f>'Вывод расчетов (1-11)'!$AH$6/Q48</f>
        <v>#REF!</v>
      </c>
      <c r="R49" s="97" t="e">
        <f>'Вывод расчетов (1-11)'!$AH$6/R48</f>
        <v>#REF!</v>
      </c>
      <c r="Y49" s="22"/>
      <c r="Z49" s="22"/>
      <c r="AA49" s="22"/>
      <c r="AB49" s="22"/>
      <c r="AC49" s="22"/>
      <c r="AD49" s="22"/>
      <c r="AE49" s="22"/>
      <c r="AF49" s="22"/>
      <c r="AG49" s="22"/>
      <c r="AH49" s="22"/>
      <c r="AI49" s="22"/>
      <c r="AJ49" s="22"/>
      <c r="AK49" s="22"/>
      <c r="AL49" s="22"/>
      <c r="AM49" s="22"/>
      <c r="AN49" s="22"/>
      <c r="AO49" s="22"/>
      <c r="AP49" s="22"/>
    </row>
    <row r="50" spans="10:42" ht="39.75" customHeight="1" x14ac:dyDescent="0.25">
      <c r="J50" s="96"/>
      <c r="K50" s="21"/>
      <c r="L50" s="47" t="s">
        <v>547</v>
      </c>
      <c r="M50" s="97" t="e">
        <f>M46/M48</f>
        <v>#REF!</v>
      </c>
      <c r="N50" s="97" t="e">
        <f t="shared" ref="N50:R50" si="6">N46/N48</f>
        <v>#REF!</v>
      </c>
      <c r="O50" s="97" t="e">
        <f t="shared" si="6"/>
        <v>#REF!</v>
      </c>
      <c r="P50" s="97" t="e">
        <f t="shared" si="6"/>
        <v>#REF!</v>
      </c>
      <c r="Q50" s="97" t="e">
        <f t="shared" si="6"/>
        <v>#REF!</v>
      </c>
      <c r="R50" s="97" t="e">
        <f t="shared" si="6"/>
        <v>#REF!</v>
      </c>
      <c r="Y50" s="22"/>
      <c r="Z50" s="22"/>
      <c r="AA50" s="22"/>
      <c r="AB50" s="22"/>
      <c r="AC50" s="22"/>
      <c r="AD50" s="22"/>
      <c r="AE50" s="22"/>
      <c r="AF50" s="22"/>
      <c r="AG50" s="22"/>
      <c r="AH50" s="22"/>
      <c r="AI50" s="22"/>
      <c r="AJ50" s="22"/>
      <c r="AK50" s="22"/>
      <c r="AL50" s="22"/>
      <c r="AM50" s="22"/>
      <c r="AN50" s="22"/>
      <c r="AO50" s="22"/>
      <c r="AP50" s="22"/>
    </row>
    <row r="51" spans="10:42" ht="42" customHeight="1" x14ac:dyDescent="0.25">
      <c r="J51" s="96"/>
      <c r="K51" s="21"/>
      <c r="L51" s="47" t="s">
        <v>547</v>
      </c>
      <c r="M51" s="97" t="e">
        <f>M47/M48</f>
        <v>#REF!</v>
      </c>
      <c r="N51" s="97" t="e">
        <f t="shared" ref="N51:R51" si="7">N47/N48</f>
        <v>#REF!</v>
      </c>
      <c r="O51" s="97" t="e">
        <f t="shared" si="7"/>
        <v>#REF!</v>
      </c>
      <c r="P51" s="97" t="e">
        <f t="shared" si="7"/>
        <v>#REF!</v>
      </c>
      <c r="Q51" s="97" t="e">
        <f t="shared" si="7"/>
        <v>#REF!</v>
      </c>
      <c r="R51" s="97" t="e">
        <f t="shared" si="7"/>
        <v>#REF!</v>
      </c>
      <c r="Y51" s="22"/>
      <c r="Z51" s="22"/>
      <c r="AA51" s="22"/>
      <c r="AB51" s="22"/>
      <c r="AC51" s="22"/>
      <c r="AD51" s="22"/>
      <c r="AE51" s="22"/>
      <c r="AF51" s="22"/>
      <c r="AG51" s="22"/>
      <c r="AH51" s="22"/>
      <c r="AI51" s="22"/>
      <c r="AJ51" s="22"/>
      <c r="AK51" s="22"/>
      <c r="AL51" s="22"/>
      <c r="AM51" s="22"/>
      <c r="AN51" s="22"/>
      <c r="AO51" s="22"/>
      <c r="AP51" s="22"/>
    </row>
    <row r="52" spans="10:42" ht="40.5" customHeight="1" x14ac:dyDescent="0.25">
      <c r="J52" s="96"/>
      <c r="K52" s="21"/>
      <c r="L52" s="47" t="s">
        <v>38</v>
      </c>
      <c r="M52" s="97" t="e">
        <f t="shared" ref="M52:R52" si="8">$G$12+$M$49*M50</f>
        <v>#REF!</v>
      </c>
      <c r="N52" s="97" t="e">
        <f t="shared" si="8"/>
        <v>#REF!</v>
      </c>
      <c r="O52" s="97" t="e">
        <f t="shared" si="8"/>
        <v>#REF!</v>
      </c>
      <c r="P52" s="97" t="e">
        <f t="shared" si="8"/>
        <v>#REF!</v>
      </c>
      <c r="Q52" s="97" t="e">
        <f t="shared" si="8"/>
        <v>#REF!</v>
      </c>
      <c r="R52" s="97" t="e">
        <f t="shared" si="8"/>
        <v>#REF!</v>
      </c>
      <c r="Y52" s="22"/>
      <c r="Z52" s="22"/>
      <c r="AA52" s="22"/>
      <c r="AB52" s="22"/>
      <c r="AC52" s="22"/>
      <c r="AD52" s="22"/>
      <c r="AE52" s="22"/>
      <c r="AF52" s="22"/>
      <c r="AG52" s="22"/>
      <c r="AH52" s="22"/>
      <c r="AI52" s="22"/>
      <c r="AJ52" s="22"/>
      <c r="AK52" s="22"/>
      <c r="AL52" s="22"/>
      <c r="AM52" s="22"/>
      <c r="AN52" s="22"/>
      <c r="AO52" s="22"/>
      <c r="AP52" s="22"/>
    </row>
    <row r="53" spans="10:42" ht="50.25" customHeight="1" x14ac:dyDescent="0.25">
      <c r="J53" s="96"/>
      <c r="K53" s="21"/>
      <c r="L53" s="47" t="s">
        <v>38</v>
      </c>
      <c r="M53" s="97" t="e">
        <f>$H$12+'Вывод расчетов (1-11)'!$GK$44*M51</f>
        <v>#REF!</v>
      </c>
      <c r="N53" s="97" t="e">
        <f>$H$12+'Вывод расчетов (1-11)'!$GK$44*N51</f>
        <v>#REF!</v>
      </c>
      <c r="O53" s="97" t="e">
        <f>$H$12+'Вывод расчетов (1-11)'!$GK$44*O51</f>
        <v>#REF!</v>
      </c>
      <c r="P53" s="97" t="e">
        <f>$H$12+'Вывод расчетов (1-11)'!$GK$44*P51</f>
        <v>#REF!</v>
      </c>
      <c r="Q53" s="97" t="e">
        <f>$H$12+'Вывод расчетов (1-11)'!$GK$44*Q51</f>
        <v>#REF!</v>
      </c>
      <c r="R53" s="97" t="e">
        <f>$H$12+'Вывод расчетов (1-11)'!$GK$44*R51</f>
        <v>#REF!</v>
      </c>
      <c r="Y53" s="22"/>
      <c r="Z53" s="22"/>
      <c r="AA53" s="22"/>
      <c r="AB53" s="22"/>
      <c r="AC53" s="22"/>
      <c r="AD53" s="22"/>
      <c r="AE53" s="22"/>
      <c r="AF53" s="22"/>
      <c r="AG53" s="22"/>
      <c r="AH53" s="22"/>
      <c r="AI53" s="22"/>
      <c r="AJ53" s="22"/>
      <c r="AK53" s="22"/>
      <c r="AL53" s="22"/>
      <c r="AM53" s="22"/>
      <c r="AN53" s="22"/>
      <c r="AO53" s="22"/>
      <c r="AP53" s="22"/>
    </row>
    <row r="54" spans="10:42" ht="51.75" customHeight="1" x14ac:dyDescent="0.25">
      <c r="J54" s="96"/>
      <c r="K54" s="21"/>
      <c r="L54" s="47" t="s">
        <v>38</v>
      </c>
      <c r="M54" s="97" t="e">
        <f>(M52^2+M53^2)^0.5</f>
        <v>#REF!</v>
      </c>
      <c r="N54" s="97" t="e">
        <f t="shared" ref="N54:R54" si="9">(N52^2+N53^2)^0.5</f>
        <v>#REF!</v>
      </c>
      <c r="O54" s="97" t="e">
        <f t="shared" si="9"/>
        <v>#REF!</v>
      </c>
      <c r="P54" s="97" t="e">
        <f t="shared" si="9"/>
        <v>#REF!</v>
      </c>
      <c r="Q54" s="97" t="e">
        <f t="shared" si="9"/>
        <v>#REF!</v>
      </c>
      <c r="R54" s="97" t="e">
        <f t="shared" si="9"/>
        <v>#REF!</v>
      </c>
      <c r="Y54" s="22"/>
      <c r="Z54" s="22"/>
      <c r="AA54" s="22"/>
      <c r="AB54" s="22"/>
      <c r="AC54" s="22"/>
      <c r="AD54" s="22"/>
      <c r="AE54" s="22"/>
      <c r="AF54" s="22"/>
      <c r="AG54" s="22"/>
      <c r="AH54" s="22"/>
      <c r="AI54" s="22"/>
      <c r="AJ54" s="22"/>
      <c r="AK54" s="22"/>
      <c r="AL54" s="22"/>
      <c r="AM54" s="22"/>
      <c r="AN54" s="22"/>
      <c r="AO54" s="22"/>
      <c r="AP54" s="22"/>
    </row>
    <row r="55" spans="10:42" ht="39" customHeight="1" x14ac:dyDescent="0.25">
      <c r="J55" s="96"/>
      <c r="K55" s="21"/>
      <c r="L55" s="47" t="s">
        <v>38</v>
      </c>
      <c r="M55" s="97" t="e">
        <f>$D$16*M49</f>
        <v>#REF!</v>
      </c>
      <c r="N55" s="97" t="e">
        <f t="shared" ref="N55:R55" si="10">$D$16*N49</f>
        <v>#REF!</v>
      </c>
      <c r="O55" s="97" t="e">
        <f t="shared" si="10"/>
        <v>#REF!</v>
      </c>
      <c r="P55" s="97" t="e">
        <f t="shared" si="10"/>
        <v>#REF!</v>
      </c>
      <c r="Q55" s="97" t="e">
        <f t="shared" si="10"/>
        <v>#REF!</v>
      </c>
      <c r="R55" s="97" t="e">
        <f t="shared" si="10"/>
        <v>#REF!</v>
      </c>
      <c r="Y55" s="22"/>
      <c r="Z55" s="22"/>
      <c r="AA55" s="22"/>
      <c r="AB55" s="22"/>
      <c r="AC55" s="22"/>
      <c r="AD55" s="22"/>
      <c r="AE55" s="22"/>
      <c r="AF55" s="22"/>
      <c r="AG55" s="22"/>
      <c r="AH55" s="22"/>
      <c r="AI55" s="22"/>
      <c r="AJ55" s="22"/>
      <c r="AK55" s="22"/>
      <c r="AL55" s="22"/>
      <c r="AM55" s="22"/>
      <c r="AN55" s="22"/>
      <c r="AO55" s="22"/>
      <c r="AP55" s="22"/>
    </row>
    <row r="56" spans="10:42" ht="45" customHeight="1" x14ac:dyDescent="0.25">
      <c r="J56" s="96"/>
      <c r="K56" s="21"/>
      <c r="L56" s="47" t="s">
        <v>574</v>
      </c>
      <c r="M56" s="97" t="e">
        <f>(3*'Вывод расчетов (1-11)'!$AH$6*M52)</f>
        <v>#REF!</v>
      </c>
      <c r="N56" s="97" t="e">
        <f>(3*'Вывод расчетов (1-11)'!$AH$6*N52)</f>
        <v>#REF!</v>
      </c>
      <c r="O56" s="97" t="e">
        <f>(3*'Вывод расчетов (1-11)'!$AH$6*O52)</f>
        <v>#REF!</v>
      </c>
      <c r="P56" s="97" t="e">
        <f>(3*'Вывод расчетов (1-11)'!$AH$6*P52)</f>
        <v>#REF!</v>
      </c>
      <c r="Q56" s="97" t="e">
        <f>(3*'Вывод расчетов (1-11)'!$AH$6*Q52)</f>
        <v>#REF!</v>
      </c>
      <c r="R56" s="97" t="e">
        <f>(3*'Вывод расчетов (1-11)'!$AH$6*R52)</f>
        <v>#REF!</v>
      </c>
      <c r="Y56" s="22"/>
      <c r="Z56" s="22"/>
      <c r="AA56" s="22"/>
      <c r="AB56" s="22"/>
      <c r="AC56" s="22"/>
      <c r="AD56" s="22"/>
      <c r="AE56" s="22"/>
      <c r="AF56" s="22"/>
      <c r="AG56" s="22"/>
      <c r="AH56" s="22"/>
      <c r="AI56" s="22"/>
      <c r="AJ56" s="22"/>
      <c r="AK56" s="22"/>
      <c r="AL56" s="22"/>
      <c r="AM56" s="22"/>
      <c r="AN56" s="22"/>
      <c r="AO56" s="22"/>
      <c r="AP56" s="22"/>
    </row>
    <row r="57" spans="10:42" ht="43.5" customHeight="1" x14ac:dyDescent="0.25">
      <c r="J57" s="96"/>
      <c r="K57" s="21"/>
      <c r="L57" s="47" t="s">
        <v>574</v>
      </c>
      <c r="M57" s="97" t="e">
        <f>(3*(M54^2)*$B$16)</f>
        <v>#REF!</v>
      </c>
      <c r="N57" s="97" t="e">
        <f t="shared" ref="N57:R57" si="11">(3*(N54^2)*$B$16)</f>
        <v>#REF!</v>
      </c>
      <c r="O57" s="97" t="e">
        <f t="shared" si="11"/>
        <v>#REF!</v>
      </c>
      <c r="P57" s="97" t="e">
        <f t="shared" si="11"/>
        <v>#REF!</v>
      </c>
      <c r="Q57" s="97" t="e">
        <f t="shared" si="11"/>
        <v>#REF!</v>
      </c>
      <c r="R57" s="97" t="e">
        <f t="shared" si="11"/>
        <v>#REF!</v>
      </c>
    </row>
    <row r="58" spans="10:42" ht="49.5" customHeight="1" x14ac:dyDescent="0.25">
      <c r="J58" s="96"/>
      <c r="K58" s="21"/>
      <c r="L58" s="47" t="s">
        <v>574</v>
      </c>
      <c r="M58" s="97" t="e">
        <f>(3*(M55^2)*$C$16)</f>
        <v>#REF!</v>
      </c>
      <c r="N58" s="97" t="e">
        <f t="shared" ref="N58:R58" si="12">(3*(N55^2)*$C$16)</f>
        <v>#REF!</v>
      </c>
      <c r="O58" s="97" t="e">
        <f t="shared" si="12"/>
        <v>#REF!</v>
      </c>
      <c r="P58" s="97" t="e">
        <f t="shared" si="12"/>
        <v>#REF!</v>
      </c>
      <c r="Q58" s="97" t="e">
        <f t="shared" si="12"/>
        <v>#REF!</v>
      </c>
      <c r="R58" s="97" t="e">
        <f t="shared" si="12"/>
        <v>#REF!</v>
      </c>
    </row>
    <row r="59" spans="10:42" ht="65.25" customHeight="1" x14ac:dyDescent="0.25">
      <c r="J59" s="96"/>
      <c r="K59" s="21"/>
      <c r="L59" s="47" t="s">
        <v>574</v>
      </c>
      <c r="M59" s="97" t="e">
        <f>('Вывод расчетов (1-11)'!$NA$132*(M54/$J$12))</f>
        <v>#REF!</v>
      </c>
      <c r="N59" s="97" t="e">
        <f>('Вывод расчетов (1-11)'!$NA$132*(N54/$J$12))</f>
        <v>#REF!</v>
      </c>
      <c r="O59" s="97" t="e">
        <f>('Вывод расчетов (1-11)'!$NA$132*(O54/$J$12))</f>
        <v>#REF!</v>
      </c>
      <c r="P59" s="97" t="e">
        <f>('Вывод расчетов (1-11)'!$NA$132*(P54/$J$12))</f>
        <v>#REF!</v>
      </c>
      <c r="Q59" s="97" t="e">
        <f>('Вывод расчетов (1-11)'!$NA$132*(Q54/$J$12))</f>
        <v>#REF!</v>
      </c>
      <c r="R59" s="97" t="e">
        <f>('Вывод расчетов (1-11)'!$NA$132*(R54/$J$12))</f>
        <v>#REF!</v>
      </c>
    </row>
    <row r="60" spans="10:42" ht="60.75" customHeight="1" x14ac:dyDescent="0.25">
      <c r="J60" s="96"/>
      <c r="K60" s="21"/>
      <c r="L60" s="47" t="s">
        <v>574</v>
      </c>
      <c r="M60" s="97" t="e">
        <f>'Вывод расчетов (1-11)'!$NA$92+'Вывод расчетов (1-11)'!$NA$127+M57+M58+M59</f>
        <v>#REF!</v>
      </c>
      <c r="N60" s="97" t="e">
        <f>'Вывод расчетов (1-11)'!$NA$92+'Вывод расчетов (1-11)'!$NA$127+N57+N58+N59</f>
        <v>#REF!</v>
      </c>
      <c r="O60" s="97" t="e">
        <f>'Вывод расчетов (1-11)'!$NA$92+'Вывод расчетов (1-11)'!$NA$127+O57+O58+O59</f>
        <v>#REF!</v>
      </c>
      <c r="P60" s="97" t="e">
        <f>'Вывод расчетов (1-11)'!$NA$92+'Вывод расчетов (1-11)'!$NA$127+P57+P58+P59</f>
        <v>#REF!</v>
      </c>
      <c r="Q60" s="97" t="e">
        <f>'Вывод расчетов (1-11)'!$NA$92+'Вывод расчетов (1-11)'!$NA$127+Q57+Q58+Q59</f>
        <v>#REF!</v>
      </c>
      <c r="R60" s="97" t="e">
        <f>'Вывод расчетов (1-11)'!$NA$92+'Вывод расчетов (1-11)'!$NA$127+R57+R58+R59</f>
        <v>#REF!</v>
      </c>
    </row>
    <row r="61" spans="10:42" ht="42" customHeight="1" x14ac:dyDescent="0.25">
      <c r="J61" s="96"/>
      <c r="K61" s="21"/>
      <c r="L61" s="47" t="s">
        <v>574</v>
      </c>
      <c r="M61" s="97" t="e">
        <f>M56-M60</f>
        <v>#REF!</v>
      </c>
      <c r="N61" s="97" t="e">
        <f t="shared" ref="N61:R61" si="13">N56-N60</f>
        <v>#REF!</v>
      </c>
      <c r="O61" s="97" t="e">
        <f t="shared" si="13"/>
        <v>#REF!</v>
      </c>
      <c r="P61" s="97" t="e">
        <f t="shared" si="13"/>
        <v>#REF!</v>
      </c>
      <c r="Q61" s="97" t="e">
        <f t="shared" si="13"/>
        <v>#REF!</v>
      </c>
      <c r="R61" s="97" t="e">
        <f t="shared" si="13"/>
        <v>#REF!</v>
      </c>
    </row>
    <row r="62" spans="10:42" ht="33" customHeight="1" x14ac:dyDescent="0.25">
      <c r="J62" s="96"/>
      <c r="K62" s="21"/>
      <c r="L62" s="47" t="s">
        <v>547</v>
      </c>
      <c r="M62" s="97" t="e">
        <f>1-(M60/M56)</f>
        <v>#REF!</v>
      </c>
      <c r="N62" s="97" t="e">
        <f t="shared" ref="N62:R62" si="14">1-(N60/N56)</f>
        <v>#REF!</v>
      </c>
      <c r="O62" s="97" t="e">
        <f t="shared" si="14"/>
        <v>#REF!</v>
      </c>
      <c r="P62" s="97" t="e">
        <f t="shared" si="14"/>
        <v>#REF!</v>
      </c>
      <c r="Q62" s="97" t="e">
        <f t="shared" si="14"/>
        <v>#REF!</v>
      </c>
      <c r="R62" s="97" t="e">
        <f t="shared" si="14"/>
        <v>#REF!</v>
      </c>
    </row>
    <row r="63" spans="10:42" ht="42.75" customHeight="1" x14ac:dyDescent="0.25">
      <c r="J63" s="96"/>
      <c r="K63" s="21"/>
      <c r="L63" s="47" t="s">
        <v>547</v>
      </c>
      <c r="M63" s="97" t="e">
        <f>M52/M54</f>
        <v>#REF!</v>
      </c>
      <c r="N63" s="97" t="e">
        <f t="shared" ref="N63:R63" si="15">N52/N54</f>
        <v>#REF!</v>
      </c>
      <c r="O63" s="97" t="e">
        <f t="shared" si="15"/>
        <v>#REF!</v>
      </c>
      <c r="P63" s="97" t="e">
        <f t="shared" si="15"/>
        <v>#REF!</v>
      </c>
      <c r="Q63" s="97" t="e">
        <f t="shared" si="15"/>
        <v>#REF!</v>
      </c>
      <c r="R63" s="97" t="e">
        <f t="shared" si="15"/>
        <v>#REF!</v>
      </c>
    </row>
  </sheetData>
  <pageMargins left="0.7" right="0.7" top="0.75" bottom="0.75" header="0.3" footer="0.3"/>
  <pageSetup paperSize="9" orientation="portrait" horizontalDpi="4294967293" verticalDpi="0" r:id="rId1"/>
  <drawing r:id="rId2"/>
  <legacyDrawing r:id="rId3"/>
  <oleObjects>
    <mc:AlternateContent xmlns:mc="http://schemas.openxmlformats.org/markup-compatibility/2006">
      <mc:Choice Requires="x14">
        <oleObject progId="Equation.DSMT4" shapeId="2049" r:id="rId4">
          <objectPr defaultSize="0" r:id="rId5">
            <anchor moveWithCells="1">
              <from>
                <xdr:col>1</xdr:col>
                <xdr:colOff>142875</xdr:colOff>
                <xdr:row>10</xdr:row>
                <xdr:rowOff>133350</xdr:rowOff>
              </from>
              <to>
                <xdr:col>1</xdr:col>
                <xdr:colOff>552450</xdr:colOff>
                <xdr:row>10</xdr:row>
                <xdr:rowOff>485775</xdr:rowOff>
              </to>
            </anchor>
          </objectPr>
        </oleObject>
      </mc:Choice>
      <mc:Fallback>
        <oleObject progId="Equation.DSMT4" shapeId="2049" r:id="rId4"/>
      </mc:Fallback>
    </mc:AlternateContent>
    <mc:AlternateContent xmlns:mc="http://schemas.openxmlformats.org/markup-compatibility/2006">
      <mc:Choice Requires="x14">
        <oleObject progId="Equation.DSMT4" shapeId="2050" r:id="rId6">
          <objectPr defaultSize="0" r:id="rId7">
            <anchor moveWithCells="1">
              <from>
                <xdr:col>2</xdr:col>
                <xdr:colOff>85725</xdr:colOff>
                <xdr:row>10</xdr:row>
                <xdr:rowOff>114300</xdr:rowOff>
              </from>
              <to>
                <xdr:col>2</xdr:col>
                <xdr:colOff>533400</xdr:colOff>
                <xdr:row>10</xdr:row>
                <xdr:rowOff>466725</xdr:rowOff>
              </to>
            </anchor>
          </objectPr>
        </oleObject>
      </mc:Choice>
      <mc:Fallback>
        <oleObject progId="Equation.DSMT4" shapeId="2050" r:id="rId6"/>
      </mc:Fallback>
    </mc:AlternateContent>
    <mc:AlternateContent xmlns:mc="http://schemas.openxmlformats.org/markup-compatibility/2006">
      <mc:Choice Requires="x14">
        <oleObject progId="Equation.DSMT4" shapeId="2051" r:id="rId8">
          <objectPr defaultSize="0" r:id="rId9">
            <anchor moveWithCells="1">
              <from>
                <xdr:col>3</xdr:col>
                <xdr:colOff>76200</xdr:colOff>
                <xdr:row>10</xdr:row>
                <xdr:rowOff>133350</xdr:rowOff>
              </from>
              <to>
                <xdr:col>3</xdr:col>
                <xdr:colOff>447675</xdr:colOff>
                <xdr:row>10</xdr:row>
                <xdr:rowOff>485775</xdr:rowOff>
              </to>
            </anchor>
          </objectPr>
        </oleObject>
      </mc:Choice>
      <mc:Fallback>
        <oleObject progId="Equation.DSMT4" shapeId="2051" r:id="rId8"/>
      </mc:Fallback>
    </mc:AlternateContent>
    <mc:AlternateContent xmlns:mc="http://schemas.openxmlformats.org/markup-compatibility/2006">
      <mc:Choice Requires="x14">
        <oleObject progId="Equation.DSMT4" shapeId="2052" r:id="rId10">
          <objectPr defaultSize="0" r:id="rId11">
            <anchor moveWithCells="1">
              <from>
                <xdr:col>4</xdr:col>
                <xdr:colOff>123825</xdr:colOff>
                <xdr:row>10</xdr:row>
                <xdr:rowOff>161925</xdr:rowOff>
              </from>
              <to>
                <xdr:col>4</xdr:col>
                <xdr:colOff>495300</xdr:colOff>
                <xdr:row>10</xdr:row>
                <xdr:rowOff>504825</xdr:rowOff>
              </to>
            </anchor>
          </objectPr>
        </oleObject>
      </mc:Choice>
      <mc:Fallback>
        <oleObject progId="Equation.DSMT4" shapeId="2052" r:id="rId10"/>
      </mc:Fallback>
    </mc:AlternateContent>
    <mc:AlternateContent xmlns:mc="http://schemas.openxmlformats.org/markup-compatibility/2006">
      <mc:Choice Requires="x14">
        <oleObject progId="Equation.DSMT4" shapeId="2054" r:id="rId12">
          <objectPr defaultSize="0" autoPict="0" r:id="rId13">
            <anchor moveWithCells="1">
              <from>
                <xdr:col>5</xdr:col>
                <xdr:colOff>142875</xdr:colOff>
                <xdr:row>10</xdr:row>
                <xdr:rowOff>57150</xdr:rowOff>
              </from>
              <to>
                <xdr:col>5</xdr:col>
                <xdr:colOff>971550</xdr:colOff>
                <xdr:row>10</xdr:row>
                <xdr:rowOff>619125</xdr:rowOff>
              </to>
            </anchor>
          </objectPr>
        </oleObject>
      </mc:Choice>
      <mc:Fallback>
        <oleObject progId="Equation.DSMT4" shapeId="2054" r:id="rId12"/>
      </mc:Fallback>
    </mc:AlternateContent>
    <mc:AlternateContent xmlns:mc="http://schemas.openxmlformats.org/markup-compatibility/2006">
      <mc:Choice Requires="x14">
        <oleObject progId="Equation.DSMT4" shapeId="2055" r:id="rId14">
          <objectPr defaultSize="0" r:id="rId15">
            <anchor moveWithCells="1">
              <from>
                <xdr:col>6</xdr:col>
                <xdr:colOff>142875</xdr:colOff>
                <xdr:row>10</xdr:row>
                <xdr:rowOff>95250</xdr:rowOff>
              </from>
              <to>
                <xdr:col>6</xdr:col>
                <xdr:colOff>476250</xdr:colOff>
                <xdr:row>10</xdr:row>
                <xdr:rowOff>447675</xdr:rowOff>
              </to>
            </anchor>
          </objectPr>
        </oleObject>
      </mc:Choice>
      <mc:Fallback>
        <oleObject progId="Equation.DSMT4" shapeId="2055" r:id="rId14"/>
      </mc:Fallback>
    </mc:AlternateContent>
    <mc:AlternateContent xmlns:mc="http://schemas.openxmlformats.org/markup-compatibility/2006">
      <mc:Choice Requires="x14">
        <oleObject progId="Equation.DSMT4" shapeId="2056" r:id="rId16">
          <objectPr defaultSize="0" autoPict="0" r:id="rId17">
            <anchor moveWithCells="1">
              <from>
                <xdr:col>7</xdr:col>
                <xdr:colOff>38100</xdr:colOff>
                <xdr:row>10</xdr:row>
                <xdr:rowOff>104775</xdr:rowOff>
              </from>
              <to>
                <xdr:col>7</xdr:col>
                <xdr:colOff>857250</xdr:colOff>
                <xdr:row>10</xdr:row>
                <xdr:rowOff>476250</xdr:rowOff>
              </to>
            </anchor>
          </objectPr>
        </oleObject>
      </mc:Choice>
      <mc:Fallback>
        <oleObject progId="Equation.DSMT4" shapeId="2056" r:id="rId16"/>
      </mc:Fallback>
    </mc:AlternateContent>
    <mc:AlternateContent xmlns:mc="http://schemas.openxmlformats.org/markup-compatibility/2006">
      <mc:Choice Requires="x14">
        <oleObject progId="Equation.DSMT4" shapeId="2057" r:id="rId18">
          <objectPr defaultSize="0" autoPict="0" r:id="rId19">
            <anchor moveWithCells="1">
              <from>
                <xdr:col>1</xdr:col>
                <xdr:colOff>171450</xdr:colOff>
                <xdr:row>14</xdr:row>
                <xdr:rowOff>47625</xdr:rowOff>
              </from>
              <to>
                <xdr:col>1</xdr:col>
                <xdr:colOff>390525</xdr:colOff>
                <xdr:row>14</xdr:row>
                <xdr:rowOff>409575</xdr:rowOff>
              </to>
            </anchor>
          </objectPr>
        </oleObject>
      </mc:Choice>
      <mc:Fallback>
        <oleObject progId="Equation.DSMT4" shapeId="2057" r:id="rId18"/>
      </mc:Fallback>
    </mc:AlternateContent>
    <mc:AlternateContent xmlns:mc="http://schemas.openxmlformats.org/markup-compatibility/2006">
      <mc:Choice Requires="x14">
        <oleObject progId="Equation.DSMT4" shapeId="2058" r:id="rId20">
          <objectPr defaultSize="0" autoPict="0" r:id="rId21">
            <anchor moveWithCells="1">
              <from>
                <xdr:col>2</xdr:col>
                <xdr:colOff>57150</xdr:colOff>
                <xdr:row>14</xdr:row>
                <xdr:rowOff>38100</xdr:rowOff>
              </from>
              <to>
                <xdr:col>2</xdr:col>
                <xdr:colOff>304800</xdr:colOff>
                <xdr:row>14</xdr:row>
                <xdr:rowOff>419100</xdr:rowOff>
              </to>
            </anchor>
          </objectPr>
        </oleObject>
      </mc:Choice>
      <mc:Fallback>
        <oleObject progId="Equation.DSMT4" shapeId="2058" r:id="rId20"/>
      </mc:Fallback>
    </mc:AlternateContent>
    <mc:AlternateContent xmlns:mc="http://schemas.openxmlformats.org/markup-compatibility/2006">
      <mc:Choice Requires="x14">
        <oleObject progId="Equation.DSMT4" shapeId="2059" r:id="rId22">
          <objectPr defaultSize="0" autoPict="0" r:id="rId23">
            <anchor moveWithCells="1">
              <from>
                <xdr:col>3</xdr:col>
                <xdr:colOff>171450</xdr:colOff>
                <xdr:row>14</xdr:row>
                <xdr:rowOff>57150</xdr:rowOff>
              </from>
              <to>
                <xdr:col>3</xdr:col>
                <xdr:colOff>400050</xdr:colOff>
                <xdr:row>14</xdr:row>
                <xdr:rowOff>419100</xdr:rowOff>
              </to>
            </anchor>
          </objectPr>
        </oleObject>
      </mc:Choice>
      <mc:Fallback>
        <oleObject progId="Equation.DSMT4" shapeId="2059" r:id="rId22"/>
      </mc:Fallback>
    </mc:AlternateContent>
    <mc:AlternateContent xmlns:mc="http://schemas.openxmlformats.org/markup-compatibility/2006">
      <mc:Choice Requires="x14">
        <oleObject progId="Equation.DSMT4" shapeId="2060" r:id="rId24">
          <objectPr defaultSize="0" autoPict="0" r:id="rId25">
            <anchor moveWithCells="1">
              <from>
                <xdr:col>4</xdr:col>
                <xdr:colOff>171450</xdr:colOff>
                <xdr:row>14</xdr:row>
                <xdr:rowOff>66675</xdr:rowOff>
              </from>
              <to>
                <xdr:col>4</xdr:col>
                <xdr:colOff>438150</xdr:colOff>
                <xdr:row>14</xdr:row>
                <xdr:rowOff>400050</xdr:rowOff>
              </to>
            </anchor>
          </objectPr>
        </oleObject>
      </mc:Choice>
      <mc:Fallback>
        <oleObject progId="Equation.DSMT4" shapeId="2060" r:id="rId24"/>
      </mc:Fallback>
    </mc:AlternateContent>
    <mc:AlternateContent xmlns:mc="http://schemas.openxmlformats.org/markup-compatibility/2006">
      <mc:Choice Requires="x14">
        <oleObject progId="Equation.DSMT4" shapeId="2061" r:id="rId26">
          <objectPr defaultSize="0" autoPict="0" r:id="rId27">
            <anchor moveWithCells="1">
              <from>
                <xdr:col>5</xdr:col>
                <xdr:colOff>466725</xdr:colOff>
                <xdr:row>14</xdr:row>
                <xdr:rowOff>104775</xdr:rowOff>
              </from>
              <to>
                <xdr:col>5</xdr:col>
                <xdr:colOff>733425</xdr:colOff>
                <xdr:row>14</xdr:row>
                <xdr:rowOff>390525</xdr:rowOff>
              </to>
            </anchor>
          </objectPr>
        </oleObject>
      </mc:Choice>
      <mc:Fallback>
        <oleObject progId="Equation.DSMT4" shapeId="2061" r:id="rId26"/>
      </mc:Fallback>
    </mc:AlternateContent>
    <mc:AlternateContent xmlns:mc="http://schemas.openxmlformats.org/markup-compatibility/2006">
      <mc:Choice Requires="x14">
        <oleObject progId="Equation.DSMT4" shapeId="2062" r:id="rId28">
          <objectPr defaultSize="0" autoPict="0" r:id="rId29">
            <anchor moveWithCells="1">
              <from>
                <xdr:col>6</xdr:col>
                <xdr:colOff>133350</xdr:colOff>
                <xdr:row>14</xdr:row>
                <xdr:rowOff>38100</xdr:rowOff>
              </from>
              <to>
                <xdr:col>6</xdr:col>
                <xdr:colOff>400050</xdr:colOff>
                <xdr:row>14</xdr:row>
                <xdr:rowOff>371475</xdr:rowOff>
              </to>
            </anchor>
          </objectPr>
        </oleObject>
      </mc:Choice>
      <mc:Fallback>
        <oleObject progId="Equation.DSMT4" shapeId="2062" r:id="rId28"/>
      </mc:Fallback>
    </mc:AlternateContent>
    <mc:AlternateContent xmlns:mc="http://schemas.openxmlformats.org/markup-compatibility/2006">
      <mc:Choice Requires="x14">
        <oleObject progId="Equation.DSMT4" shapeId="2063" r:id="rId30">
          <objectPr defaultSize="0" autoPict="0" r:id="rId31">
            <anchor moveWithCells="1">
              <from>
                <xdr:col>7</xdr:col>
                <xdr:colOff>304800</xdr:colOff>
                <xdr:row>14</xdr:row>
                <xdr:rowOff>47625</xdr:rowOff>
              </from>
              <to>
                <xdr:col>7</xdr:col>
                <xdr:colOff>495300</xdr:colOff>
                <xdr:row>14</xdr:row>
                <xdr:rowOff>342900</xdr:rowOff>
              </to>
            </anchor>
          </objectPr>
        </oleObject>
      </mc:Choice>
      <mc:Fallback>
        <oleObject progId="Equation.DSMT4" shapeId="2063" r:id="rId30"/>
      </mc:Fallback>
    </mc:AlternateContent>
    <mc:AlternateContent xmlns:mc="http://schemas.openxmlformats.org/markup-compatibility/2006">
      <mc:Choice Requires="x14">
        <oleObject progId="Equation.DSMT4" shapeId="2064" r:id="rId32">
          <objectPr defaultSize="0" autoPict="0" r:id="rId33">
            <anchor moveWithCells="1">
              <from>
                <xdr:col>10</xdr:col>
                <xdr:colOff>114300</xdr:colOff>
                <xdr:row>22</xdr:row>
                <xdr:rowOff>66675</xdr:rowOff>
              </from>
              <to>
                <xdr:col>10</xdr:col>
                <xdr:colOff>1657350</xdr:colOff>
                <xdr:row>22</xdr:row>
                <xdr:rowOff>485775</xdr:rowOff>
              </to>
            </anchor>
          </objectPr>
        </oleObject>
      </mc:Choice>
      <mc:Fallback>
        <oleObject progId="Equation.DSMT4" shapeId="2064" r:id="rId32"/>
      </mc:Fallback>
    </mc:AlternateContent>
    <mc:AlternateContent xmlns:mc="http://schemas.openxmlformats.org/markup-compatibility/2006">
      <mc:Choice Requires="x14">
        <oleObject progId="Equation.DSMT4" shapeId="2065" r:id="rId34">
          <objectPr defaultSize="0" autoPict="0" r:id="rId35">
            <anchor moveWithCells="1">
              <from>
                <xdr:col>10</xdr:col>
                <xdr:colOff>123825</xdr:colOff>
                <xdr:row>23</xdr:row>
                <xdr:rowOff>85725</xdr:rowOff>
              </from>
              <to>
                <xdr:col>10</xdr:col>
                <xdr:colOff>1352550</xdr:colOff>
                <xdr:row>23</xdr:row>
                <xdr:rowOff>428625</xdr:rowOff>
              </to>
            </anchor>
          </objectPr>
        </oleObject>
      </mc:Choice>
      <mc:Fallback>
        <oleObject progId="Equation.DSMT4" shapeId="2065" r:id="rId34"/>
      </mc:Fallback>
    </mc:AlternateContent>
    <mc:AlternateContent xmlns:mc="http://schemas.openxmlformats.org/markup-compatibility/2006">
      <mc:Choice Requires="x14">
        <oleObject progId="Equation.DSMT4" shapeId="2066" r:id="rId36">
          <objectPr defaultSize="0" r:id="rId37">
            <anchor moveWithCells="1">
              <from>
                <xdr:col>10</xdr:col>
                <xdr:colOff>123825</xdr:colOff>
                <xdr:row>38</xdr:row>
                <xdr:rowOff>114300</xdr:rowOff>
              </from>
              <to>
                <xdr:col>13</xdr:col>
                <xdr:colOff>1352550</xdr:colOff>
                <xdr:row>41</xdr:row>
                <xdr:rowOff>47625</xdr:rowOff>
              </to>
            </anchor>
          </objectPr>
        </oleObject>
      </mc:Choice>
      <mc:Fallback>
        <oleObject progId="Equation.DSMT4" shapeId="2066" r:id="rId36"/>
      </mc:Fallback>
    </mc:AlternateContent>
    <mc:AlternateContent xmlns:mc="http://schemas.openxmlformats.org/markup-compatibility/2006">
      <mc:Choice Requires="x14">
        <oleObject progId="Equation.DSMT4" shapeId="2068" r:id="rId38">
          <objectPr defaultSize="0" r:id="rId39">
            <anchor moveWithCells="1">
              <from>
                <xdr:col>1</xdr:col>
                <xdr:colOff>409575</xdr:colOff>
                <xdr:row>4</xdr:row>
                <xdr:rowOff>142875</xdr:rowOff>
              </from>
              <to>
                <xdr:col>7</xdr:col>
                <xdr:colOff>295275</xdr:colOff>
                <xdr:row>8</xdr:row>
                <xdr:rowOff>114300</xdr:rowOff>
              </to>
            </anchor>
          </objectPr>
        </oleObject>
      </mc:Choice>
      <mc:Fallback>
        <oleObject progId="Equation.DSMT4" shapeId="2068" r:id="rId38"/>
      </mc:Fallback>
    </mc:AlternateContent>
    <mc:AlternateContent xmlns:mc="http://schemas.openxmlformats.org/markup-compatibility/2006">
      <mc:Choice Requires="x14">
        <oleObject progId="Equation.DSMT4" shapeId="2069" r:id="rId40">
          <objectPr defaultSize="0" r:id="rId41">
            <anchor moveWithCells="1">
              <from>
                <xdr:col>10</xdr:col>
                <xdr:colOff>95250</xdr:colOff>
                <xdr:row>18</xdr:row>
                <xdr:rowOff>76200</xdr:rowOff>
              </from>
              <to>
                <xdr:col>14</xdr:col>
                <xdr:colOff>133350</xdr:colOff>
                <xdr:row>20</xdr:row>
                <xdr:rowOff>57150</xdr:rowOff>
              </to>
            </anchor>
          </objectPr>
        </oleObject>
      </mc:Choice>
      <mc:Fallback>
        <oleObject progId="Equation.DSMT4" shapeId="2069" r:id="rId40"/>
      </mc:Fallback>
    </mc:AlternateContent>
    <mc:AlternateContent xmlns:mc="http://schemas.openxmlformats.org/markup-compatibility/2006">
      <mc:Choice Requires="x14">
        <oleObject progId="Equation.DSMT4" shapeId="2080" r:id="rId42">
          <objectPr defaultSize="0" autoPict="0" r:id="rId43">
            <anchor moveWithCells="1">
              <from>
                <xdr:col>10</xdr:col>
                <xdr:colOff>133350</xdr:colOff>
                <xdr:row>34</xdr:row>
                <xdr:rowOff>57150</xdr:rowOff>
              </from>
              <to>
                <xdr:col>10</xdr:col>
                <xdr:colOff>1704975</xdr:colOff>
                <xdr:row>34</xdr:row>
                <xdr:rowOff>390525</xdr:rowOff>
              </to>
            </anchor>
          </objectPr>
        </oleObject>
      </mc:Choice>
      <mc:Fallback>
        <oleObject progId="Equation.DSMT4" shapeId="2080" r:id="rId42"/>
      </mc:Fallback>
    </mc:AlternateContent>
    <mc:AlternateContent xmlns:mc="http://schemas.openxmlformats.org/markup-compatibility/2006">
      <mc:Choice Requires="x14">
        <oleObject progId="Equation.DSMT4" shapeId="2081" r:id="rId44">
          <objectPr defaultSize="0" autoPict="0" r:id="rId45">
            <anchor moveWithCells="1">
              <from>
                <xdr:col>10</xdr:col>
                <xdr:colOff>123825</xdr:colOff>
                <xdr:row>35</xdr:row>
                <xdr:rowOff>47625</xdr:rowOff>
              </from>
              <to>
                <xdr:col>10</xdr:col>
                <xdr:colOff>1724025</xdr:colOff>
                <xdr:row>35</xdr:row>
                <xdr:rowOff>742950</xdr:rowOff>
              </to>
            </anchor>
          </objectPr>
        </oleObject>
      </mc:Choice>
      <mc:Fallback>
        <oleObject progId="Equation.DSMT4" shapeId="2081" r:id="rId44"/>
      </mc:Fallback>
    </mc:AlternateContent>
    <mc:AlternateContent xmlns:mc="http://schemas.openxmlformats.org/markup-compatibility/2006">
      <mc:Choice Requires="x14">
        <oleObject progId="Equation.DSMT4" shapeId="2082" r:id="rId46">
          <objectPr defaultSize="0" autoPict="0" r:id="rId47">
            <anchor moveWithCells="1">
              <from>
                <xdr:col>10</xdr:col>
                <xdr:colOff>76200</xdr:colOff>
                <xdr:row>36</xdr:row>
                <xdr:rowOff>133350</xdr:rowOff>
              </from>
              <to>
                <xdr:col>10</xdr:col>
                <xdr:colOff>2371725</xdr:colOff>
                <xdr:row>36</xdr:row>
                <xdr:rowOff>762000</xdr:rowOff>
              </to>
            </anchor>
          </objectPr>
        </oleObject>
      </mc:Choice>
      <mc:Fallback>
        <oleObject progId="Equation.DSMT4" shapeId="2082" r:id="rId46"/>
      </mc:Fallback>
    </mc:AlternateContent>
    <mc:AlternateContent xmlns:mc="http://schemas.openxmlformats.org/markup-compatibility/2006">
      <mc:Choice Requires="x14">
        <oleObject progId="Equation.DSMT4" shapeId="2083" r:id="rId48">
          <objectPr defaultSize="0" r:id="rId49">
            <anchor moveWithCells="1">
              <from>
                <xdr:col>10</xdr:col>
                <xdr:colOff>47625</xdr:colOff>
                <xdr:row>43</xdr:row>
                <xdr:rowOff>76200</xdr:rowOff>
              </from>
              <to>
                <xdr:col>10</xdr:col>
                <xdr:colOff>581025</xdr:colOff>
                <xdr:row>43</xdr:row>
                <xdr:rowOff>314325</xdr:rowOff>
              </to>
            </anchor>
          </objectPr>
        </oleObject>
      </mc:Choice>
      <mc:Fallback>
        <oleObject progId="Equation.DSMT4" shapeId="2083" r:id="rId48"/>
      </mc:Fallback>
    </mc:AlternateContent>
    <mc:AlternateContent xmlns:mc="http://schemas.openxmlformats.org/markup-compatibility/2006">
      <mc:Choice Requires="x14">
        <oleObject progId="Equation.DSMT4" shapeId="2084" r:id="rId50">
          <objectPr defaultSize="0" r:id="rId51">
            <anchor moveWithCells="1">
              <from>
                <xdr:col>10</xdr:col>
                <xdr:colOff>76200</xdr:colOff>
                <xdr:row>44</xdr:row>
                <xdr:rowOff>76200</xdr:rowOff>
              </from>
              <to>
                <xdr:col>10</xdr:col>
                <xdr:colOff>619125</xdr:colOff>
                <xdr:row>44</xdr:row>
                <xdr:rowOff>314325</xdr:rowOff>
              </to>
            </anchor>
          </objectPr>
        </oleObject>
      </mc:Choice>
      <mc:Fallback>
        <oleObject progId="Equation.DSMT4" shapeId="2084" r:id="rId50"/>
      </mc:Fallback>
    </mc:AlternateContent>
    <mc:AlternateContent xmlns:mc="http://schemas.openxmlformats.org/markup-compatibility/2006">
      <mc:Choice Requires="x14">
        <oleObject progId="Equation.DSMT4" shapeId="2085" r:id="rId52">
          <objectPr defaultSize="0" r:id="rId53">
            <anchor moveWithCells="1">
              <from>
                <xdr:col>10</xdr:col>
                <xdr:colOff>85725</xdr:colOff>
                <xdr:row>46</xdr:row>
                <xdr:rowOff>76200</xdr:rowOff>
              </from>
              <to>
                <xdr:col>10</xdr:col>
                <xdr:colOff>1123950</xdr:colOff>
                <xdr:row>46</xdr:row>
                <xdr:rowOff>314325</xdr:rowOff>
              </to>
            </anchor>
          </objectPr>
        </oleObject>
      </mc:Choice>
      <mc:Fallback>
        <oleObject progId="Equation.DSMT4" shapeId="2085" r:id="rId52"/>
      </mc:Fallback>
    </mc:AlternateContent>
    <mc:AlternateContent xmlns:mc="http://schemas.openxmlformats.org/markup-compatibility/2006">
      <mc:Choice Requires="x14">
        <oleObject progId="Equation.DSMT4" shapeId="2086" r:id="rId54">
          <objectPr defaultSize="0" r:id="rId55">
            <anchor moveWithCells="1">
              <from>
                <xdr:col>10</xdr:col>
                <xdr:colOff>85725</xdr:colOff>
                <xdr:row>47</xdr:row>
                <xdr:rowOff>47625</xdr:rowOff>
              </from>
              <to>
                <xdr:col>10</xdr:col>
                <xdr:colOff>1123950</xdr:colOff>
                <xdr:row>47</xdr:row>
                <xdr:rowOff>314325</xdr:rowOff>
              </to>
            </anchor>
          </objectPr>
        </oleObject>
      </mc:Choice>
      <mc:Fallback>
        <oleObject progId="Equation.DSMT4" shapeId="2086" r:id="rId54"/>
      </mc:Fallback>
    </mc:AlternateContent>
    <mc:AlternateContent xmlns:mc="http://schemas.openxmlformats.org/markup-compatibility/2006">
      <mc:Choice Requires="x14">
        <oleObject progId="Equation.DSMT4" shapeId="2087" r:id="rId56">
          <objectPr defaultSize="0" r:id="rId57">
            <anchor moveWithCells="1">
              <from>
                <xdr:col>10</xdr:col>
                <xdr:colOff>76200</xdr:colOff>
                <xdr:row>48</xdr:row>
                <xdr:rowOff>47625</xdr:rowOff>
              </from>
              <to>
                <xdr:col>10</xdr:col>
                <xdr:colOff>942975</xdr:colOff>
                <xdr:row>48</xdr:row>
                <xdr:rowOff>285750</xdr:rowOff>
              </to>
            </anchor>
          </objectPr>
        </oleObject>
      </mc:Choice>
      <mc:Fallback>
        <oleObject progId="Equation.DSMT4" shapeId="2087" r:id="rId56"/>
      </mc:Fallback>
    </mc:AlternateContent>
    <mc:AlternateContent xmlns:mc="http://schemas.openxmlformats.org/markup-compatibility/2006">
      <mc:Choice Requires="x14">
        <oleObject progId="Equation.DSMT4" shapeId="2088" r:id="rId58">
          <objectPr defaultSize="0" r:id="rId59">
            <anchor moveWithCells="1">
              <from>
                <xdr:col>10</xdr:col>
                <xdr:colOff>85725</xdr:colOff>
                <xdr:row>49</xdr:row>
                <xdr:rowOff>66675</xdr:rowOff>
              </from>
              <to>
                <xdr:col>10</xdr:col>
                <xdr:colOff>1066800</xdr:colOff>
                <xdr:row>49</xdr:row>
                <xdr:rowOff>304800</xdr:rowOff>
              </to>
            </anchor>
          </objectPr>
        </oleObject>
      </mc:Choice>
      <mc:Fallback>
        <oleObject progId="Equation.DSMT4" shapeId="2088" r:id="rId58"/>
      </mc:Fallback>
    </mc:AlternateContent>
    <mc:AlternateContent xmlns:mc="http://schemas.openxmlformats.org/markup-compatibility/2006">
      <mc:Choice Requires="x14">
        <oleObject progId="Equation.DSMT4" shapeId="2089" r:id="rId60">
          <objectPr defaultSize="0" r:id="rId61">
            <anchor moveWithCells="1">
              <from>
                <xdr:col>10</xdr:col>
                <xdr:colOff>85725</xdr:colOff>
                <xdr:row>50</xdr:row>
                <xdr:rowOff>47625</xdr:rowOff>
              </from>
              <to>
                <xdr:col>10</xdr:col>
                <xdr:colOff>1066800</xdr:colOff>
                <xdr:row>50</xdr:row>
                <xdr:rowOff>285750</xdr:rowOff>
              </to>
            </anchor>
          </objectPr>
        </oleObject>
      </mc:Choice>
      <mc:Fallback>
        <oleObject progId="Equation.DSMT4" shapeId="2089" r:id="rId60"/>
      </mc:Fallback>
    </mc:AlternateContent>
    <mc:AlternateContent xmlns:mc="http://schemas.openxmlformats.org/markup-compatibility/2006">
      <mc:Choice Requires="x14">
        <oleObject progId="Equation.DSMT4" shapeId="2090" r:id="rId62">
          <objectPr defaultSize="0" r:id="rId63">
            <anchor moveWithCells="1">
              <from>
                <xdr:col>10</xdr:col>
                <xdr:colOff>57150</xdr:colOff>
                <xdr:row>51</xdr:row>
                <xdr:rowOff>47625</xdr:rowOff>
              </from>
              <to>
                <xdr:col>10</xdr:col>
                <xdr:colOff>1381125</xdr:colOff>
                <xdr:row>51</xdr:row>
                <xdr:rowOff>285750</xdr:rowOff>
              </to>
            </anchor>
          </objectPr>
        </oleObject>
      </mc:Choice>
      <mc:Fallback>
        <oleObject progId="Equation.DSMT4" shapeId="2090" r:id="rId62"/>
      </mc:Fallback>
    </mc:AlternateContent>
    <mc:AlternateContent xmlns:mc="http://schemas.openxmlformats.org/markup-compatibility/2006">
      <mc:Choice Requires="x14">
        <oleObject progId="Equation.DSMT4" shapeId="2091" r:id="rId64">
          <objectPr defaultSize="0" r:id="rId65">
            <anchor moveWithCells="1">
              <from>
                <xdr:col>10</xdr:col>
                <xdr:colOff>57150</xdr:colOff>
                <xdr:row>52</xdr:row>
                <xdr:rowOff>66675</xdr:rowOff>
              </from>
              <to>
                <xdr:col>10</xdr:col>
                <xdr:colOff>1428750</xdr:colOff>
                <xdr:row>52</xdr:row>
                <xdr:rowOff>304800</xdr:rowOff>
              </to>
            </anchor>
          </objectPr>
        </oleObject>
      </mc:Choice>
      <mc:Fallback>
        <oleObject progId="Equation.DSMT4" shapeId="2091" r:id="rId64"/>
      </mc:Fallback>
    </mc:AlternateContent>
    <mc:AlternateContent xmlns:mc="http://schemas.openxmlformats.org/markup-compatibility/2006">
      <mc:Choice Requires="x14">
        <oleObject progId="Equation.DSMT4" shapeId="2092" r:id="rId66">
          <objectPr defaultSize="0" r:id="rId67">
            <anchor moveWithCells="1">
              <from>
                <xdr:col>10</xdr:col>
                <xdr:colOff>57150</xdr:colOff>
                <xdr:row>53</xdr:row>
                <xdr:rowOff>38100</xdr:rowOff>
              </from>
              <to>
                <xdr:col>10</xdr:col>
                <xdr:colOff>1152525</xdr:colOff>
                <xdr:row>53</xdr:row>
                <xdr:rowOff>333375</xdr:rowOff>
              </to>
            </anchor>
          </objectPr>
        </oleObject>
      </mc:Choice>
      <mc:Fallback>
        <oleObject progId="Equation.DSMT4" shapeId="2092" r:id="rId66"/>
      </mc:Fallback>
    </mc:AlternateContent>
    <mc:AlternateContent xmlns:mc="http://schemas.openxmlformats.org/markup-compatibility/2006">
      <mc:Choice Requires="x14">
        <oleObject progId="Equation.DSMT4" shapeId="2093" r:id="rId68">
          <objectPr defaultSize="0" r:id="rId69">
            <anchor moveWithCells="1">
              <from>
                <xdr:col>10</xdr:col>
                <xdr:colOff>57150</xdr:colOff>
                <xdr:row>54</xdr:row>
                <xdr:rowOff>38100</xdr:rowOff>
              </from>
              <to>
                <xdr:col>10</xdr:col>
                <xdr:colOff>781050</xdr:colOff>
                <xdr:row>54</xdr:row>
                <xdr:rowOff>276225</xdr:rowOff>
              </to>
            </anchor>
          </objectPr>
        </oleObject>
      </mc:Choice>
      <mc:Fallback>
        <oleObject progId="Equation.DSMT4" shapeId="2093" r:id="rId68"/>
      </mc:Fallback>
    </mc:AlternateContent>
    <mc:AlternateContent xmlns:mc="http://schemas.openxmlformats.org/markup-compatibility/2006">
      <mc:Choice Requires="x14">
        <oleObject progId="Equation.DSMT4" shapeId="2094" r:id="rId70">
          <objectPr defaultSize="0" r:id="rId71">
            <anchor moveWithCells="1">
              <from>
                <xdr:col>10</xdr:col>
                <xdr:colOff>38100</xdr:colOff>
                <xdr:row>55</xdr:row>
                <xdr:rowOff>76200</xdr:rowOff>
              </from>
              <to>
                <xdr:col>10</xdr:col>
                <xdr:colOff>1323975</xdr:colOff>
                <xdr:row>55</xdr:row>
                <xdr:rowOff>314325</xdr:rowOff>
              </to>
            </anchor>
          </objectPr>
        </oleObject>
      </mc:Choice>
      <mc:Fallback>
        <oleObject progId="Equation.DSMT4" shapeId="2094" r:id="rId70"/>
      </mc:Fallback>
    </mc:AlternateContent>
    <mc:AlternateContent xmlns:mc="http://schemas.openxmlformats.org/markup-compatibility/2006">
      <mc:Choice Requires="x14">
        <oleObject progId="Equation.DSMT4" shapeId="2095" r:id="rId72">
          <objectPr defaultSize="0" r:id="rId73">
            <anchor moveWithCells="1">
              <from>
                <xdr:col>10</xdr:col>
                <xdr:colOff>57150</xdr:colOff>
                <xdr:row>56</xdr:row>
                <xdr:rowOff>76200</xdr:rowOff>
              </from>
              <to>
                <xdr:col>10</xdr:col>
                <xdr:colOff>1228725</xdr:colOff>
                <xdr:row>56</xdr:row>
                <xdr:rowOff>314325</xdr:rowOff>
              </to>
            </anchor>
          </objectPr>
        </oleObject>
      </mc:Choice>
      <mc:Fallback>
        <oleObject progId="Equation.DSMT4" shapeId="2095" r:id="rId72"/>
      </mc:Fallback>
    </mc:AlternateContent>
    <mc:AlternateContent xmlns:mc="http://schemas.openxmlformats.org/markup-compatibility/2006">
      <mc:Choice Requires="x14">
        <oleObject progId="Equation.DSMT4" shapeId="2096" r:id="rId74">
          <objectPr defaultSize="0" r:id="rId75">
            <anchor moveWithCells="1">
              <from>
                <xdr:col>10</xdr:col>
                <xdr:colOff>76200</xdr:colOff>
                <xdr:row>57</xdr:row>
                <xdr:rowOff>76200</xdr:rowOff>
              </from>
              <to>
                <xdr:col>10</xdr:col>
                <xdr:colOff>1295400</xdr:colOff>
                <xdr:row>57</xdr:row>
                <xdr:rowOff>314325</xdr:rowOff>
              </to>
            </anchor>
          </objectPr>
        </oleObject>
      </mc:Choice>
      <mc:Fallback>
        <oleObject progId="Equation.DSMT4" shapeId="2096" r:id="rId74"/>
      </mc:Fallback>
    </mc:AlternateContent>
    <mc:AlternateContent xmlns:mc="http://schemas.openxmlformats.org/markup-compatibility/2006">
      <mc:Choice Requires="x14">
        <oleObject progId="Equation.DSMT4" shapeId="2097" r:id="rId76">
          <objectPr defaultSize="0" r:id="rId77">
            <anchor moveWithCells="1">
              <from>
                <xdr:col>10</xdr:col>
                <xdr:colOff>66675</xdr:colOff>
                <xdr:row>58</xdr:row>
                <xdr:rowOff>66675</xdr:rowOff>
              </from>
              <to>
                <xdr:col>10</xdr:col>
                <xdr:colOff>1866900</xdr:colOff>
                <xdr:row>58</xdr:row>
                <xdr:rowOff>571500</xdr:rowOff>
              </to>
            </anchor>
          </objectPr>
        </oleObject>
      </mc:Choice>
      <mc:Fallback>
        <oleObject progId="Equation.DSMT4" shapeId="2097" r:id="rId76"/>
      </mc:Fallback>
    </mc:AlternateContent>
    <mc:AlternateContent xmlns:mc="http://schemas.openxmlformats.org/markup-compatibility/2006">
      <mc:Choice Requires="x14">
        <oleObject progId="Equation.DSMT4" shapeId="2100" r:id="rId78">
          <objectPr defaultSize="0" r:id="rId79">
            <anchor moveWithCells="1">
              <from>
                <xdr:col>10</xdr:col>
                <xdr:colOff>85725</xdr:colOff>
                <xdr:row>60</xdr:row>
                <xdr:rowOff>85725</xdr:rowOff>
              </from>
              <to>
                <xdr:col>10</xdr:col>
                <xdr:colOff>1200150</xdr:colOff>
                <xdr:row>60</xdr:row>
                <xdr:rowOff>342900</xdr:rowOff>
              </to>
            </anchor>
          </objectPr>
        </oleObject>
      </mc:Choice>
      <mc:Fallback>
        <oleObject progId="Equation.DSMT4" shapeId="2100" r:id="rId78"/>
      </mc:Fallback>
    </mc:AlternateContent>
    <mc:AlternateContent xmlns:mc="http://schemas.openxmlformats.org/markup-compatibility/2006">
      <mc:Choice Requires="x14">
        <oleObject progId="Equation.DSMT4" shapeId="2101" r:id="rId80">
          <objectPr defaultSize="0" r:id="rId81">
            <anchor moveWithCells="1">
              <from>
                <xdr:col>10</xdr:col>
                <xdr:colOff>85725</xdr:colOff>
                <xdr:row>61</xdr:row>
                <xdr:rowOff>85725</xdr:rowOff>
              </from>
              <to>
                <xdr:col>10</xdr:col>
                <xdr:colOff>1343025</xdr:colOff>
                <xdr:row>61</xdr:row>
                <xdr:rowOff>361950</xdr:rowOff>
              </to>
            </anchor>
          </objectPr>
        </oleObject>
      </mc:Choice>
      <mc:Fallback>
        <oleObject progId="Equation.DSMT4" shapeId="2101" r:id="rId80"/>
      </mc:Fallback>
    </mc:AlternateContent>
    <mc:AlternateContent xmlns:mc="http://schemas.openxmlformats.org/markup-compatibility/2006">
      <mc:Choice Requires="x14">
        <oleObject progId="Equation.DSMT4" shapeId="2102" r:id="rId82">
          <objectPr defaultSize="0" r:id="rId83">
            <anchor moveWithCells="1">
              <from>
                <xdr:col>10</xdr:col>
                <xdr:colOff>95250</xdr:colOff>
                <xdr:row>62</xdr:row>
                <xdr:rowOff>95250</xdr:rowOff>
              </from>
              <to>
                <xdr:col>10</xdr:col>
                <xdr:colOff>1190625</xdr:colOff>
                <xdr:row>62</xdr:row>
                <xdr:rowOff>323850</xdr:rowOff>
              </to>
            </anchor>
          </objectPr>
        </oleObject>
      </mc:Choice>
      <mc:Fallback>
        <oleObject progId="Equation.DSMT4" shapeId="2102" r:id="rId82"/>
      </mc:Fallback>
    </mc:AlternateContent>
    <mc:AlternateContent xmlns:mc="http://schemas.openxmlformats.org/markup-compatibility/2006">
      <mc:Choice Requires="x14">
        <oleObject progId="Equation.DSMT4" shapeId="2103" r:id="rId84">
          <objectPr defaultSize="0" autoPict="0" r:id="rId85">
            <anchor moveWithCells="1">
              <from>
                <xdr:col>10</xdr:col>
                <xdr:colOff>161925</xdr:colOff>
                <xdr:row>25</xdr:row>
                <xdr:rowOff>57150</xdr:rowOff>
              </from>
              <to>
                <xdr:col>10</xdr:col>
                <xdr:colOff>1095375</xdr:colOff>
                <xdr:row>25</xdr:row>
                <xdr:rowOff>571500</xdr:rowOff>
              </to>
            </anchor>
          </objectPr>
        </oleObject>
      </mc:Choice>
      <mc:Fallback>
        <oleObject progId="Equation.DSMT4" shapeId="2103" r:id="rId84"/>
      </mc:Fallback>
    </mc:AlternateContent>
    <mc:AlternateContent xmlns:mc="http://schemas.openxmlformats.org/markup-compatibility/2006">
      <mc:Choice Requires="x14">
        <oleObject progId="Equation.DSMT4" shapeId="2105" r:id="rId86">
          <objectPr defaultSize="0" autoPict="0" r:id="rId87">
            <anchor moveWithCells="1">
              <from>
                <xdr:col>10</xdr:col>
                <xdr:colOff>114300</xdr:colOff>
                <xdr:row>27</xdr:row>
                <xdr:rowOff>95250</xdr:rowOff>
              </from>
              <to>
                <xdr:col>10</xdr:col>
                <xdr:colOff>1695450</xdr:colOff>
                <xdr:row>27</xdr:row>
                <xdr:rowOff>619125</xdr:rowOff>
              </to>
            </anchor>
          </objectPr>
        </oleObject>
      </mc:Choice>
      <mc:Fallback>
        <oleObject progId="Equation.DSMT4" shapeId="2105" r:id="rId86"/>
      </mc:Fallback>
    </mc:AlternateContent>
    <mc:AlternateContent xmlns:mc="http://schemas.openxmlformats.org/markup-compatibility/2006">
      <mc:Choice Requires="x14">
        <oleObject progId="Equation.DSMT4" shapeId="2106" r:id="rId88">
          <objectPr defaultSize="0" autoPict="0" r:id="rId89">
            <anchor moveWithCells="1">
              <from>
                <xdr:col>10</xdr:col>
                <xdr:colOff>152400</xdr:colOff>
                <xdr:row>28</xdr:row>
                <xdr:rowOff>76200</xdr:rowOff>
              </from>
              <to>
                <xdr:col>10</xdr:col>
                <xdr:colOff>1143000</xdr:colOff>
                <xdr:row>28</xdr:row>
                <xdr:rowOff>409575</xdr:rowOff>
              </to>
            </anchor>
          </objectPr>
        </oleObject>
      </mc:Choice>
      <mc:Fallback>
        <oleObject progId="Equation.DSMT4" shapeId="2106" r:id="rId88"/>
      </mc:Fallback>
    </mc:AlternateContent>
    <mc:AlternateContent xmlns:mc="http://schemas.openxmlformats.org/markup-compatibility/2006">
      <mc:Choice Requires="x14">
        <oleObject progId="Equation.DSMT4" shapeId="2107" r:id="rId90">
          <objectPr defaultSize="0" autoPict="0" r:id="rId91">
            <anchor moveWithCells="1">
              <from>
                <xdr:col>10</xdr:col>
                <xdr:colOff>152400</xdr:colOff>
                <xdr:row>29</xdr:row>
                <xdr:rowOff>47625</xdr:rowOff>
              </from>
              <to>
                <xdr:col>10</xdr:col>
                <xdr:colOff>1257300</xdr:colOff>
                <xdr:row>29</xdr:row>
                <xdr:rowOff>400050</xdr:rowOff>
              </to>
            </anchor>
          </objectPr>
        </oleObject>
      </mc:Choice>
      <mc:Fallback>
        <oleObject progId="Equation.DSMT4" shapeId="2107" r:id="rId90"/>
      </mc:Fallback>
    </mc:AlternateContent>
    <mc:AlternateContent xmlns:mc="http://schemas.openxmlformats.org/markup-compatibility/2006">
      <mc:Choice Requires="x14">
        <oleObject progId="Equation.DSMT4" shapeId="2109" r:id="rId92">
          <objectPr defaultSize="0" autoPict="0" r:id="rId93">
            <anchor moveWithCells="1">
              <from>
                <xdr:col>10</xdr:col>
                <xdr:colOff>152400</xdr:colOff>
                <xdr:row>31</xdr:row>
                <xdr:rowOff>95250</xdr:rowOff>
              </from>
              <to>
                <xdr:col>10</xdr:col>
                <xdr:colOff>1466850</xdr:colOff>
                <xdr:row>31</xdr:row>
                <xdr:rowOff>733425</xdr:rowOff>
              </to>
            </anchor>
          </objectPr>
        </oleObject>
      </mc:Choice>
      <mc:Fallback>
        <oleObject progId="Equation.DSMT4" shapeId="2109" r:id="rId92"/>
      </mc:Fallback>
    </mc:AlternateContent>
    <mc:AlternateContent xmlns:mc="http://schemas.openxmlformats.org/markup-compatibility/2006">
      <mc:Choice Requires="x14">
        <oleObject progId="Equation.DSMT4" shapeId="2110" r:id="rId94">
          <objectPr defaultSize="0" autoPict="0" r:id="rId95">
            <anchor moveWithCells="1">
              <from>
                <xdr:col>10</xdr:col>
                <xdr:colOff>161925</xdr:colOff>
                <xdr:row>32</xdr:row>
                <xdr:rowOff>57150</xdr:rowOff>
              </from>
              <to>
                <xdr:col>10</xdr:col>
                <xdr:colOff>1162050</xdr:colOff>
                <xdr:row>32</xdr:row>
                <xdr:rowOff>361950</xdr:rowOff>
              </to>
            </anchor>
          </objectPr>
        </oleObject>
      </mc:Choice>
      <mc:Fallback>
        <oleObject progId="Equation.DSMT4" shapeId="2110" r:id="rId94"/>
      </mc:Fallback>
    </mc:AlternateContent>
    <mc:AlternateContent xmlns:mc="http://schemas.openxmlformats.org/markup-compatibility/2006">
      <mc:Choice Requires="x14">
        <oleObject progId="Equation.DSMT4" shapeId="2111" r:id="rId96">
          <objectPr defaultSize="0" autoPict="0" r:id="rId97">
            <anchor moveWithCells="1">
              <from>
                <xdr:col>10</xdr:col>
                <xdr:colOff>142875</xdr:colOff>
                <xdr:row>33</xdr:row>
                <xdr:rowOff>76200</xdr:rowOff>
              </from>
              <to>
                <xdr:col>10</xdr:col>
                <xdr:colOff>1676400</xdr:colOff>
                <xdr:row>33</xdr:row>
                <xdr:rowOff>628650</xdr:rowOff>
              </to>
            </anchor>
          </objectPr>
        </oleObject>
      </mc:Choice>
      <mc:Fallback>
        <oleObject progId="Equation.DSMT4" shapeId="2111" r:id="rId96"/>
      </mc:Fallback>
    </mc:AlternateContent>
    <mc:AlternateContent xmlns:mc="http://schemas.openxmlformats.org/markup-compatibility/2006">
      <mc:Choice Requires="x14">
        <oleObject progId="Equation.DSMT4" shapeId="2114" r:id="rId98">
          <objectPr defaultSize="0" autoPict="0" r:id="rId99">
            <anchor moveWithCells="1">
              <from>
                <xdr:col>10</xdr:col>
                <xdr:colOff>114300</xdr:colOff>
                <xdr:row>26</xdr:row>
                <xdr:rowOff>85725</xdr:rowOff>
              </from>
              <to>
                <xdr:col>10</xdr:col>
                <xdr:colOff>2381250</xdr:colOff>
                <xdr:row>26</xdr:row>
                <xdr:rowOff>762000</xdr:rowOff>
              </to>
            </anchor>
          </objectPr>
        </oleObject>
      </mc:Choice>
      <mc:Fallback>
        <oleObject progId="Equation.DSMT4" shapeId="2114" r:id="rId98"/>
      </mc:Fallback>
    </mc:AlternateContent>
    <mc:AlternateContent xmlns:mc="http://schemas.openxmlformats.org/markup-compatibility/2006">
      <mc:Choice Requires="x14">
        <oleObject progId="Equation.DSMT4" shapeId="2115" r:id="rId100">
          <objectPr defaultSize="0" autoPict="0" r:id="rId101">
            <anchor moveWithCells="1">
              <from>
                <xdr:col>10</xdr:col>
                <xdr:colOff>142875</xdr:colOff>
                <xdr:row>24</xdr:row>
                <xdr:rowOff>66675</xdr:rowOff>
              </from>
              <to>
                <xdr:col>10</xdr:col>
                <xdr:colOff>647700</xdr:colOff>
                <xdr:row>24</xdr:row>
                <xdr:rowOff>409575</xdr:rowOff>
              </to>
            </anchor>
          </objectPr>
        </oleObject>
      </mc:Choice>
      <mc:Fallback>
        <oleObject progId="Equation.DSMT4" shapeId="2115" r:id="rId100"/>
      </mc:Fallback>
    </mc:AlternateContent>
    <mc:AlternateContent xmlns:mc="http://schemas.openxmlformats.org/markup-compatibility/2006">
      <mc:Choice Requires="x14">
        <oleObject progId="Equation.DSMT4" shapeId="2116" r:id="rId102">
          <objectPr defaultSize="0" autoPict="0" r:id="rId103">
            <anchor moveWithCells="1">
              <from>
                <xdr:col>10</xdr:col>
                <xdr:colOff>171450</xdr:colOff>
                <xdr:row>30</xdr:row>
                <xdr:rowOff>57150</xdr:rowOff>
              </from>
              <to>
                <xdr:col>10</xdr:col>
                <xdr:colOff>2028825</xdr:colOff>
                <xdr:row>30</xdr:row>
                <xdr:rowOff>371475</xdr:rowOff>
              </to>
            </anchor>
          </objectPr>
        </oleObject>
      </mc:Choice>
      <mc:Fallback>
        <oleObject progId="Equation.DSMT4" shapeId="2116" r:id="rId102"/>
      </mc:Fallback>
    </mc:AlternateContent>
    <mc:AlternateContent xmlns:mc="http://schemas.openxmlformats.org/markup-compatibility/2006">
      <mc:Choice Requires="x14">
        <oleObject progId="Equation.DSMT4" shapeId="2117" r:id="rId104">
          <objectPr defaultSize="0" r:id="rId105">
            <anchor moveWithCells="1">
              <from>
                <xdr:col>10</xdr:col>
                <xdr:colOff>66675</xdr:colOff>
                <xdr:row>45</xdr:row>
                <xdr:rowOff>38100</xdr:rowOff>
              </from>
              <to>
                <xdr:col>10</xdr:col>
                <xdr:colOff>1085850</xdr:colOff>
                <xdr:row>45</xdr:row>
                <xdr:rowOff>276225</xdr:rowOff>
              </to>
            </anchor>
          </objectPr>
        </oleObject>
      </mc:Choice>
      <mc:Fallback>
        <oleObject progId="Equation.DSMT4" shapeId="2117" r:id="rId104"/>
      </mc:Fallback>
    </mc:AlternateContent>
    <mc:AlternateContent xmlns:mc="http://schemas.openxmlformats.org/markup-compatibility/2006">
      <mc:Choice Requires="x14">
        <oleObject progId="Equation.DSMT4" shapeId="2118" r:id="rId106">
          <objectPr defaultSize="0" r:id="rId107">
            <anchor moveWithCells="1">
              <from>
                <xdr:col>8</xdr:col>
                <xdr:colOff>66675</xdr:colOff>
                <xdr:row>10</xdr:row>
                <xdr:rowOff>76200</xdr:rowOff>
              </from>
              <to>
                <xdr:col>8</xdr:col>
                <xdr:colOff>514350</xdr:colOff>
                <xdr:row>10</xdr:row>
                <xdr:rowOff>428625</xdr:rowOff>
              </to>
            </anchor>
          </objectPr>
        </oleObject>
      </mc:Choice>
      <mc:Fallback>
        <oleObject progId="Equation.DSMT4" shapeId="2118" r:id="rId106"/>
      </mc:Fallback>
    </mc:AlternateContent>
    <mc:AlternateContent xmlns:mc="http://schemas.openxmlformats.org/markup-compatibility/2006">
      <mc:Choice Requires="x14">
        <oleObject progId="Equation.DSMT4" shapeId="2119" r:id="rId108">
          <objectPr defaultSize="0" r:id="rId109">
            <anchor moveWithCells="1">
              <from>
                <xdr:col>9</xdr:col>
                <xdr:colOff>104775</xdr:colOff>
                <xdr:row>10</xdr:row>
                <xdr:rowOff>76200</xdr:rowOff>
              </from>
              <to>
                <xdr:col>9</xdr:col>
                <xdr:colOff>476250</xdr:colOff>
                <xdr:row>10</xdr:row>
                <xdr:rowOff>428625</xdr:rowOff>
              </to>
            </anchor>
          </objectPr>
        </oleObject>
      </mc:Choice>
      <mc:Fallback>
        <oleObject progId="Equation.DSMT4" shapeId="2119" r:id="rId108"/>
      </mc:Fallback>
    </mc:AlternateContent>
    <mc:AlternateContent xmlns:mc="http://schemas.openxmlformats.org/markup-compatibility/2006">
      <mc:Choice Requires="x14">
        <oleObject progId="Equation.DSMT4" shapeId="2125" r:id="rId110">
          <objectPr defaultSize="0" autoPict="0" r:id="rId111">
            <anchor moveWithCells="1">
              <from>
                <xdr:col>10</xdr:col>
                <xdr:colOff>85725</xdr:colOff>
                <xdr:row>59</xdr:row>
                <xdr:rowOff>57150</xdr:rowOff>
              </from>
              <to>
                <xdr:col>10</xdr:col>
                <xdr:colOff>1809750</xdr:colOff>
                <xdr:row>59</xdr:row>
                <xdr:rowOff>714375</xdr:rowOff>
              </to>
            </anchor>
          </objectPr>
        </oleObject>
      </mc:Choice>
      <mc:Fallback>
        <oleObject progId="Equation.DSMT4" shapeId="2125" r:id="rId110"/>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5"/>
  <dimension ref="A3:BN234"/>
  <sheetViews>
    <sheetView topLeftCell="A94" zoomScale="40" zoomScaleNormal="40" workbookViewId="0">
      <selection activeCell="G60" sqref="G60"/>
    </sheetView>
  </sheetViews>
  <sheetFormatPr defaultRowHeight="15" x14ac:dyDescent="0.25"/>
  <cols>
    <col min="1" max="1" width="9.140625" style="62"/>
    <col min="2" max="2" width="26.7109375" style="63" bestFit="1" customWidth="1"/>
    <col min="3" max="3" width="10" style="62" bestFit="1" customWidth="1"/>
    <col min="4" max="5" width="9.140625" style="62"/>
    <col min="6" max="6" width="11.5703125" style="62" bestFit="1" customWidth="1"/>
    <col min="7" max="18" width="9.140625" style="62"/>
    <col min="19" max="19" width="11.42578125" style="62" bestFit="1" customWidth="1"/>
    <col min="20" max="25" width="9.140625" style="62"/>
    <col min="26" max="26" width="8.85546875" style="62" bestFit="1" customWidth="1"/>
    <col min="27" max="28" width="9.140625" style="62"/>
    <col min="29" max="29" width="26" style="86" bestFit="1" customWidth="1"/>
    <col min="30" max="42" width="9.140625" style="62"/>
    <col min="43" max="43" width="25.7109375" style="62" bestFit="1" customWidth="1"/>
    <col min="44" max="55" width="9.140625" style="62"/>
    <col min="56" max="56" width="26.140625" style="62" bestFit="1" customWidth="1"/>
    <col min="57" max="16384" width="9.140625" style="62"/>
  </cols>
  <sheetData>
    <row r="3" spans="1:9" x14ac:dyDescent="0.25">
      <c r="A3" s="60"/>
      <c r="B3" s="61"/>
      <c r="C3" s="60"/>
      <c r="D3" s="60"/>
      <c r="E3" s="60"/>
      <c r="F3" s="60"/>
      <c r="G3" s="60"/>
      <c r="H3" s="60"/>
      <c r="I3" s="60"/>
    </row>
    <row r="4" spans="1:9" x14ac:dyDescent="0.25">
      <c r="A4" s="60"/>
      <c r="B4" s="61"/>
      <c r="C4" s="60"/>
      <c r="D4" s="60"/>
      <c r="E4" s="60"/>
      <c r="F4" s="60"/>
      <c r="G4" s="60"/>
      <c r="H4" s="60"/>
      <c r="I4" s="60"/>
    </row>
    <row r="5" spans="1:9" x14ac:dyDescent="0.25">
      <c r="A5" s="60"/>
      <c r="B5" s="61"/>
      <c r="C5" s="60"/>
      <c r="D5" s="60"/>
      <c r="E5" s="60"/>
      <c r="F5" s="60"/>
      <c r="G5" s="60"/>
      <c r="H5" s="60"/>
      <c r="I5" s="60"/>
    </row>
    <row r="6" spans="1:9" x14ac:dyDescent="0.25">
      <c r="A6" s="60"/>
      <c r="B6" s="61"/>
      <c r="C6" s="60"/>
      <c r="D6" s="60"/>
      <c r="E6" s="60"/>
      <c r="F6" s="60"/>
      <c r="G6" s="60"/>
      <c r="H6" s="60"/>
      <c r="I6" s="60"/>
    </row>
    <row r="7" spans="1:9" x14ac:dyDescent="0.25">
      <c r="A7" s="60"/>
      <c r="B7" s="61"/>
      <c r="C7" s="60"/>
      <c r="D7" s="60"/>
      <c r="E7" s="60"/>
      <c r="F7" s="60"/>
      <c r="G7" s="60"/>
      <c r="H7" s="60"/>
      <c r="I7" s="60"/>
    </row>
    <row r="8" spans="1:9" x14ac:dyDescent="0.25">
      <c r="A8" s="60"/>
      <c r="B8" s="61"/>
      <c r="C8" s="60"/>
      <c r="D8" s="60"/>
      <c r="E8" s="60"/>
      <c r="F8" s="60"/>
      <c r="G8" s="60"/>
      <c r="H8" s="60"/>
      <c r="I8" s="60"/>
    </row>
    <row r="9" spans="1:9" x14ac:dyDescent="0.25">
      <c r="A9" s="60"/>
      <c r="B9" s="61"/>
      <c r="C9" s="60"/>
      <c r="D9" s="60"/>
      <c r="E9" s="60"/>
      <c r="F9" s="60"/>
      <c r="G9" s="60"/>
      <c r="H9" s="60"/>
      <c r="I9" s="60"/>
    </row>
    <row r="10" spans="1:9" x14ac:dyDescent="0.25">
      <c r="A10" s="60"/>
      <c r="B10" s="61"/>
      <c r="C10" s="60"/>
      <c r="D10" s="60"/>
      <c r="E10" s="60"/>
      <c r="F10" s="60"/>
      <c r="G10" s="60"/>
      <c r="H10" s="60"/>
      <c r="I10" s="60"/>
    </row>
    <row r="11" spans="1:9" x14ac:dyDescent="0.25">
      <c r="A11" s="60"/>
      <c r="B11" s="61"/>
      <c r="C11" s="60"/>
      <c r="D11" s="60"/>
      <c r="E11" s="60"/>
      <c r="F11" s="60"/>
      <c r="G11" s="60"/>
      <c r="H11" s="60"/>
      <c r="I11" s="60"/>
    </row>
    <row r="12" spans="1:9" x14ac:dyDescent="0.25">
      <c r="A12" s="60"/>
      <c r="B12" s="61"/>
      <c r="C12" s="60"/>
      <c r="D12" s="60"/>
      <c r="E12" s="60"/>
      <c r="F12" s="60"/>
      <c r="G12" s="60"/>
      <c r="H12" s="60"/>
      <c r="I12" s="60"/>
    </row>
    <row r="13" spans="1:9" x14ac:dyDescent="0.25">
      <c r="A13" s="60"/>
      <c r="B13" s="61"/>
      <c r="C13" s="60"/>
      <c r="D13" s="60"/>
      <c r="E13" s="60"/>
      <c r="F13" s="60"/>
      <c r="G13" s="60"/>
      <c r="H13" s="60"/>
      <c r="I13" s="60"/>
    </row>
    <row r="14" spans="1:9" x14ac:dyDescent="0.25">
      <c r="A14" s="60"/>
      <c r="B14" s="61"/>
      <c r="C14" s="60"/>
      <c r="D14" s="60"/>
      <c r="E14" s="60"/>
      <c r="F14" s="60"/>
      <c r="G14" s="60"/>
      <c r="H14" s="60"/>
      <c r="I14" s="60"/>
    </row>
    <row r="15" spans="1:9" x14ac:dyDescent="0.25">
      <c r="A15" s="60"/>
      <c r="B15" s="61"/>
      <c r="C15" s="60"/>
      <c r="D15" s="60"/>
      <c r="E15" s="60"/>
      <c r="F15" s="60"/>
      <c r="G15" s="60"/>
      <c r="H15" s="60"/>
      <c r="I15" s="60"/>
    </row>
    <row r="16" spans="1:9" x14ac:dyDescent="0.25">
      <c r="A16" s="60"/>
      <c r="B16" s="61"/>
      <c r="C16" s="60"/>
      <c r="D16" s="60"/>
      <c r="E16" s="60"/>
      <c r="F16" s="60"/>
      <c r="G16" s="60"/>
      <c r="H16" s="60"/>
      <c r="I16" s="60"/>
    </row>
    <row r="17" spans="1:9" x14ac:dyDescent="0.25">
      <c r="A17" s="60"/>
      <c r="B17" s="61"/>
      <c r="C17" s="60"/>
      <c r="D17" s="60"/>
      <c r="E17" s="60"/>
      <c r="F17" s="60"/>
      <c r="G17" s="60"/>
      <c r="H17" s="60"/>
      <c r="I17" s="60"/>
    </row>
    <row r="18" spans="1:9" x14ac:dyDescent="0.25">
      <c r="A18" s="60"/>
      <c r="B18" s="61"/>
      <c r="C18" s="60"/>
      <c r="D18" s="60"/>
      <c r="E18" s="60"/>
      <c r="F18" s="60"/>
      <c r="G18" s="60"/>
      <c r="H18" s="60"/>
      <c r="I18" s="60"/>
    </row>
    <row r="19" spans="1:9" x14ac:dyDescent="0.25">
      <c r="A19" s="60"/>
      <c r="B19" s="61"/>
      <c r="C19" s="60"/>
      <c r="D19" s="60"/>
      <c r="E19" s="60"/>
      <c r="F19" s="60"/>
      <c r="G19" s="60"/>
      <c r="H19" s="60"/>
      <c r="I19" s="60"/>
    </row>
    <row r="20" spans="1:9" x14ac:dyDescent="0.25">
      <c r="A20" s="60"/>
      <c r="B20" s="61"/>
      <c r="C20" s="60"/>
      <c r="D20" s="60"/>
      <c r="E20" s="60"/>
      <c r="F20" s="60"/>
      <c r="G20" s="60"/>
      <c r="H20" s="60"/>
      <c r="I20" s="60"/>
    </row>
    <row r="21" spans="1:9" x14ac:dyDescent="0.25">
      <c r="A21" s="60"/>
      <c r="B21" s="61"/>
      <c r="C21" s="60"/>
      <c r="D21" s="60"/>
      <c r="E21" s="60"/>
      <c r="F21" s="60"/>
      <c r="G21" s="60"/>
      <c r="H21" s="60"/>
      <c r="I21" s="60"/>
    </row>
    <row r="22" spans="1:9" x14ac:dyDescent="0.25">
      <c r="A22" s="60"/>
      <c r="B22" s="61"/>
      <c r="C22" s="60"/>
      <c r="D22" s="60"/>
      <c r="E22" s="60"/>
      <c r="F22" s="60"/>
      <c r="G22" s="60"/>
      <c r="H22" s="60"/>
      <c r="I22" s="60"/>
    </row>
    <row r="23" spans="1:9" x14ac:dyDescent="0.25">
      <c r="A23" s="60"/>
      <c r="B23" s="61"/>
      <c r="C23" s="60"/>
      <c r="D23" s="60"/>
      <c r="E23" s="60"/>
      <c r="F23" s="60"/>
      <c r="G23" s="60"/>
      <c r="H23" s="60"/>
      <c r="I23" s="60"/>
    </row>
    <row r="24" spans="1:9" x14ac:dyDescent="0.25">
      <c r="A24" s="60"/>
      <c r="B24" s="61"/>
      <c r="C24" s="60"/>
      <c r="D24" s="60"/>
      <c r="E24" s="60"/>
      <c r="F24" s="60"/>
      <c r="G24" s="60"/>
      <c r="H24" s="60"/>
      <c r="I24" s="60"/>
    </row>
    <row r="25" spans="1:9" x14ac:dyDescent="0.25">
      <c r="A25" s="60"/>
      <c r="B25" s="61"/>
      <c r="C25" s="60"/>
      <c r="D25" s="60"/>
      <c r="E25" s="60"/>
      <c r="F25" s="60"/>
      <c r="G25" s="60"/>
      <c r="H25" s="60"/>
      <c r="I25" s="60"/>
    </row>
    <row r="26" spans="1:9" x14ac:dyDescent="0.25">
      <c r="A26" s="60"/>
      <c r="B26" s="61"/>
      <c r="C26" s="60"/>
      <c r="D26" s="60"/>
      <c r="E26" s="60"/>
      <c r="F26" s="60"/>
      <c r="G26" s="60"/>
      <c r="H26" s="60"/>
      <c r="I26" s="60"/>
    </row>
    <row r="27" spans="1:9" x14ac:dyDescent="0.25">
      <c r="A27" s="60"/>
      <c r="B27" s="61"/>
      <c r="C27" s="60"/>
      <c r="D27" s="60"/>
      <c r="E27" s="60"/>
      <c r="F27" s="60"/>
      <c r="G27" s="60"/>
      <c r="H27" s="60"/>
      <c r="I27" s="60"/>
    </row>
    <row r="28" spans="1:9" x14ac:dyDescent="0.25">
      <c r="A28" s="60"/>
      <c r="B28" s="61"/>
      <c r="C28" s="60"/>
      <c r="D28" s="60"/>
      <c r="E28" s="60"/>
      <c r="F28" s="60"/>
      <c r="G28" s="60"/>
      <c r="H28" s="60"/>
      <c r="I28" s="60"/>
    </row>
    <row r="29" spans="1:9" x14ac:dyDescent="0.25">
      <c r="A29" s="60"/>
      <c r="B29" s="61"/>
      <c r="C29" s="60"/>
      <c r="D29" s="60"/>
      <c r="E29" s="60"/>
      <c r="F29" s="60"/>
      <c r="G29" s="60"/>
      <c r="H29" s="60"/>
      <c r="I29" s="60"/>
    </row>
    <row r="30" spans="1:9" x14ac:dyDescent="0.25">
      <c r="A30" s="60"/>
      <c r="B30" s="61"/>
      <c r="C30" s="60"/>
      <c r="D30" s="60"/>
      <c r="E30" s="60"/>
      <c r="F30" s="60"/>
      <c r="G30" s="60"/>
      <c r="H30" s="60"/>
      <c r="I30" s="60"/>
    </row>
    <row r="31" spans="1:9" x14ac:dyDescent="0.25">
      <c r="A31" s="60"/>
      <c r="B31" s="61"/>
      <c r="C31" s="60"/>
      <c r="D31" s="60"/>
      <c r="E31" s="60"/>
      <c r="F31" s="60"/>
      <c r="G31" s="60"/>
      <c r="H31" s="60"/>
      <c r="I31" s="60"/>
    </row>
    <row r="32" spans="1:9" x14ac:dyDescent="0.25">
      <c r="A32" s="60"/>
      <c r="B32" s="61"/>
      <c r="C32" s="60"/>
      <c r="D32" s="60"/>
      <c r="E32" s="60"/>
      <c r="F32" s="60"/>
      <c r="G32" s="60"/>
      <c r="H32" s="60"/>
      <c r="I32" s="60"/>
    </row>
    <row r="33" spans="1:9" x14ac:dyDescent="0.25">
      <c r="A33" s="60"/>
      <c r="B33" s="61"/>
      <c r="C33" s="60"/>
      <c r="D33" s="60"/>
      <c r="E33" s="60"/>
      <c r="F33" s="60"/>
      <c r="G33" s="60"/>
      <c r="H33" s="60"/>
      <c r="I33" s="60"/>
    </row>
    <row r="34" spans="1:9" x14ac:dyDescent="0.25">
      <c r="A34" s="60"/>
      <c r="B34" s="61"/>
      <c r="C34" s="60"/>
      <c r="D34" s="60"/>
      <c r="E34" s="60"/>
      <c r="F34" s="60"/>
      <c r="G34" s="60"/>
      <c r="H34" s="60"/>
      <c r="I34" s="60"/>
    </row>
    <row r="35" spans="1:9" x14ac:dyDescent="0.25">
      <c r="A35" s="60"/>
      <c r="B35" s="61"/>
      <c r="C35" s="60"/>
      <c r="D35" s="60"/>
      <c r="E35" s="60"/>
      <c r="F35" s="60"/>
      <c r="G35" s="60"/>
      <c r="H35" s="60"/>
      <c r="I35" s="60"/>
    </row>
    <row r="36" spans="1:9" x14ac:dyDescent="0.25">
      <c r="A36" s="60"/>
      <c r="B36" s="61"/>
      <c r="C36" s="60"/>
      <c r="D36" s="60"/>
      <c r="E36" s="60"/>
      <c r="F36" s="60"/>
      <c r="G36" s="60"/>
      <c r="H36" s="60"/>
      <c r="I36" s="60"/>
    </row>
    <row r="37" spans="1:9" x14ac:dyDescent="0.25">
      <c r="A37" s="60"/>
      <c r="B37" s="61"/>
      <c r="C37" s="60"/>
      <c r="D37" s="60"/>
      <c r="E37" s="60"/>
      <c r="F37" s="60"/>
      <c r="G37" s="60"/>
      <c r="H37" s="60"/>
      <c r="I37" s="60"/>
    </row>
    <row r="38" spans="1:9" x14ac:dyDescent="0.25">
      <c r="A38" s="60"/>
      <c r="B38" s="61"/>
      <c r="C38" s="60"/>
      <c r="D38" s="60"/>
      <c r="E38" s="60"/>
      <c r="F38" s="60"/>
      <c r="G38" s="60"/>
      <c r="H38" s="60"/>
      <c r="I38" s="60"/>
    </row>
    <row r="39" spans="1:9" x14ac:dyDescent="0.25">
      <c r="A39" s="60"/>
      <c r="B39" s="61"/>
      <c r="C39" s="60"/>
      <c r="D39" s="60"/>
      <c r="E39" s="60"/>
      <c r="F39" s="60"/>
      <c r="G39" s="60"/>
      <c r="H39" s="60"/>
      <c r="I39" s="60"/>
    </row>
    <row r="40" spans="1:9" x14ac:dyDescent="0.25">
      <c r="A40" s="60"/>
      <c r="B40" s="61"/>
      <c r="C40" s="60"/>
      <c r="D40" s="60"/>
      <c r="E40" s="60"/>
      <c r="F40" s="60"/>
      <c r="G40" s="60"/>
      <c r="H40" s="60"/>
      <c r="I40" s="60"/>
    </row>
    <row r="41" spans="1:9" x14ac:dyDescent="0.25">
      <c r="A41" s="60"/>
      <c r="B41" s="61"/>
      <c r="C41" s="60"/>
      <c r="D41" s="60"/>
      <c r="E41" s="60"/>
      <c r="F41" s="60"/>
      <c r="G41" s="60"/>
      <c r="H41" s="60"/>
      <c r="I41" s="60"/>
    </row>
    <row r="42" spans="1:9" x14ac:dyDescent="0.25">
      <c r="A42" s="60"/>
      <c r="B42" s="61"/>
      <c r="C42" s="60"/>
      <c r="D42" s="60"/>
      <c r="E42" s="60"/>
      <c r="F42" s="60"/>
      <c r="G42" s="60"/>
      <c r="H42" s="60"/>
      <c r="I42" s="60"/>
    </row>
    <row r="66" spans="2:44" ht="15.75" thickBot="1" x14ac:dyDescent="0.3"/>
    <row r="67" spans="2:44" ht="77.25" customHeight="1" thickBot="1" x14ac:dyDescent="0.35">
      <c r="B67" s="64" t="s">
        <v>14</v>
      </c>
      <c r="C67" s="665" t="s">
        <v>335</v>
      </c>
      <c r="D67" s="668" t="s">
        <v>336</v>
      </c>
      <c r="E67" s="669"/>
      <c r="F67" s="669"/>
      <c r="G67" s="670"/>
      <c r="H67" s="677" t="s">
        <v>337</v>
      </c>
      <c r="I67" s="678"/>
      <c r="J67" s="678"/>
      <c r="K67" s="678"/>
      <c r="L67" s="678"/>
      <c r="M67" s="678"/>
      <c r="N67" s="679"/>
      <c r="O67" s="65"/>
      <c r="P67" s="65"/>
      <c r="Q67" s="65"/>
      <c r="R67" s="646" t="s">
        <v>374</v>
      </c>
      <c r="S67" s="646" t="s">
        <v>335</v>
      </c>
      <c r="T67" s="659" t="s">
        <v>375</v>
      </c>
      <c r="U67" s="660"/>
      <c r="V67" s="660"/>
      <c r="W67" s="660"/>
      <c r="X67" s="660"/>
      <c r="Y67" s="660"/>
      <c r="Z67" s="660"/>
      <c r="AA67" s="660"/>
      <c r="AB67" s="660"/>
      <c r="AC67" s="661"/>
      <c r="AG67" s="643" t="s">
        <v>374</v>
      </c>
      <c r="AH67" s="643" t="s">
        <v>335</v>
      </c>
      <c r="AI67" s="640" t="s">
        <v>375</v>
      </c>
      <c r="AJ67" s="641"/>
      <c r="AK67" s="641"/>
      <c r="AL67" s="641"/>
      <c r="AM67" s="641"/>
      <c r="AN67" s="641"/>
      <c r="AO67" s="641"/>
      <c r="AP67" s="641"/>
      <c r="AQ67" s="642"/>
      <c r="AR67" s="50" t="s">
        <v>394</v>
      </c>
    </row>
    <row r="68" spans="2:44" ht="21" thickBot="1" x14ac:dyDescent="0.35">
      <c r="B68" s="66" t="s">
        <v>332</v>
      </c>
      <c r="C68" s="666"/>
      <c r="D68" s="671" t="s">
        <v>53</v>
      </c>
      <c r="E68" s="672"/>
      <c r="F68" s="672"/>
      <c r="G68" s="673"/>
      <c r="H68" s="680"/>
      <c r="I68" s="681"/>
      <c r="J68" s="681"/>
      <c r="K68" s="681"/>
      <c r="L68" s="681"/>
      <c r="M68" s="681"/>
      <c r="N68" s="682"/>
      <c r="O68" s="65"/>
      <c r="P68" s="65"/>
      <c r="Q68" s="65"/>
      <c r="R68" s="648"/>
      <c r="S68" s="658"/>
      <c r="T68" s="67" t="s">
        <v>382</v>
      </c>
      <c r="U68" s="67" t="s">
        <v>383</v>
      </c>
      <c r="V68" s="67" t="s">
        <v>384</v>
      </c>
      <c r="W68" s="67" t="s">
        <v>385</v>
      </c>
      <c r="X68" s="67" t="s">
        <v>386</v>
      </c>
      <c r="Y68" s="67" t="s">
        <v>387</v>
      </c>
      <c r="Z68" s="67" t="s">
        <v>388</v>
      </c>
      <c r="AA68" s="67" t="s">
        <v>389</v>
      </c>
      <c r="AB68" s="67" t="s">
        <v>390</v>
      </c>
      <c r="AC68" s="67" t="s">
        <v>376</v>
      </c>
      <c r="AG68" s="644"/>
      <c r="AH68" s="644"/>
      <c r="AI68" s="59" t="s">
        <v>396</v>
      </c>
      <c r="AJ68" s="59" t="s">
        <v>397</v>
      </c>
      <c r="AK68" s="59" t="s">
        <v>398</v>
      </c>
      <c r="AL68" s="59" t="s">
        <v>399</v>
      </c>
      <c r="AM68" s="59" t="s">
        <v>400</v>
      </c>
      <c r="AN68" s="59" t="s">
        <v>401</v>
      </c>
      <c r="AO68" s="59" t="s">
        <v>402</v>
      </c>
      <c r="AP68" s="59" t="s">
        <v>403</v>
      </c>
      <c r="AQ68" s="59" t="s">
        <v>404</v>
      </c>
      <c r="AR68" s="53" t="s">
        <v>395</v>
      </c>
    </row>
    <row r="69" spans="2:44" ht="39.75" customHeight="1" thickBot="1" x14ac:dyDescent="0.35">
      <c r="B69" s="66" t="s">
        <v>333</v>
      </c>
      <c r="C69" s="666"/>
      <c r="D69" s="674"/>
      <c r="E69" s="675"/>
      <c r="F69" s="675"/>
      <c r="G69" s="676"/>
      <c r="H69" s="683"/>
      <c r="I69" s="684"/>
      <c r="J69" s="684"/>
      <c r="K69" s="684"/>
      <c r="L69" s="684"/>
      <c r="M69" s="684"/>
      <c r="N69" s="685"/>
      <c r="O69" s="65"/>
      <c r="P69" s="65"/>
      <c r="Q69" s="65"/>
      <c r="R69" s="68">
        <v>50</v>
      </c>
      <c r="S69" s="646">
        <v>2.4</v>
      </c>
      <c r="T69" s="646">
        <v>72</v>
      </c>
      <c r="U69" s="69" t="s">
        <v>348</v>
      </c>
      <c r="V69" s="69">
        <v>3</v>
      </c>
      <c r="W69" s="69">
        <v>3</v>
      </c>
      <c r="X69" s="69">
        <v>80</v>
      </c>
      <c r="Y69" s="69">
        <v>102</v>
      </c>
      <c r="Z69" s="69">
        <v>22</v>
      </c>
      <c r="AA69" s="646">
        <v>62</v>
      </c>
      <c r="AB69" s="646">
        <v>36</v>
      </c>
      <c r="AC69" s="69">
        <v>50</v>
      </c>
      <c r="AG69" s="51">
        <v>50</v>
      </c>
      <c r="AH69" s="643">
        <v>2.4</v>
      </c>
      <c r="AI69" s="53">
        <v>3</v>
      </c>
      <c r="AJ69" s="53">
        <v>3</v>
      </c>
      <c r="AK69" s="53">
        <v>10.199999999999999</v>
      </c>
      <c r="AL69" s="53">
        <v>6</v>
      </c>
      <c r="AM69" s="53">
        <v>124</v>
      </c>
      <c r="AN69" s="53">
        <v>9</v>
      </c>
      <c r="AO69" s="643">
        <v>5.8</v>
      </c>
      <c r="AP69" s="53">
        <v>9</v>
      </c>
      <c r="AQ69" s="53">
        <v>10.199999999999999</v>
      </c>
      <c r="AR69" s="53">
        <v>3.3</v>
      </c>
    </row>
    <row r="70" spans="2:44" ht="57.75" customHeight="1" thickBot="1" x14ac:dyDescent="0.3">
      <c r="B70" s="70" t="s">
        <v>334</v>
      </c>
      <c r="C70" s="667"/>
      <c r="D70" s="71" t="s">
        <v>364</v>
      </c>
      <c r="E70" s="71" t="s">
        <v>364</v>
      </c>
      <c r="F70" s="71" t="s">
        <v>365</v>
      </c>
      <c r="G70" s="71" t="s">
        <v>366</v>
      </c>
      <c r="H70" s="71" t="s">
        <v>367</v>
      </c>
      <c r="I70" s="71" t="s">
        <v>368</v>
      </c>
      <c r="J70" s="71" t="s">
        <v>369</v>
      </c>
      <c r="K70" s="71" t="s">
        <v>370</v>
      </c>
      <c r="L70" s="71" t="s">
        <v>371</v>
      </c>
      <c r="M70" s="71" t="s">
        <v>372</v>
      </c>
      <c r="N70" s="71" t="s">
        <v>373</v>
      </c>
      <c r="R70" s="68">
        <v>56</v>
      </c>
      <c r="S70" s="648"/>
      <c r="T70" s="647"/>
      <c r="U70" s="69" t="s">
        <v>348</v>
      </c>
      <c r="V70" s="69">
        <v>4</v>
      </c>
      <c r="W70" s="69">
        <v>4</v>
      </c>
      <c r="X70" s="69">
        <v>90</v>
      </c>
      <c r="Y70" s="69">
        <v>116</v>
      </c>
      <c r="Z70" s="69">
        <v>23</v>
      </c>
      <c r="AA70" s="647"/>
      <c r="AB70" s="647"/>
      <c r="AC70" s="69">
        <v>56</v>
      </c>
      <c r="AG70" s="51">
        <v>56</v>
      </c>
      <c r="AH70" s="644"/>
      <c r="AI70" s="53">
        <v>4</v>
      </c>
      <c r="AJ70" s="53">
        <v>4</v>
      </c>
      <c r="AK70" s="53">
        <v>12.5</v>
      </c>
      <c r="AL70" s="643">
        <v>7</v>
      </c>
      <c r="AM70" s="53">
        <v>134</v>
      </c>
      <c r="AN70" s="53">
        <v>11</v>
      </c>
      <c r="AO70" s="644"/>
      <c r="AP70" s="53">
        <v>11</v>
      </c>
      <c r="AQ70" s="53">
        <v>12.5</v>
      </c>
      <c r="AR70" s="53">
        <v>4.5</v>
      </c>
    </row>
    <row r="71" spans="2:44" ht="19.5" thickBot="1" x14ac:dyDescent="0.35">
      <c r="B71" s="70">
        <v>50</v>
      </c>
      <c r="C71" s="662" t="s">
        <v>338</v>
      </c>
      <c r="D71" s="71">
        <v>174</v>
      </c>
      <c r="E71" s="71">
        <v>198</v>
      </c>
      <c r="F71" s="71">
        <v>142</v>
      </c>
      <c r="G71" s="71">
        <v>112</v>
      </c>
      <c r="H71" s="71">
        <v>20</v>
      </c>
      <c r="I71" s="71">
        <v>20</v>
      </c>
      <c r="J71" s="71">
        <v>63</v>
      </c>
      <c r="K71" s="71">
        <v>77</v>
      </c>
      <c r="L71" s="72" t="s">
        <v>339</v>
      </c>
      <c r="M71" s="71">
        <v>32</v>
      </c>
      <c r="N71" s="71">
        <v>61</v>
      </c>
      <c r="O71" s="65"/>
      <c r="P71" s="65"/>
      <c r="Q71" s="65"/>
      <c r="R71" s="68">
        <v>63</v>
      </c>
      <c r="S71" s="69" t="s">
        <v>377</v>
      </c>
      <c r="T71" s="648"/>
      <c r="U71" s="69" t="s">
        <v>348</v>
      </c>
      <c r="V71" s="69">
        <v>5</v>
      </c>
      <c r="W71" s="69">
        <v>5</v>
      </c>
      <c r="X71" s="69">
        <v>100</v>
      </c>
      <c r="Y71" s="69">
        <v>129</v>
      </c>
      <c r="Z71" s="69">
        <v>27</v>
      </c>
      <c r="AA71" s="648"/>
      <c r="AB71" s="648"/>
      <c r="AC71" s="69">
        <v>63</v>
      </c>
      <c r="AG71" s="51">
        <v>63</v>
      </c>
      <c r="AH71" s="53" t="s">
        <v>377</v>
      </c>
      <c r="AI71" s="53">
        <v>5</v>
      </c>
      <c r="AJ71" s="53">
        <v>5</v>
      </c>
      <c r="AK71" s="53">
        <v>16</v>
      </c>
      <c r="AL71" s="644"/>
      <c r="AM71" s="53">
        <v>146</v>
      </c>
      <c r="AN71" s="53">
        <v>14</v>
      </c>
      <c r="AO71" s="643">
        <v>7</v>
      </c>
      <c r="AP71" s="53">
        <v>14</v>
      </c>
      <c r="AQ71" s="53">
        <v>16</v>
      </c>
      <c r="AR71" s="53">
        <v>6.3</v>
      </c>
    </row>
    <row r="72" spans="2:44" ht="19.5" thickBot="1" x14ac:dyDescent="0.35">
      <c r="B72" s="70">
        <v>56</v>
      </c>
      <c r="C72" s="663"/>
      <c r="D72" s="71">
        <v>194</v>
      </c>
      <c r="E72" s="71">
        <v>221</v>
      </c>
      <c r="F72" s="71">
        <v>152</v>
      </c>
      <c r="G72" s="71">
        <v>128</v>
      </c>
      <c r="H72" s="71">
        <v>23</v>
      </c>
      <c r="I72" s="71">
        <v>23</v>
      </c>
      <c r="J72" s="71">
        <v>71</v>
      </c>
      <c r="K72" s="71">
        <v>85</v>
      </c>
      <c r="L72" s="71" t="s">
        <v>339</v>
      </c>
      <c r="M72" s="71">
        <v>36</v>
      </c>
      <c r="N72" s="71">
        <v>65</v>
      </c>
      <c r="O72" s="65"/>
      <c r="P72" s="65"/>
      <c r="Q72" s="65"/>
      <c r="R72" s="68">
        <v>71</v>
      </c>
      <c r="S72" s="646" t="s">
        <v>392</v>
      </c>
      <c r="T72" s="646">
        <v>93</v>
      </c>
      <c r="U72" s="69" t="s">
        <v>348</v>
      </c>
      <c r="V72" s="646">
        <v>6</v>
      </c>
      <c r="W72" s="646">
        <v>6</v>
      </c>
      <c r="X72" s="69">
        <v>112</v>
      </c>
      <c r="Y72" s="69">
        <v>135</v>
      </c>
      <c r="Z72" s="69">
        <v>28.5</v>
      </c>
      <c r="AA72" s="646" t="s">
        <v>378</v>
      </c>
      <c r="AB72" s="646">
        <v>48</v>
      </c>
      <c r="AC72" s="69">
        <v>71</v>
      </c>
      <c r="AG72" s="51">
        <v>71</v>
      </c>
      <c r="AH72" s="52">
        <v>2.4</v>
      </c>
      <c r="AI72" s="643">
        <v>6</v>
      </c>
      <c r="AJ72" s="643">
        <v>6</v>
      </c>
      <c r="AK72" s="53">
        <v>21.5</v>
      </c>
      <c r="AL72" s="53">
        <v>9</v>
      </c>
      <c r="AM72" s="53" t="s">
        <v>405</v>
      </c>
      <c r="AN72" s="53">
        <v>19</v>
      </c>
      <c r="AO72" s="644"/>
      <c r="AP72" s="53">
        <v>19</v>
      </c>
      <c r="AQ72" s="53">
        <v>21.5</v>
      </c>
      <c r="AR72" s="53">
        <v>15.1</v>
      </c>
    </row>
    <row r="73" spans="2:44" ht="19.5" thickBot="1" x14ac:dyDescent="0.35">
      <c r="B73" s="70">
        <v>63</v>
      </c>
      <c r="C73" s="71" t="s">
        <v>340</v>
      </c>
      <c r="D73" s="71">
        <v>216</v>
      </c>
      <c r="E73" s="71">
        <v>250</v>
      </c>
      <c r="F73" s="71" t="s">
        <v>341</v>
      </c>
      <c r="G73" s="71">
        <v>138</v>
      </c>
      <c r="H73" s="71">
        <v>30</v>
      </c>
      <c r="I73" s="71">
        <v>30</v>
      </c>
      <c r="J73" s="71">
        <v>80</v>
      </c>
      <c r="K73" s="71">
        <v>96</v>
      </c>
      <c r="L73" s="71" t="s">
        <v>339</v>
      </c>
      <c r="M73" s="71">
        <v>40</v>
      </c>
      <c r="N73" s="71">
        <v>67</v>
      </c>
      <c r="O73" s="65"/>
      <c r="P73" s="65"/>
      <c r="Q73" s="65"/>
      <c r="R73" s="68" t="s">
        <v>379</v>
      </c>
      <c r="S73" s="647"/>
      <c r="T73" s="647"/>
      <c r="U73" s="69" t="s">
        <v>348</v>
      </c>
      <c r="V73" s="647"/>
      <c r="W73" s="647"/>
      <c r="X73" s="646">
        <v>125</v>
      </c>
      <c r="Y73" s="646">
        <v>155</v>
      </c>
      <c r="Z73" s="646">
        <v>33</v>
      </c>
      <c r="AA73" s="647"/>
      <c r="AB73" s="647"/>
      <c r="AC73" s="646">
        <v>80</v>
      </c>
      <c r="AG73" s="51" t="s">
        <v>379</v>
      </c>
      <c r="AH73" s="52">
        <v>6.8</v>
      </c>
      <c r="AI73" s="645"/>
      <c r="AJ73" s="645"/>
      <c r="AK73" s="643">
        <v>24.5</v>
      </c>
      <c r="AL73" s="643">
        <v>10</v>
      </c>
      <c r="AM73" s="643" t="s">
        <v>406</v>
      </c>
      <c r="AN73" s="643">
        <v>22</v>
      </c>
      <c r="AO73" s="643">
        <v>10</v>
      </c>
      <c r="AP73" s="643">
        <v>22</v>
      </c>
      <c r="AQ73" s="643">
        <v>24.5</v>
      </c>
      <c r="AR73" s="53">
        <v>17.399999999999999</v>
      </c>
    </row>
    <row r="74" spans="2:44" ht="38.25" customHeight="1" thickBot="1" x14ac:dyDescent="0.35">
      <c r="B74" s="70">
        <v>71</v>
      </c>
      <c r="C74" s="662" t="s">
        <v>392</v>
      </c>
      <c r="D74" s="71">
        <v>285</v>
      </c>
      <c r="E74" s="71">
        <v>330</v>
      </c>
      <c r="F74" s="71" t="s">
        <v>346</v>
      </c>
      <c r="G74" s="71">
        <v>170</v>
      </c>
      <c r="H74" s="71">
        <v>40</v>
      </c>
      <c r="I74" s="71">
        <v>40</v>
      </c>
      <c r="J74" s="71">
        <v>90</v>
      </c>
      <c r="K74" s="71" t="s">
        <v>408</v>
      </c>
      <c r="L74" s="71" t="s">
        <v>339</v>
      </c>
      <c r="M74" s="71">
        <v>45</v>
      </c>
      <c r="N74" s="71">
        <v>73.5</v>
      </c>
      <c r="O74" s="65"/>
      <c r="P74" s="65"/>
      <c r="Q74" s="65"/>
      <c r="R74" s="68" t="s">
        <v>380</v>
      </c>
      <c r="S74" s="647"/>
      <c r="T74" s="647"/>
      <c r="U74" s="69" t="s">
        <v>348</v>
      </c>
      <c r="V74" s="648"/>
      <c r="W74" s="648"/>
      <c r="X74" s="648"/>
      <c r="Y74" s="648"/>
      <c r="Z74" s="648"/>
      <c r="AA74" s="647"/>
      <c r="AB74" s="647"/>
      <c r="AC74" s="648"/>
      <c r="AG74" s="51" t="s">
        <v>380</v>
      </c>
      <c r="AH74" s="54"/>
      <c r="AI74" s="644"/>
      <c r="AJ74" s="644"/>
      <c r="AK74" s="644"/>
      <c r="AL74" s="644"/>
      <c r="AM74" s="644"/>
      <c r="AN74" s="644"/>
      <c r="AO74" s="645"/>
      <c r="AP74" s="644"/>
      <c r="AQ74" s="644"/>
      <c r="AR74" s="53">
        <v>20.399999999999999</v>
      </c>
    </row>
    <row r="75" spans="2:44" ht="19.5" thickBot="1" x14ac:dyDescent="0.35">
      <c r="B75" s="70" t="s">
        <v>342</v>
      </c>
      <c r="C75" s="664"/>
      <c r="D75" s="71">
        <v>300</v>
      </c>
      <c r="E75" s="71">
        <v>355</v>
      </c>
      <c r="F75" s="662" t="s">
        <v>345</v>
      </c>
      <c r="G75" s="662">
        <v>186</v>
      </c>
      <c r="H75" s="662">
        <v>50</v>
      </c>
      <c r="I75" s="662">
        <v>50</v>
      </c>
      <c r="J75" s="662">
        <v>100</v>
      </c>
      <c r="K75" s="662">
        <v>125</v>
      </c>
      <c r="L75" s="662" t="s">
        <v>339</v>
      </c>
      <c r="M75" s="662">
        <v>50</v>
      </c>
      <c r="N75" s="662">
        <v>76</v>
      </c>
      <c r="O75" s="65"/>
      <c r="P75" s="65"/>
      <c r="Q75" s="65"/>
      <c r="R75" s="68" t="s">
        <v>344</v>
      </c>
      <c r="S75" s="648"/>
      <c r="T75" s="648"/>
      <c r="U75" s="69" t="s">
        <v>381</v>
      </c>
      <c r="V75" s="69">
        <v>8</v>
      </c>
      <c r="W75" s="69">
        <v>8</v>
      </c>
      <c r="X75" s="69">
        <v>140</v>
      </c>
      <c r="Y75" s="69">
        <v>175</v>
      </c>
      <c r="Z75" s="69">
        <v>38</v>
      </c>
      <c r="AA75" s="648"/>
      <c r="AB75" s="648"/>
      <c r="AC75" s="69">
        <v>90</v>
      </c>
      <c r="AG75" s="51" t="s">
        <v>344</v>
      </c>
      <c r="AH75" s="55"/>
      <c r="AI75" s="53">
        <v>7</v>
      </c>
      <c r="AJ75" s="53">
        <v>7</v>
      </c>
      <c r="AK75" s="53">
        <v>27</v>
      </c>
      <c r="AL75" s="53">
        <v>11</v>
      </c>
      <c r="AM75" s="53" t="s">
        <v>407</v>
      </c>
      <c r="AN75" s="53">
        <v>24</v>
      </c>
      <c r="AO75" s="644"/>
      <c r="AP75" s="53">
        <v>24</v>
      </c>
      <c r="AQ75" s="53">
        <v>27</v>
      </c>
      <c r="AR75" s="53">
        <v>28.7</v>
      </c>
    </row>
    <row r="76" spans="2:44" ht="40.5" customHeight="1" thickBot="1" x14ac:dyDescent="0.35">
      <c r="B76" s="70" t="s">
        <v>343</v>
      </c>
      <c r="C76" s="664"/>
      <c r="D76" s="71">
        <v>320</v>
      </c>
      <c r="E76" s="71">
        <v>375</v>
      </c>
      <c r="F76" s="663"/>
      <c r="G76" s="663"/>
      <c r="H76" s="664"/>
      <c r="I76" s="664"/>
      <c r="J76" s="663"/>
      <c r="K76" s="663"/>
      <c r="L76" s="663"/>
      <c r="M76" s="663"/>
      <c r="N76" s="663"/>
      <c r="O76" s="65"/>
      <c r="P76" s="65"/>
      <c r="Q76" s="65"/>
      <c r="R76" s="73" t="s">
        <v>347</v>
      </c>
      <c r="S76" s="74">
        <v>2.4</v>
      </c>
      <c r="T76" s="646">
        <v>93</v>
      </c>
      <c r="U76" s="646">
        <v>228.5</v>
      </c>
      <c r="V76" s="646">
        <v>8</v>
      </c>
      <c r="W76" s="646">
        <v>8</v>
      </c>
      <c r="X76" s="646">
        <v>160</v>
      </c>
      <c r="Y76" s="646">
        <v>200</v>
      </c>
      <c r="Z76" s="646">
        <v>44</v>
      </c>
      <c r="AA76" s="646" t="s">
        <v>391</v>
      </c>
      <c r="AB76" s="646">
        <v>48</v>
      </c>
      <c r="AC76" s="646">
        <v>100</v>
      </c>
      <c r="AG76" s="649" t="s">
        <v>347</v>
      </c>
      <c r="AH76" s="651" t="s">
        <v>338</v>
      </c>
      <c r="AI76" s="651">
        <v>7</v>
      </c>
      <c r="AJ76" s="651">
        <v>7</v>
      </c>
      <c r="AK76" s="651">
        <v>31</v>
      </c>
      <c r="AL76" s="651">
        <v>12</v>
      </c>
      <c r="AM76" s="651">
        <v>231</v>
      </c>
      <c r="AN76" s="651">
        <v>28</v>
      </c>
      <c r="AO76" s="651">
        <v>12</v>
      </c>
      <c r="AP76" s="651">
        <v>28</v>
      </c>
      <c r="AQ76" s="651">
        <v>31</v>
      </c>
      <c r="AR76" s="651">
        <v>36</v>
      </c>
    </row>
    <row r="77" spans="2:44" ht="19.5" thickBot="1" x14ac:dyDescent="0.35">
      <c r="B77" s="70" t="s">
        <v>344</v>
      </c>
      <c r="C77" s="663"/>
      <c r="D77" s="71">
        <v>350</v>
      </c>
      <c r="E77" s="71">
        <v>405</v>
      </c>
      <c r="F77" s="71">
        <v>243260</v>
      </c>
      <c r="G77" s="71">
        <v>208</v>
      </c>
      <c r="H77" s="663"/>
      <c r="I77" s="663"/>
      <c r="J77" s="71">
        <v>125</v>
      </c>
      <c r="K77" s="71">
        <v>155</v>
      </c>
      <c r="L77" s="71" t="s">
        <v>339</v>
      </c>
      <c r="M77" s="71">
        <v>56</v>
      </c>
      <c r="N77" s="71">
        <v>79</v>
      </c>
      <c r="O77" s="65"/>
      <c r="P77" s="65"/>
      <c r="Q77" s="65"/>
      <c r="R77" s="68" t="s">
        <v>349</v>
      </c>
      <c r="S77" s="75">
        <v>2.4</v>
      </c>
      <c r="T77" s="648"/>
      <c r="U77" s="648"/>
      <c r="V77" s="648"/>
      <c r="W77" s="648"/>
      <c r="X77" s="648"/>
      <c r="Y77" s="648"/>
      <c r="Z77" s="648"/>
      <c r="AA77" s="648"/>
      <c r="AB77" s="648"/>
      <c r="AC77" s="648"/>
      <c r="AG77" s="650"/>
      <c r="AH77" s="652"/>
      <c r="AI77" s="654"/>
      <c r="AJ77" s="654"/>
      <c r="AK77" s="654"/>
      <c r="AL77" s="654"/>
      <c r="AM77" s="652"/>
      <c r="AN77" s="654"/>
      <c r="AO77" s="654"/>
      <c r="AP77" s="654"/>
      <c r="AQ77" s="654"/>
      <c r="AR77" s="652"/>
    </row>
    <row r="78" spans="2:44" ht="19.5" thickBot="1" x14ac:dyDescent="0.35">
      <c r="B78" s="76" t="s">
        <v>347</v>
      </c>
      <c r="C78" s="74">
        <v>2.4</v>
      </c>
      <c r="D78" s="74">
        <v>365</v>
      </c>
      <c r="E78" s="74">
        <v>427</v>
      </c>
      <c r="F78" s="74">
        <v>265</v>
      </c>
      <c r="G78" s="646">
        <v>235</v>
      </c>
      <c r="H78" s="646">
        <v>60</v>
      </c>
      <c r="I78" s="646">
        <v>60</v>
      </c>
      <c r="J78" s="74">
        <v>112</v>
      </c>
      <c r="K78" s="74">
        <v>147</v>
      </c>
      <c r="L78" s="646" t="s">
        <v>348</v>
      </c>
      <c r="M78" s="646">
        <v>63</v>
      </c>
      <c r="N78" s="646">
        <v>83.5</v>
      </c>
      <c r="O78" s="65"/>
      <c r="P78" s="65"/>
      <c r="Q78" s="65"/>
      <c r="R78" s="68" t="s">
        <v>350</v>
      </c>
      <c r="S78" s="69">
        <v>6.8</v>
      </c>
      <c r="T78" s="646">
        <v>126</v>
      </c>
      <c r="U78" s="69">
        <v>268</v>
      </c>
      <c r="V78" s="646">
        <v>10</v>
      </c>
      <c r="W78" s="646">
        <v>10</v>
      </c>
      <c r="X78" s="69">
        <v>190</v>
      </c>
      <c r="Y78" s="69">
        <v>230</v>
      </c>
      <c r="Z78" s="69">
        <v>40</v>
      </c>
      <c r="AA78" s="646">
        <v>115</v>
      </c>
      <c r="AB78" s="69">
        <v>30</v>
      </c>
      <c r="AC78" s="69">
        <v>112</v>
      </c>
      <c r="AG78" s="649" t="s">
        <v>349</v>
      </c>
      <c r="AH78" s="78" t="s">
        <v>409</v>
      </c>
      <c r="AI78" s="654"/>
      <c r="AJ78" s="654"/>
      <c r="AK78" s="654"/>
      <c r="AL78" s="654"/>
      <c r="AM78" s="651">
        <v>240</v>
      </c>
      <c r="AN78" s="654"/>
      <c r="AO78" s="654"/>
      <c r="AP78" s="654"/>
      <c r="AQ78" s="654"/>
      <c r="AR78" s="651">
        <v>42</v>
      </c>
    </row>
    <row r="79" spans="2:44" ht="19.5" thickBot="1" x14ac:dyDescent="0.35">
      <c r="B79" s="77" t="s">
        <v>349</v>
      </c>
      <c r="C79" s="75">
        <v>2.4</v>
      </c>
      <c r="D79" s="69">
        <v>395</v>
      </c>
      <c r="E79" s="69">
        <v>457</v>
      </c>
      <c r="F79" s="69">
        <v>280</v>
      </c>
      <c r="G79" s="648"/>
      <c r="H79" s="648"/>
      <c r="I79" s="648"/>
      <c r="J79" s="646">
        <v>140</v>
      </c>
      <c r="K79" s="69">
        <v>175</v>
      </c>
      <c r="L79" s="648"/>
      <c r="M79" s="648"/>
      <c r="N79" s="648"/>
      <c r="O79" s="65"/>
      <c r="P79" s="65"/>
      <c r="Q79" s="65"/>
      <c r="R79" s="68" t="s">
        <v>351</v>
      </c>
      <c r="S79" s="69" t="s">
        <v>352</v>
      </c>
      <c r="T79" s="647"/>
      <c r="U79" s="646">
        <v>277</v>
      </c>
      <c r="V79" s="647"/>
      <c r="W79" s="647"/>
      <c r="X79" s="646">
        <v>216</v>
      </c>
      <c r="Y79" s="646">
        <v>265</v>
      </c>
      <c r="Z79" s="646">
        <v>44</v>
      </c>
      <c r="AA79" s="647"/>
      <c r="AB79" s="646">
        <v>40</v>
      </c>
      <c r="AC79" s="646">
        <v>132</v>
      </c>
      <c r="AG79" s="653"/>
      <c r="AH79" s="78" t="s">
        <v>410</v>
      </c>
      <c r="AI79" s="654"/>
      <c r="AJ79" s="654"/>
      <c r="AK79" s="654"/>
      <c r="AL79" s="654"/>
      <c r="AM79" s="654"/>
      <c r="AN79" s="654"/>
      <c r="AO79" s="654"/>
      <c r="AP79" s="654"/>
      <c r="AQ79" s="654"/>
      <c r="AR79" s="654"/>
    </row>
    <row r="80" spans="2:44" ht="19.5" thickBot="1" x14ac:dyDescent="0.35">
      <c r="B80" s="77" t="s">
        <v>350</v>
      </c>
      <c r="C80" s="69">
        <v>6.8</v>
      </c>
      <c r="D80" s="69">
        <v>452</v>
      </c>
      <c r="E80" s="69">
        <v>534</v>
      </c>
      <c r="F80" s="69">
        <v>310</v>
      </c>
      <c r="G80" s="69">
        <v>260</v>
      </c>
      <c r="H80" s="646">
        <v>80</v>
      </c>
      <c r="I80" s="646">
        <v>80</v>
      </c>
      <c r="J80" s="647"/>
      <c r="K80" s="69">
        <v>180</v>
      </c>
      <c r="L80" s="69" t="s">
        <v>348</v>
      </c>
      <c r="M80" s="69">
        <v>70</v>
      </c>
      <c r="N80" s="646">
        <v>100</v>
      </c>
      <c r="O80" s="65"/>
      <c r="P80" s="65"/>
      <c r="Q80" s="65"/>
      <c r="R80" s="655" t="s">
        <v>353</v>
      </c>
      <c r="S80" s="646" t="s">
        <v>392</v>
      </c>
      <c r="T80" s="647"/>
      <c r="U80" s="647"/>
      <c r="V80" s="647"/>
      <c r="W80" s="647"/>
      <c r="X80" s="647"/>
      <c r="Y80" s="647"/>
      <c r="Z80" s="647"/>
      <c r="AA80" s="647"/>
      <c r="AB80" s="647"/>
      <c r="AC80" s="647"/>
      <c r="AG80" s="650"/>
      <c r="AH80" s="78"/>
      <c r="AI80" s="652"/>
      <c r="AJ80" s="652"/>
      <c r="AK80" s="652"/>
      <c r="AL80" s="654"/>
      <c r="AM80" s="652"/>
      <c r="AN80" s="652"/>
      <c r="AO80" s="654"/>
      <c r="AP80" s="652"/>
      <c r="AQ80" s="652"/>
      <c r="AR80" s="652"/>
    </row>
    <row r="81" spans="2:44" ht="19.5" thickBot="1" x14ac:dyDescent="0.35">
      <c r="B81" s="77" t="s">
        <v>351</v>
      </c>
      <c r="C81" s="69" t="s">
        <v>352</v>
      </c>
      <c r="D81" s="69">
        <v>480</v>
      </c>
      <c r="E81" s="69">
        <v>560</v>
      </c>
      <c r="F81" s="646">
        <v>350</v>
      </c>
      <c r="G81" s="646">
        <v>302</v>
      </c>
      <c r="H81" s="647"/>
      <c r="I81" s="647"/>
      <c r="J81" s="648"/>
      <c r="K81" s="69">
        <v>185</v>
      </c>
      <c r="L81" s="646" t="s">
        <v>348</v>
      </c>
      <c r="M81" s="646">
        <v>89</v>
      </c>
      <c r="N81" s="647"/>
      <c r="O81" s="65"/>
      <c r="P81" s="65"/>
      <c r="Q81" s="65"/>
      <c r="R81" s="656"/>
      <c r="S81" s="648"/>
      <c r="T81" s="648"/>
      <c r="U81" s="648"/>
      <c r="V81" s="648"/>
      <c r="W81" s="648"/>
      <c r="X81" s="648"/>
      <c r="Y81" s="648"/>
      <c r="Z81" s="648"/>
      <c r="AA81" s="648"/>
      <c r="AB81" s="648"/>
      <c r="AC81" s="648"/>
      <c r="AG81" s="649" t="s">
        <v>411</v>
      </c>
      <c r="AH81" s="78"/>
      <c r="AI81" s="78"/>
      <c r="AJ81" s="651">
        <v>8</v>
      </c>
      <c r="AK81" s="651">
        <v>35</v>
      </c>
      <c r="AL81" s="654"/>
      <c r="AM81" s="651">
        <v>262</v>
      </c>
      <c r="AN81" s="651">
        <v>32</v>
      </c>
      <c r="AO81" s="654"/>
      <c r="AP81" s="651">
        <v>32</v>
      </c>
      <c r="AQ81" s="651">
        <v>35</v>
      </c>
      <c r="AR81" s="651">
        <v>56</v>
      </c>
    </row>
    <row r="82" spans="2:44" ht="19.5" thickBot="1" x14ac:dyDescent="0.35">
      <c r="B82" s="646" t="s">
        <v>353</v>
      </c>
      <c r="C82" s="646" t="s">
        <v>392</v>
      </c>
      <c r="D82" s="646">
        <v>530</v>
      </c>
      <c r="E82" s="646">
        <v>610</v>
      </c>
      <c r="F82" s="647"/>
      <c r="G82" s="647"/>
      <c r="H82" s="647"/>
      <c r="I82" s="647"/>
      <c r="J82" s="646">
        <v>178</v>
      </c>
      <c r="K82" s="646">
        <v>223</v>
      </c>
      <c r="L82" s="647"/>
      <c r="M82" s="647"/>
      <c r="N82" s="647"/>
      <c r="O82" s="65"/>
      <c r="P82" s="65"/>
      <c r="Q82" s="65"/>
      <c r="R82" s="655" t="s">
        <v>354</v>
      </c>
      <c r="S82" s="69">
        <v>2</v>
      </c>
      <c r="T82" s="646">
        <v>175</v>
      </c>
      <c r="U82" s="646">
        <v>354</v>
      </c>
      <c r="V82" s="69">
        <v>12</v>
      </c>
      <c r="W82" s="646">
        <v>12</v>
      </c>
      <c r="X82" s="646">
        <v>254</v>
      </c>
      <c r="Y82" s="646">
        <v>304</v>
      </c>
      <c r="Z82" s="646">
        <v>50</v>
      </c>
      <c r="AA82" s="646">
        <v>205</v>
      </c>
      <c r="AB82" s="646">
        <v>115</v>
      </c>
      <c r="AC82" s="646">
        <v>160</v>
      </c>
      <c r="AG82" s="653"/>
      <c r="AH82" s="79"/>
      <c r="AI82" s="78">
        <v>8</v>
      </c>
      <c r="AJ82" s="654"/>
      <c r="AK82" s="654"/>
      <c r="AL82" s="654"/>
      <c r="AM82" s="654"/>
      <c r="AN82" s="654"/>
      <c r="AO82" s="654"/>
      <c r="AP82" s="654"/>
      <c r="AQ82" s="654"/>
      <c r="AR82" s="654"/>
    </row>
    <row r="83" spans="2:44" ht="19.5" thickBot="1" x14ac:dyDescent="0.35">
      <c r="B83" s="648"/>
      <c r="C83" s="648"/>
      <c r="D83" s="648"/>
      <c r="E83" s="648"/>
      <c r="F83" s="648"/>
      <c r="G83" s="648"/>
      <c r="H83" s="648"/>
      <c r="I83" s="648"/>
      <c r="J83" s="647"/>
      <c r="K83" s="648"/>
      <c r="L83" s="648"/>
      <c r="M83" s="648"/>
      <c r="N83" s="648"/>
      <c r="O83" s="65"/>
      <c r="P83" s="65"/>
      <c r="Q83" s="65"/>
      <c r="R83" s="656"/>
      <c r="S83" s="69" t="s">
        <v>352</v>
      </c>
      <c r="T83" s="647"/>
      <c r="U83" s="647"/>
      <c r="V83" s="69">
        <v>14</v>
      </c>
      <c r="W83" s="647"/>
      <c r="X83" s="647"/>
      <c r="Y83" s="647"/>
      <c r="Z83" s="647"/>
      <c r="AA83" s="647"/>
      <c r="AB83" s="647"/>
      <c r="AC83" s="647"/>
      <c r="AG83" s="650"/>
      <c r="AH83" s="80"/>
      <c r="AI83" s="78"/>
      <c r="AJ83" s="654"/>
      <c r="AK83" s="652"/>
      <c r="AL83" s="652"/>
      <c r="AM83" s="652"/>
      <c r="AN83" s="652"/>
      <c r="AO83" s="654"/>
      <c r="AP83" s="652"/>
      <c r="AQ83" s="652"/>
      <c r="AR83" s="652"/>
    </row>
    <row r="84" spans="2:44" ht="19.5" thickBot="1" x14ac:dyDescent="0.35">
      <c r="B84" s="646" t="s">
        <v>354</v>
      </c>
      <c r="C84" s="69">
        <v>2</v>
      </c>
      <c r="D84" s="646">
        <v>624</v>
      </c>
      <c r="E84" s="646">
        <v>737</v>
      </c>
      <c r="F84" s="646">
        <v>430</v>
      </c>
      <c r="G84" s="646">
        <v>358</v>
      </c>
      <c r="H84" s="646">
        <v>110</v>
      </c>
      <c r="I84" s="646">
        <v>110</v>
      </c>
      <c r="J84" s="647"/>
      <c r="K84" s="646">
        <v>228</v>
      </c>
      <c r="L84" s="646" t="s">
        <v>348</v>
      </c>
      <c r="M84" s="646">
        <v>108</v>
      </c>
      <c r="N84" s="646">
        <v>128</v>
      </c>
      <c r="O84" s="65"/>
      <c r="P84" s="65"/>
      <c r="Q84" s="65"/>
      <c r="R84" s="655" t="s">
        <v>355</v>
      </c>
      <c r="S84" s="69">
        <v>2</v>
      </c>
      <c r="T84" s="647"/>
      <c r="U84" s="647"/>
      <c r="V84" s="69">
        <v>12</v>
      </c>
      <c r="W84" s="647"/>
      <c r="X84" s="647"/>
      <c r="Y84" s="647"/>
      <c r="Z84" s="647"/>
      <c r="AA84" s="647"/>
      <c r="AB84" s="647"/>
      <c r="AC84" s="647"/>
      <c r="AG84" s="649" t="s">
        <v>351</v>
      </c>
      <c r="AH84" s="651" t="s">
        <v>412</v>
      </c>
      <c r="AI84" s="78"/>
      <c r="AJ84" s="654"/>
      <c r="AK84" s="651">
        <v>41</v>
      </c>
      <c r="AL84" s="651">
        <v>13</v>
      </c>
      <c r="AM84" s="651">
        <v>302</v>
      </c>
      <c r="AN84" s="651">
        <v>38</v>
      </c>
      <c r="AO84" s="654"/>
      <c r="AP84" s="651">
        <v>38</v>
      </c>
      <c r="AQ84" s="651">
        <v>41</v>
      </c>
      <c r="AR84" s="651">
        <v>77</v>
      </c>
    </row>
    <row r="85" spans="2:44" ht="19.5" thickBot="1" x14ac:dyDescent="0.35">
      <c r="B85" s="648"/>
      <c r="C85" s="69" t="s">
        <v>352</v>
      </c>
      <c r="D85" s="648"/>
      <c r="E85" s="648"/>
      <c r="F85" s="647"/>
      <c r="G85" s="647"/>
      <c r="H85" s="647"/>
      <c r="I85" s="647"/>
      <c r="J85" s="648"/>
      <c r="K85" s="648"/>
      <c r="L85" s="648"/>
      <c r="M85" s="647"/>
      <c r="N85" s="647"/>
      <c r="O85" s="65"/>
      <c r="P85" s="65"/>
      <c r="Q85" s="65"/>
      <c r="R85" s="656"/>
      <c r="S85" s="69" t="s">
        <v>352</v>
      </c>
      <c r="T85" s="647"/>
      <c r="U85" s="648"/>
      <c r="V85" s="646">
        <v>14</v>
      </c>
      <c r="W85" s="648"/>
      <c r="X85" s="648"/>
      <c r="Y85" s="648"/>
      <c r="Z85" s="648"/>
      <c r="AA85" s="647"/>
      <c r="AB85" s="647"/>
      <c r="AC85" s="648"/>
      <c r="AG85" s="650"/>
      <c r="AH85" s="652"/>
      <c r="AI85" s="78"/>
      <c r="AJ85" s="654"/>
      <c r="AK85" s="654"/>
      <c r="AL85" s="654"/>
      <c r="AM85" s="654"/>
      <c r="AN85" s="654"/>
      <c r="AO85" s="654"/>
      <c r="AP85" s="654"/>
      <c r="AQ85" s="654"/>
      <c r="AR85" s="652"/>
    </row>
    <row r="86" spans="2:44" ht="19.5" thickBot="1" x14ac:dyDescent="0.35">
      <c r="B86" s="646" t="s">
        <v>355</v>
      </c>
      <c r="C86" s="69">
        <v>2</v>
      </c>
      <c r="D86" s="646">
        <v>667</v>
      </c>
      <c r="E86" s="646">
        <v>780</v>
      </c>
      <c r="F86" s="647"/>
      <c r="G86" s="647"/>
      <c r="H86" s="647"/>
      <c r="I86" s="647"/>
      <c r="J86" s="646">
        <v>210</v>
      </c>
      <c r="K86" s="646">
        <v>260</v>
      </c>
      <c r="L86" s="646" t="s">
        <v>348</v>
      </c>
      <c r="M86" s="647"/>
      <c r="N86" s="647"/>
      <c r="O86" s="65"/>
      <c r="P86" s="65"/>
      <c r="Q86" s="65"/>
      <c r="R86" s="655" t="s">
        <v>356</v>
      </c>
      <c r="S86" s="69">
        <v>2</v>
      </c>
      <c r="T86" s="647"/>
      <c r="U86" s="646">
        <v>364</v>
      </c>
      <c r="V86" s="648"/>
      <c r="W86" s="646">
        <v>14</v>
      </c>
      <c r="X86" s="646">
        <v>279</v>
      </c>
      <c r="Y86" s="646">
        <v>340</v>
      </c>
      <c r="Z86" s="646">
        <v>67</v>
      </c>
      <c r="AA86" s="647"/>
      <c r="AB86" s="647"/>
      <c r="AC86" s="646">
        <v>180</v>
      </c>
      <c r="AG86" s="82" t="s">
        <v>413</v>
      </c>
      <c r="AH86" s="81" t="s">
        <v>414</v>
      </c>
      <c r="AI86" s="78"/>
      <c r="AJ86" s="654"/>
      <c r="AK86" s="652"/>
      <c r="AL86" s="652"/>
      <c r="AM86" s="652"/>
      <c r="AN86" s="652"/>
      <c r="AO86" s="652"/>
      <c r="AP86" s="652"/>
      <c r="AQ86" s="652"/>
      <c r="AR86" s="81">
        <v>93</v>
      </c>
    </row>
    <row r="87" spans="2:44" ht="19.5" thickBot="1" x14ac:dyDescent="0.35">
      <c r="B87" s="648"/>
      <c r="C87" s="69" t="s">
        <v>352</v>
      </c>
      <c r="D87" s="648"/>
      <c r="E87" s="648"/>
      <c r="F87" s="648"/>
      <c r="G87" s="648"/>
      <c r="H87" s="647"/>
      <c r="I87" s="647"/>
      <c r="J87" s="648"/>
      <c r="K87" s="648"/>
      <c r="L87" s="648"/>
      <c r="M87" s="648"/>
      <c r="N87" s="648"/>
      <c r="O87" s="65"/>
      <c r="P87" s="65"/>
      <c r="Q87" s="65"/>
      <c r="R87" s="656"/>
      <c r="S87" s="69">
        <v>4</v>
      </c>
      <c r="T87" s="647"/>
      <c r="U87" s="647"/>
      <c r="V87" s="69">
        <v>16</v>
      </c>
      <c r="W87" s="647"/>
      <c r="X87" s="647"/>
      <c r="Y87" s="647"/>
      <c r="Z87" s="647"/>
      <c r="AA87" s="647"/>
      <c r="AB87" s="647"/>
      <c r="AC87" s="647"/>
      <c r="AG87" s="649" t="s">
        <v>354</v>
      </c>
      <c r="AH87" s="651">
        <v>2</v>
      </c>
      <c r="AI87" s="79"/>
      <c r="AJ87" s="654"/>
      <c r="AK87" s="651">
        <v>45</v>
      </c>
      <c r="AL87" s="651">
        <v>18</v>
      </c>
      <c r="AM87" s="651">
        <v>325</v>
      </c>
      <c r="AN87" s="651">
        <v>42</v>
      </c>
      <c r="AO87" s="651">
        <v>15</v>
      </c>
      <c r="AP87" s="651">
        <v>42</v>
      </c>
      <c r="AQ87" s="651">
        <v>45</v>
      </c>
      <c r="AR87" s="651">
        <v>130</v>
      </c>
    </row>
    <row r="88" spans="2:44" ht="19.5" thickBot="1" x14ac:dyDescent="0.35">
      <c r="B88" s="646" t="s">
        <v>356</v>
      </c>
      <c r="C88" s="69">
        <v>2</v>
      </c>
      <c r="D88" s="646">
        <v>662</v>
      </c>
      <c r="E88" s="646">
        <v>778</v>
      </c>
      <c r="F88" s="646">
        <v>470</v>
      </c>
      <c r="G88" s="646">
        <v>410</v>
      </c>
      <c r="H88" s="647"/>
      <c r="I88" s="647"/>
      <c r="J88" s="646">
        <v>203</v>
      </c>
      <c r="K88" s="646">
        <v>253</v>
      </c>
      <c r="L88" s="646">
        <v>60</v>
      </c>
      <c r="M88" s="646">
        <v>121</v>
      </c>
      <c r="N88" s="646">
        <v>138</v>
      </c>
      <c r="O88" s="65"/>
      <c r="P88" s="65"/>
      <c r="Q88" s="65"/>
      <c r="R88" s="655" t="s">
        <v>357</v>
      </c>
      <c r="S88" s="69">
        <v>2</v>
      </c>
      <c r="T88" s="647"/>
      <c r="U88" s="647"/>
      <c r="V88" s="69">
        <v>14</v>
      </c>
      <c r="W88" s="647"/>
      <c r="X88" s="647"/>
      <c r="Y88" s="647"/>
      <c r="Z88" s="647"/>
      <c r="AA88" s="647"/>
      <c r="AB88" s="647"/>
      <c r="AC88" s="647"/>
      <c r="AG88" s="653"/>
      <c r="AH88" s="652"/>
      <c r="AI88" s="80"/>
      <c r="AJ88" s="654"/>
      <c r="AK88" s="652"/>
      <c r="AL88" s="654"/>
      <c r="AM88" s="654"/>
      <c r="AN88" s="652"/>
      <c r="AO88" s="654"/>
      <c r="AP88" s="654"/>
      <c r="AQ88" s="654"/>
      <c r="AR88" s="652"/>
    </row>
    <row r="89" spans="2:44" ht="19.5" thickBot="1" x14ac:dyDescent="0.35">
      <c r="B89" s="648"/>
      <c r="C89" s="69">
        <v>4</v>
      </c>
      <c r="D89" s="648"/>
      <c r="E89" s="648"/>
      <c r="F89" s="647"/>
      <c r="G89" s="647"/>
      <c r="H89" s="647"/>
      <c r="I89" s="647"/>
      <c r="J89" s="648"/>
      <c r="K89" s="648"/>
      <c r="L89" s="647"/>
      <c r="M89" s="647"/>
      <c r="N89" s="647"/>
      <c r="O89" s="65"/>
      <c r="P89" s="65"/>
      <c r="Q89" s="65"/>
      <c r="R89" s="656"/>
      <c r="S89" s="69" t="s">
        <v>352</v>
      </c>
      <c r="T89" s="648"/>
      <c r="U89" s="648"/>
      <c r="V89" s="646">
        <v>16</v>
      </c>
      <c r="W89" s="648"/>
      <c r="X89" s="648"/>
      <c r="Y89" s="648"/>
      <c r="Z89" s="648"/>
      <c r="AA89" s="648"/>
      <c r="AB89" s="648"/>
      <c r="AC89" s="648"/>
      <c r="AG89" s="653"/>
      <c r="AH89" s="651" t="s">
        <v>412</v>
      </c>
      <c r="AI89" s="651">
        <v>9</v>
      </c>
      <c r="AJ89" s="654"/>
      <c r="AK89" s="651">
        <v>51.5</v>
      </c>
      <c r="AL89" s="654"/>
      <c r="AM89" s="654"/>
      <c r="AN89" s="651">
        <v>48</v>
      </c>
      <c r="AO89" s="654"/>
      <c r="AP89" s="654"/>
      <c r="AQ89" s="654"/>
      <c r="AR89" s="651">
        <v>135</v>
      </c>
    </row>
    <row r="90" spans="2:44" ht="19.5" thickBot="1" x14ac:dyDescent="0.35">
      <c r="B90" s="646" t="s">
        <v>357</v>
      </c>
      <c r="C90" s="69">
        <v>2</v>
      </c>
      <c r="D90" s="646">
        <v>702</v>
      </c>
      <c r="E90" s="646">
        <v>818</v>
      </c>
      <c r="F90" s="647"/>
      <c r="G90" s="647"/>
      <c r="H90" s="647"/>
      <c r="I90" s="647"/>
      <c r="J90" s="646">
        <v>241</v>
      </c>
      <c r="K90" s="646">
        <v>290</v>
      </c>
      <c r="L90" s="647"/>
      <c r="M90" s="647"/>
      <c r="N90" s="647"/>
      <c r="O90" s="65"/>
      <c r="P90" s="65"/>
      <c r="Q90" s="65"/>
      <c r="R90" s="655" t="s">
        <v>358</v>
      </c>
      <c r="S90" s="69">
        <v>2</v>
      </c>
      <c r="T90" s="646">
        <v>22</v>
      </c>
      <c r="U90" s="69">
        <v>403</v>
      </c>
      <c r="V90" s="648"/>
      <c r="W90" s="646">
        <v>16</v>
      </c>
      <c r="X90" s="646">
        <v>318</v>
      </c>
      <c r="Y90" s="646">
        <v>408</v>
      </c>
      <c r="Z90" s="646">
        <v>90</v>
      </c>
      <c r="AA90" s="646">
        <v>235</v>
      </c>
      <c r="AB90" s="646">
        <v>120</v>
      </c>
      <c r="AC90" s="646">
        <v>200</v>
      </c>
      <c r="AG90" s="650"/>
      <c r="AH90" s="652"/>
      <c r="AI90" s="652"/>
      <c r="AJ90" s="654"/>
      <c r="AK90" s="652"/>
      <c r="AL90" s="654"/>
      <c r="AM90" s="654"/>
      <c r="AN90" s="652"/>
      <c r="AO90" s="654"/>
      <c r="AP90" s="654"/>
      <c r="AQ90" s="654"/>
      <c r="AR90" s="652"/>
    </row>
    <row r="91" spans="2:44" ht="19.5" thickBot="1" x14ac:dyDescent="0.35">
      <c r="B91" s="648"/>
      <c r="C91" s="69" t="s">
        <v>352</v>
      </c>
      <c r="D91" s="648"/>
      <c r="E91" s="648"/>
      <c r="F91" s="648"/>
      <c r="G91" s="648"/>
      <c r="H91" s="647"/>
      <c r="I91" s="647"/>
      <c r="J91" s="648"/>
      <c r="K91" s="648"/>
      <c r="L91" s="648"/>
      <c r="M91" s="648"/>
      <c r="N91" s="648"/>
      <c r="O91" s="65"/>
      <c r="P91" s="65"/>
      <c r="Q91" s="65"/>
      <c r="R91" s="656"/>
      <c r="S91" s="69" t="s">
        <v>352</v>
      </c>
      <c r="T91" s="647"/>
      <c r="U91" s="69">
        <v>433</v>
      </c>
      <c r="V91" s="69">
        <v>18</v>
      </c>
      <c r="W91" s="647"/>
      <c r="X91" s="647"/>
      <c r="Y91" s="647"/>
      <c r="Z91" s="647"/>
      <c r="AA91" s="647"/>
      <c r="AB91" s="647"/>
      <c r="AC91" s="647"/>
      <c r="AG91" s="649" t="s">
        <v>415</v>
      </c>
      <c r="AH91" s="651">
        <v>2</v>
      </c>
      <c r="AI91" s="651">
        <v>8</v>
      </c>
      <c r="AJ91" s="654"/>
      <c r="AK91" s="651">
        <v>45</v>
      </c>
      <c r="AL91" s="654"/>
      <c r="AM91" s="654"/>
      <c r="AN91" s="651">
        <v>42</v>
      </c>
      <c r="AO91" s="654"/>
      <c r="AP91" s="654"/>
      <c r="AQ91" s="654"/>
      <c r="AR91" s="651">
        <v>145</v>
      </c>
    </row>
    <row r="92" spans="2:44" ht="19.5" thickBot="1" x14ac:dyDescent="0.35">
      <c r="B92" s="646" t="s">
        <v>358</v>
      </c>
      <c r="C92" s="69">
        <v>2</v>
      </c>
      <c r="D92" s="69">
        <v>760</v>
      </c>
      <c r="E92" s="69">
        <v>875</v>
      </c>
      <c r="F92" s="646">
        <v>535</v>
      </c>
      <c r="G92" s="646">
        <v>450</v>
      </c>
      <c r="H92" s="648"/>
      <c r="I92" s="647"/>
      <c r="J92" s="646">
        <v>267</v>
      </c>
      <c r="K92" s="646">
        <v>337</v>
      </c>
      <c r="L92" s="646">
        <v>90</v>
      </c>
      <c r="M92" s="646">
        <v>133</v>
      </c>
      <c r="N92" s="646">
        <v>156</v>
      </c>
      <c r="O92" s="65"/>
      <c r="P92" s="65"/>
      <c r="Q92" s="65"/>
      <c r="R92" s="655" t="s">
        <v>359</v>
      </c>
      <c r="S92" s="69">
        <v>2</v>
      </c>
      <c r="T92" s="647"/>
      <c r="U92" s="69">
        <v>403</v>
      </c>
      <c r="V92" s="69">
        <v>16</v>
      </c>
      <c r="W92" s="647"/>
      <c r="X92" s="647"/>
      <c r="Y92" s="647"/>
      <c r="Z92" s="647"/>
      <c r="AA92" s="647"/>
      <c r="AB92" s="647"/>
      <c r="AC92" s="647"/>
      <c r="AG92" s="653"/>
      <c r="AH92" s="652"/>
      <c r="AI92" s="652"/>
      <c r="AJ92" s="654"/>
      <c r="AK92" s="652"/>
      <c r="AL92" s="654"/>
      <c r="AM92" s="654"/>
      <c r="AN92" s="652"/>
      <c r="AO92" s="654"/>
      <c r="AP92" s="654"/>
      <c r="AQ92" s="654"/>
      <c r="AR92" s="652"/>
    </row>
    <row r="93" spans="2:44" ht="19.5" thickBot="1" x14ac:dyDescent="0.35">
      <c r="B93" s="648"/>
      <c r="C93" s="69" t="s">
        <v>352</v>
      </c>
      <c r="D93" s="69">
        <v>790</v>
      </c>
      <c r="E93" s="69">
        <v>905</v>
      </c>
      <c r="F93" s="647"/>
      <c r="G93" s="647"/>
      <c r="H93" s="69">
        <v>140</v>
      </c>
      <c r="I93" s="647"/>
      <c r="J93" s="648"/>
      <c r="K93" s="648"/>
      <c r="L93" s="647"/>
      <c r="M93" s="647"/>
      <c r="N93" s="647"/>
      <c r="O93" s="65"/>
      <c r="P93" s="65"/>
      <c r="Q93" s="65"/>
      <c r="R93" s="656"/>
      <c r="S93" s="69" t="s">
        <v>352</v>
      </c>
      <c r="T93" s="647"/>
      <c r="U93" s="69">
        <v>433</v>
      </c>
      <c r="V93" s="69">
        <v>18</v>
      </c>
      <c r="W93" s="647"/>
      <c r="X93" s="648"/>
      <c r="Y93" s="648"/>
      <c r="Z93" s="648"/>
      <c r="AA93" s="647"/>
      <c r="AB93" s="647"/>
      <c r="AC93" s="648"/>
      <c r="AG93" s="653"/>
      <c r="AH93" s="651" t="s">
        <v>412</v>
      </c>
      <c r="AI93" s="651">
        <v>9</v>
      </c>
      <c r="AJ93" s="654"/>
      <c r="AK93" s="651">
        <v>51.5</v>
      </c>
      <c r="AL93" s="654"/>
      <c r="AM93" s="654"/>
      <c r="AN93" s="651">
        <v>48</v>
      </c>
      <c r="AO93" s="654"/>
      <c r="AP93" s="654"/>
      <c r="AQ93" s="654"/>
      <c r="AR93" s="651">
        <v>160</v>
      </c>
    </row>
    <row r="94" spans="2:44" ht="19.5" thickBot="1" x14ac:dyDescent="0.35">
      <c r="B94" s="646" t="s">
        <v>359</v>
      </c>
      <c r="C94" s="69">
        <v>2</v>
      </c>
      <c r="D94" s="69">
        <v>800</v>
      </c>
      <c r="E94" s="69">
        <v>915</v>
      </c>
      <c r="F94" s="647"/>
      <c r="G94" s="647"/>
      <c r="H94" s="69">
        <v>110</v>
      </c>
      <c r="I94" s="647"/>
      <c r="J94" s="646">
        <v>305</v>
      </c>
      <c r="K94" s="646">
        <v>375</v>
      </c>
      <c r="L94" s="647"/>
      <c r="M94" s="647"/>
      <c r="N94" s="647"/>
      <c r="O94" s="65"/>
      <c r="P94" s="65"/>
      <c r="Q94" s="65"/>
      <c r="R94" s="655" t="s">
        <v>360</v>
      </c>
      <c r="S94" s="69">
        <v>2</v>
      </c>
      <c r="T94" s="647"/>
      <c r="U94" s="69">
        <v>420</v>
      </c>
      <c r="V94" s="69">
        <v>16</v>
      </c>
      <c r="W94" s="648"/>
      <c r="X94" s="646">
        <v>356</v>
      </c>
      <c r="Y94" s="646">
        <v>440</v>
      </c>
      <c r="Z94" s="646">
        <v>100</v>
      </c>
      <c r="AA94" s="647"/>
      <c r="AB94" s="647"/>
      <c r="AC94" s="646">
        <v>225</v>
      </c>
      <c r="AG94" s="650"/>
      <c r="AH94" s="652"/>
      <c r="AI94" s="654"/>
      <c r="AJ94" s="652"/>
      <c r="AK94" s="654"/>
      <c r="AL94" s="652"/>
      <c r="AM94" s="652"/>
      <c r="AN94" s="654"/>
      <c r="AO94" s="654"/>
      <c r="AP94" s="652"/>
      <c r="AQ94" s="652"/>
      <c r="AR94" s="652"/>
    </row>
    <row r="95" spans="2:44" ht="19.5" thickBot="1" x14ac:dyDescent="0.35">
      <c r="B95" s="648"/>
      <c r="C95" s="69" t="s">
        <v>352</v>
      </c>
      <c r="D95" s="69">
        <v>830</v>
      </c>
      <c r="E95" s="69">
        <v>945</v>
      </c>
      <c r="F95" s="648"/>
      <c r="G95" s="648"/>
      <c r="H95" s="69">
        <v>140</v>
      </c>
      <c r="I95" s="647"/>
      <c r="J95" s="648"/>
      <c r="K95" s="648"/>
      <c r="L95" s="648"/>
      <c r="M95" s="648"/>
      <c r="N95" s="648"/>
      <c r="O95" s="65"/>
      <c r="P95" s="65"/>
      <c r="Q95" s="65"/>
      <c r="R95" s="656"/>
      <c r="S95" s="69" t="s">
        <v>352</v>
      </c>
      <c r="T95" s="648"/>
      <c r="U95" s="69">
        <v>450</v>
      </c>
      <c r="V95" s="646">
        <v>18</v>
      </c>
      <c r="W95" s="646">
        <v>18</v>
      </c>
      <c r="X95" s="647"/>
      <c r="Y95" s="647"/>
      <c r="Z95" s="647"/>
      <c r="AA95" s="647"/>
      <c r="AB95" s="647"/>
      <c r="AC95" s="647"/>
      <c r="AG95" s="649" t="s">
        <v>356</v>
      </c>
      <c r="AH95" s="651">
        <v>2</v>
      </c>
      <c r="AI95" s="654"/>
      <c r="AJ95" s="651"/>
      <c r="AK95" s="654"/>
      <c r="AL95" s="651">
        <v>20</v>
      </c>
      <c r="AM95" s="651">
        <v>365</v>
      </c>
      <c r="AN95" s="654"/>
      <c r="AO95" s="654"/>
      <c r="AP95" s="651">
        <v>48</v>
      </c>
      <c r="AQ95" s="651">
        <v>51.5</v>
      </c>
      <c r="AR95" s="651">
        <v>165</v>
      </c>
    </row>
    <row r="96" spans="2:44" ht="19.5" thickBot="1" x14ac:dyDescent="0.35">
      <c r="B96" s="646" t="s">
        <v>360</v>
      </c>
      <c r="C96" s="69">
        <v>2</v>
      </c>
      <c r="D96" s="69">
        <v>810</v>
      </c>
      <c r="E96" s="69">
        <v>925</v>
      </c>
      <c r="F96" s="646">
        <v>575</v>
      </c>
      <c r="G96" s="646">
        <v>494</v>
      </c>
      <c r="H96" s="69">
        <v>110</v>
      </c>
      <c r="I96" s="648"/>
      <c r="J96" s="646">
        <v>311</v>
      </c>
      <c r="K96" s="646">
        <v>390</v>
      </c>
      <c r="L96" s="646">
        <v>100</v>
      </c>
      <c r="M96" s="646">
        <v>149</v>
      </c>
      <c r="N96" s="646">
        <v>161</v>
      </c>
      <c r="O96" s="65"/>
      <c r="P96" s="65"/>
      <c r="Q96" s="65"/>
      <c r="R96" s="655" t="s">
        <v>361</v>
      </c>
      <c r="S96" s="646" t="s">
        <v>393</v>
      </c>
      <c r="T96" s="646">
        <v>175</v>
      </c>
      <c r="U96" s="646">
        <v>496</v>
      </c>
      <c r="V96" s="648"/>
      <c r="W96" s="648"/>
      <c r="X96" s="648"/>
      <c r="Y96" s="648"/>
      <c r="Z96" s="647"/>
      <c r="AA96" s="648"/>
      <c r="AB96" s="648"/>
      <c r="AC96" s="648"/>
      <c r="AG96" s="653"/>
      <c r="AH96" s="654"/>
      <c r="AI96" s="654"/>
      <c r="AJ96" s="654"/>
      <c r="AK96" s="654"/>
      <c r="AL96" s="654"/>
      <c r="AM96" s="654"/>
      <c r="AN96" s="654"/>
      <c r="AO96" s="654"/>
      <c r="AP96" s="654"/>
      <c r="AQ96" s="654"/>
      <c r="AR96" s="654"/>
    </row>
    <row r="97" spans="2:44" ht="19.5" thickBot="1" x14ac:dyDescent="0.35">
      <c r="B97" s="648"/>
      <c r="C97" s="69" t="s">
        <v>352</v>
      </c>
      <c r="D97" s="69">
        <v>840</v>
      </c>
      <c r="E97" s="69">
        <v>985</v>
      </c>
      <c r="F97" s="648"/>
      <c r="G97" s="648"/>
      <c r="H97" s="646">
        <v>140</v>
      </c>
      <c r="I97" s="646">
        <v>140</v>
      </c>
      <c r="J97" s="647"/>
      <c r="K97" s="647"/>
      <c r="L97" s="647"/>
      <c r="M97" s="648"/>
      <c r="N97" s="648"/>
      <c r="O97" s="65"/>
      <c r="P97" s="65"/>
      <c r="Q97" s="65"/>
      <c r="R97" s="657"/>
      <c r="S97" s="647"/>
      <c r="T97" s="647"/>
      <c r="U97" s="647"/>
      <c r="V97" s="646">
        <v>20</v>
      </c>
      <c r="W97" s="646">
        <v>20</v>
      </c>
      <c r="X97" s="646">
        <v>406</v>
      </c>
      <c r="Y97" s="646">
        <v>490</v>
      </c>
      <c r="Z97" s="647"/>
      <c r="AA97" s="646">
        <v>270</v>
      </c>
      <c r="AB97" s="646">
        <v>160</v>
      </c>
      <c r="AC97" s="646">
        <v>250</v>
      </c>
      <c r="AG97" s="653"/>
      <c r="AH97" s="652"/>
      <c r="AI97" s="654"/>
      <c r="AJ97" s="654"/>
      <c r="AK97" s="652"/>
      <c r="AL97" s="654"/>
      <c r="AM97" s="654"/>
      <c r="AN97" s="652"/>
      <c r="AO97" s="654"/>
      <c r="AP97" s="654"/>
      <c r="AQ97" s="654"/>
      <c r="AR97" s="652"/>
    </row>
    <row r="98" spans="2:44" ht="19.5" thickBot="1" x14ac:dyDescent="0.35">
      <c r="B98" s="646" t="s">
        <v>361</v>
      </c>
      <c r="C98" s="69">
        <v>2</v>
      </c>
      <c r="D98" s="646">
        <v>915</v>
      </c>
      <c r="E98" s="646">
        <v>1060</v>
      </c>
      <c r="F98" s="646">
        <v>640</v>
      </c>
      <c r="G98" s="646">
        <v>554</v>
      </c>
      <c r="H98" s="647"/>
      <c r="I98" s="647"/>
      <c r="J98" s="647"/>
      <c r="K98" s="647"/>
      <c r="L98" s="647"/>
      <c r="M98" s="646">
        <v>168</v>
      </c>
      <c r="N98" s="646">
        <v>184</v>
      </c>
      <c r="O98" s="65"/>
      <c r="P98" s="65"/>
      <c r="Q98" s="65"/>
      <c r="R98" s="656"/>
      <c r="S98" s="648"/>
      <c r="T98" s="647"/>
      <c r="U98" s="647"/>
      <c r="V98" s="648"/>
      <c r="W98" s="648"/>
      <c r="X98" s="647"/>
      <c r="Y98" s="647"/>
      <c r="Z98" s="647"/>
      <c r="AA98" s="647"/>
      <c r="AB98" s="647"/>
      <c r="AC98" s="647"/>
      <c r="AG98" s="650"/>
      <c r="AH98" s="81">
        <v>4</v>
      </c>
      <c r="AI98" s="652"/>
      <c r="AJ98" s="654"/>
      <c r="AK98" s="81">
        <v>59</v>
      </c>
      <c r="AL98" s="654"/>
      <c r="AM98" s="654"/>
      <c r="AN98" s="81">
        <v>55</v>
      </c>
      <c r="AO98" s="654"/>
      <c r="AP98" s="654"/>
      <c r="AQ98" s="654"/>
      <c r="AR98" s="81">
        <v>175</v>
      </c>
    </row>
    <row r="99" spans="2:44" ht="19.5" thickBot="1" x14ac:dyDescent="0.35">
      <c r="B99" s="647"/>
      <c r="C99" s="75" t="s">
        <v>362</v>
      </c>
      <c r="D99" s="647"/>
      <c r="E99" s="647"/>
      <c r="F99" s="647"/>
      <c r="G99" s="647"/>
      <c r="H99" s="647"/>
      <c r="I99" s="647"/>
      <c r="J99" s="647"/>
      <c r="K99" s="647"/>
      <c r="L99" s="647"/>
      <c r="M99" s="647"/>
      <c r="N99" s="647"/>
      <c r="O99" s="65"/>
      <c r="P99" s="65"/>
      <c r="Q99" s="65"/>
      <c r="R99" s="68" t="s">
        <v>363</v>
      </c>
      <c r="S99" s="69">
        <v>2</v>
      </c>
      <c r="T99" s="648"/>
      <c r="U99" s="648"/>
      <c r="V99" s="69">
        <v>18</v>
      </c>
      <c r="W99" s="69">
        <v>18</v>
      </c>
      <c r="X99" s="648"/>
      <c r="Y99" s="648"/>
      <c r="Z99" s="648"/>
      <c r="AA99" s="648"/>
      <c r="AB99" s="648"/>
      <c r="AC99" s="648"/>
      <c r="AG99" s="649" t="s">
        <v>416</v>
      </c>
      <c r="AH99" s="651">
        <v>2</v>
      </c>
      <c r="AI99" s="81">
        <v>10</v>
      </c>
      <c r="AJ99" s="654"/>
      <c r="AK99" s="651">
        <v>51.5</v>
      </c>
      <c r="AL99" s="654"/>
      <c r="AM99" s="654"/>
      <c r="AN99" s="651">
        <v>48</v>
      </c>
      <c r="AO99" s="654"/>
      <c r="AP99" s="654"/>
      <c r="AQ99" s="654"/>
      <c r="AR99" s="651">
        <v>185</v>
      </c>
    </row>
    <row r="100" spans="2:44" ht="19.5" thickBot="1" x14ac:dyDescent="0.35">
      <c r="B100" s="648"/>
      <c r="C100" s="69">
        <v>8.1</v>
      </c>
      <c r="D100" s="648"/>
      <c r="E100" s="648"/>
      <c r="F100" s="647"/>
      <c r="G100" s="647"/>
      <c r="H100" s="647"/>
      <c r="I100" s="647"/>
      <c r="J100" s="648"/>
      <c r="K100" s="648"/>
      <c r="L100" s="647"/>
      <c r="M100" s="647"/>
      <c r="N100" s="647"/>
      <c r="O100" s="65"/>
      <c r="P100" s="65"/>
      <c r="Q100" s="65"/>
      <c r="R100" s="65"/>
      <c r="S100" s="65"/>
      <c r="T100" s="65"/>
      <c r="U100" s="65"/>
      <c r="V100" s="65"/>
      <c r="W100" s="65"/>
      <c r="X100" s="65"/>
      <c r="AG100" s="653"/>
      <c r="AH100" s="652"/>
      <c r="AI100" s="81">
        <v>9</v>
      </c>
      <c r="AJ100" s="654"/>
      <c r="AK100" s="652"/>
      <c r="AL100" s="654"/>
      <c r="AM100" s="654"/>
      <c r="AN100" s="652"/>
      <c r="AO100" s="654"/>
      <c r="AP100" s="654"/>
      <c r="AQ100" s="654"/>
      <c r="AR100" s="652"/>
    </row>
    <row r="101" spans="2:44" ht="19.5" thickBot="1" x14ac:dyDescent="0.35">
      <c r="B101" s="77" t="s">
        <v>363</v>
      </c>
      <c r="C101" s="69">
        <v>2</v>
      </c>
      <c r="D101" s="69">
        <v>955</v>
      </c>
      <c r="E101" s="69">
        <v>1100</v>
      </c>
      <c r="F101" s="648"/>
      <c r="G101" s="648"/>
      <c r="H101" s="648"/>
      <c r="I101" s="648"/>
      <c r="J101" s="69">
        <v>349</v>
      </c>
      <c r="K101" s="69">
        <v>430</v>
      </c>
      <c r="L101" s="648"/>
      <c r="M101" s="648"/>
      <c r="N101" s="648"/>
      <c r="O101" s="65"/>
      <c r="P101" s="65"/>
      <c r="Q101" s="65"/>
      <c r="R101" s="65"/>
      <c r="S101" s="65"/>
      <c r="T101" s="65"/>
      <c r="U101" s="65"/>
      <c r="V101" s="65"/>
      <c r="W101" s="65"/>
      <c r="X101" s="65"/>
      <c r="AG101" s="653"/>
      <c r="AH101" s="651" t="s">
        <v>412</v>
      </c>
      <c r="AI101" s="651">
        <v>10</v>
      </c>
      <c r="AJ101" s="654"/>
      <c r="AK101" s="651">
        <v>59</v>
      </c>
      <c r="AL101" s="654"/>
      <c r="AM101" s="654"/>
      <c r="AN101" s="651">
        <v>55</v>
      </c>
      <c r="AO101" s="654"/>
      <c r="AP101" s="654"/>
      <c r="AQ101" s="654"/>
      <c r="AR101" s="651">
        <v>195</v>
      </c>
    </row>
    <row r="102" spans="2:44" ht="15.75" thickBot="1" x14ac:dyDescent="0.3">
      <c r="AG102" s="650"/>
      <c r="AH102" s="652"/>
      <c r="AI102" s="654"/>
      <c r="AJ102" s="652"/>
      <c r="AK102" s="654"/>
      <c r="AL102" s="652"/>
      <c r="AM102" s="652"/>
      <c r="AN102" s="654"/>
      <c r="AO102" s="652"/>
      <c r="AP102" s="652"/>
      <c r="AQ102" s="652"/>
      <c r="AR102" s="652"/>
    </row>
    <row r="103" spans="2:44" ht="15.75" thickBot="1" x14ac:dyDescent="0.3">
      <c r="AG103" s="649" t="s">
        <v>417</v>
      </c>
      <c r="AH103" s="81">
        <v>2</v>
      </c>
      <c r="AI103" s="652"/>
      <c r="AJ103" s="651">
        <v>10</v>
      </c>
      <c r="AK103" s="652"/>
      <c r="AL103" s="651">
        <v>25</v>
      </c>
      <c r="AM103" s="651">
        <v>425</v>
      </c>
      <c r="AN103" s="652"/>
      <c r="AO103" s="651">
        <v>19</v>
      </c>
      <c r="AP103" s="651">
        <v>55</v>
      </c>
      <c r="AQ103" s="651">
        <v>59</v>
      </c>
      <c r="AR103" s="81">
        <v>255</v>
      </c>
    </row>
    <row r="104" spans="2:44" x14ac:dyDescent="0.25">
      <c r="AG104" s="653"/>
      <c r="AH104" s="651" t="s">
        <v>412</v>
      </c>
      <c r="AI104" s="651">
        <v>11</v>
      </c>
      <c r="AJ104" s="654"/>
      <c r="AK104" s="651">
        <v>64</v>
      </c>
      <c r="AL104" s="654"/>
      <c r="AM104" s="654"/>
      <c r="AN104" s="651">
        <v>60</v>
      </c>
      <c r="AO104" s="654"/>
      <c r="AP104" s="654"/>
      <c r="AQ104" s="654"/>
      <c r="AR104" s="651">
        <v>270</v>
      </c>
    </row>
    <row r="105" spans="2:44" ht="15.75" thickBot="1" x14ac:dyDescent="0.3">
      <c r="AG105" s="650"/>
      <c r="AH105" s="652"/>
      <c r="AI105" s="652"/>
      <c r="AJ105" s="654"/>
      <c r="AK105" s="652"/>
      <c r="AL105" s="654"/>
      <c r="AM105" s="654"/>
      <c r="AN105" s="652"/>
      <c r="AO105" s="654"/>
      <c r="AP105" s="654"/>
      <c r="AQ105" s="654"/>
      <c r="AR105" s="652"/>
    </row>
    <row r="106" spans="2:44" ht="15.75" thickBot="1" x14ac:dyDescent="0.3">
      <c r="AG106" s="649" t="s">
        <v>359</v>
      </c>
      <c r="AH106" s="81">
        <v>2</v>
      </c>
      <c r="AI106" s="81">
        <v>10</v>
      </c>
      <c r="AJ106" s="654"/>
      <c r="AK106" s="81">
        <v>59</v>
      </c>
      <c r="AL106" s="654"/>
      <c r="AM106" s="654"/>
      <c r="AN106" s="81">
        <v>55</v>
      </c>
      <c r="AO106" s="654"/>
      <c r="AP106" s="654"/>
      <c r="AQ106" s="654"/>
      <c r="AR106" s="81">
        <v>280</v>
      </c>
    </row>
    <row r="107" spans="2:44" ht="15.75" thickBot="1" x14ac:dyDescent="0.3">
      <c r="AG107" s="650"/>
      <c r="AH107" s="81" t="s">
        <v>412</v>
      </c>
      <c r="AI107" s="81">
        <v>11</v>
      </c>
      <c r="AJ107" s="654"/>
      <c r="AK107" s="81">
        <v>64</v>
      </c>
      <c r="AL107" s="652"/>
      <c r="AM107" s="652"/>
      <c r="AN107" s="81">
        <v>60</v>
      </c>
      <c r="AO107" s="654"/>
      <c r="AP107" s="654"/>
      <c r="AQ107" s="654"/>
      <c r="AR107" s="81">
        <v>310</v>
      </c>
    </row>
    <row r="108" spans="2:44" x14ac:dyDescent="0.25">
      <c r="AG108" s="649" t="s">
        <v>418</v>
      </c>
      <c r="AH108" s="651">
        <v>2</v>
      </c>
      <c r="AI108" s="651">
        <v>10</v>
      </c>
      <c r="AJ108" s="654"/>
      <c r="AK108" s="651">
        <v>59</v>
      </c>
      <c r="AL108" s="651">
        <v>28</v>
      </c>
      <c r="AM108" s="651">
        <v>480</v>
      </c>
      <c r="AN108" s="651">
        <v>55</v>
      </c>
      <c r="AO108" s="654"/>
      <c r="AP108" s="654"/>
      <c r="AQ108" s="654"/>
      <c r="AR108" s="651">
        <v>355</v>
      </c>
    </row>
    <row r="109" spans="2:44" ht="15.75" thickBot="1" x14ac:dyDescent="0.3">
      <c r="AG109" s="653"/>
      <c r="AH109" s="652"/>
      <c r="AI109" s="652"/>
      <c r="AJ109" s="652"/>
      <c r="AK109" s="652"/>
      <c r="AL109" s="654"/>
      <c r="AM109" s="654"/>
      <c r="AN109" s="652"/>
      <c r="AO109" s="654"/>
      <c r="AP109" s="652"/>
      <c r="AQ109" s="652"/>
      <c r="AR109" s="654"/>
    </row>
    <row r="110" spans="2:44" x14ac:dyDescent="0.25">
      <c r="AG110" s="653"/>
      <c r="AH110" s="651" t="s">
        <v>412</v>
      </c>
      <c r="AI110" s="651">
        <v>11</v>
      </c>
      <c r="AJ110" s="651">
        <v>11</v>
      </c>
      <c r="AK110" s="651">
        <v>69</v>
      </c>
      <c r="AL110" s="654"/>
      <c r="AM110" s="654"/>
      <c r="AN110" s="651">
        <v>65</v>
      </c>
      <c r="AO110" s="654"/>
      <c r="AP110" s="651">
        <v>60</v>
      </c>
      <c r="AQ110" s="651">
        <v>64</v>
      </c>
      <c r="AR110" s="654"/>
    </row>
    <row r="111" spans="2:44" ht="15.75" thickBot="1" x14ac:dyDescent="0.3">
      <c r="AG111" s="650"/>
      <c r="AH111" s="652"/>
      <c r="AI111" s="654"/>
      <c r="AJ111" s="654"/>
      <c r="AK111" s="654"/>
      <c r="AL111" s="652"/>
      <c r="AM111" s="652"/>
      <c r="AN111" s="654"/>
      <c r="AO111" s="652"/>
      <c r="AP111" s="652"/>
      <c r="AQ111" s="652"/>
      <c r="AR111" s="652"/>
    </row>
    <row r="112" spans="2:44" ht="15.75" thickBot="1" x14ac:dyDescent="0.3">
      <c r="AG112" s="649" t="s">
        <v>361</v>
      </c>
      <c r="AH112" s="81">
        <v>2</v>
      </c>
      <c r="AI112" s="652"/>
      <c r="AJ112" s="652"/>
      <c r="AK112" s="652"/>
      <c r="AL112" s="651">
        <v>30</v>
      </c>
      <c r="AM112" s="651">
        <v>530</v>
      </c>
      <c r="AN112" s="652"/>
      <c r="AO112" s="651">
        <v>24</v>
      </c>
      <c r="AP112" s="81">
        <v>65</v>
      </c>
      <c r="AQ112" s="81">
        <v>69</v>
      </c>
      <c r="AR112" s="81">
        <v>470</v>
      </c>
    </row>
    <row r="113" spans="33:44" x14ac:dyDescent="0.25">
      <c r="AG113" s="653"/>
      <c r="AH113" s="651" t="s">
        <v>419</v>
      </c>
      <c r="AI113" s="651">
        <v>12</v>
      </c>
      <c r="AJ113" s="651">
        <v>12</v>
      </c>
      <c r="AK113" s="651">
        <v>79.5</v>
      </c>
      <c r="AL113" s="654"/>
      <c r="AM113" s="654"/>
      <c r="AN113" s="651">
        <v>75</v>
      </c>
      <c r="AO113" s="654"/>
      <c r="AP113" s="651">
        <v>70</v>
      </c>
      <c r="AQ113" s="651">
        <v>74.5</v>
      </c>
      <c r="AR113" s="651">
        <v>490</v>
      </c>
    </row>
    <row r="114" spans="33:44" ht="15.75" thickBot="1" x14ac:dyDescent="0.3">
      <c r="AG114" s="650"/>
      <c r="AH114" s="652"/>
      <c r="AI114" s="652"/>
      <c r="AJ114" s="652"/>
      <c r="AK114" s="652"/>
      <c r="AL114" s="654"/>
      <c r="AM114" s="654"/>
      <c r="AN114" s="652"/>
      <c r="AO114" s="654"/>
      <c r="AP114" s="652"/>
      <c r="AQ114" s="652"/>
      <c r="AR114" s="652"/>
    </row>
    <row r="115" spans="33:44" ht="15.75" thickBot="1" x14ac:dyDescent="0.3">
      <c r="AG115" s="649" t="s">
        <v>420</v>
      </c>
      <c r="AH115" s="81">
        <v>2</v>
      </c>
      <c r="AI115" s="81">
        <v>11</v>
      </c>
      <c r="AJ115" s="81">
        <v>11</v>
      </c>
      <c r="AK115" s="81">
        <v>69</v>
      </c>
      <c r="AL115" s="654"/>
      <c r="AM115" s="654"/>
      <c r="AN115" s="81">
        <v>65</v>
      </c>
      <c r="AO115" s="654"/>
      <c r="AP115" s="81">
        <v>65</v>
      </c>
      <c r="AQ115" s="81">
        <v>69</v>
      </c>
      <c r="AR115" s="81">
        <v>510</v>
      </c>
    </row>
    <row r="116" spans="33:44" ht="15.75" thickBot="1" x14ac:dyDescent="0.3">
      <c r="AG116" s="650"/>
      <c r="AH116" s="81" t="s">
        <v>412</v>
      </c>
      <c r="AI116" s="81">
        <v>12</v>
      </c>
      <c r="AJ116" s="81">
        <v>12</v>
      </c>
      <c r="AK116" s="81">
        <v>79.5</v>
      </c>
      <c r="AL116" s="652"/>
      <c r="AM116" s="652"/>
      <c r="AN116" s="81">
        <v>75</v>
      </c>
      <c r="AO116" s="652"/>
      <c r="AP116" s="81">
        <v>70</v>
      </c>
      <c r="AQ116" s="81">
        <v>74.5</v>
      </c>
      <c r="AR116" s="81">
        <v>535</v>
      </c>
    </row>
    <row r="168" spans="2:66" ht="15.75" thickBot="1" x14ac:dyDescent="0.3"/>
    <row r="169" spans="2:66" ht="37.5" customHeight="1" thickBot="1" x14ac:dyDescent="0.3">
      <c r="B169" s="686" t="s">
        <v>496</v>
      </c>
      <c r="C169" s="689" t="s">
        <v>422</v>
      </c>
      <c r="D169" s="690"/>
      <c r="E169" s="690"/>
      <c r="F169" s="690"/>
      <c r="G169" s="690"/>
      <c r="H169" s="690"/>
      <c r="I169" s="690"/>
      <c r="J169" s="690"/>
      <c r="K169" s="690"/>
      <c r="L169" s="690"/>
      <c r="M169" s="690"/>
      <c r="N169" s="690"/>
      <c r="O169" s="690"/>
      <c r="P169" s="691"/>
      <c r="AC169" s="695" t="s">
        <v>524</v>
      </c>
      <c r="AD169" s="692" t="s">
        <v>422</v>
      </c>
      <c r="AE169" s="693"/>
      <c r="AF169" s="693"/>
      <c r="AG169" s="693"/>
      <c r="AH169" s="693"/>
      <c r="AI169" s="693"/>
      <c r="AJ169" s="693"/>
      <c r="AK169" s="693"/>
      <c r="AL169" s="693"/>
      <c r="AM169" s="693"/>
      <c r="AN169" s="694"/>
      <c r="AQ169" s="695" t="s">
        <v>524</v>
      </c>
      <c r="AR169" s="692" t="s">
        <v>422</v>
      </c>
      <c r="AS169" s="693"/>
      <c r="AT169" s="693"/>
      <c r="AU169" s="693"/>
      <c r="AV169" s="693"/>
      <c r="AW169" s="693"/>
      <c r="AX169" s="693"/>
      <c r="AY169" s="693"/>
      <c r="AZ169" s="693"/>
      <c r="BA169" s="694"/>
      <c r="BD169" s="704" t="s">
        <v>496</v>
      </c>
      <c r="BE169" s="701" t="s">
        <v>422</v>
      </c>
      <c r="BF169" s="702"/>
      <c r="BG169" s="702"/>
      <c r="BH169" s="702"/>
      <c r="BI169" s="702"/>
      <c r="BJ169" s="703"/>
      <c r="BK169" s="704" t="s">
        <v>532</v>
      </c>
      <c r="BL169" s="701" t="s">
        <v>533</v>
      </c>
      <c r="BM169" s="703"/>
      <c r="BN169" s="704" t="s">
        <v>516</v>
      </c>
    </row>
    <row r="170" spans="2:66" ht="15.75" customHeight="1" thickBot="1" x14ac:dyDescent="0.3">
      <c r="B170" s="687"/>
      <c r="C170" s="689" t="s">
        <v>168</v>
      </c>
      <c r="D170" s="690"/>
      <c r="E170" s="690"/>
      <c r="F170" s="690"/>
      <c r="G170" s="690"/>
      <c r="H170" s="690"/>
      <c r="I170" s="690"/>
      <c r="J170" s="690"/>
      <c r="K170" s="691"/>
      <c r="L170" s="689" t="s">
        <v>169</v>
      </c>
      <c r="M170" s="690"/>
      <c r="N170" s="690"/>
      <c r="O170" s="690"/>
      <c r="P170" s="691"/>
      <c r="AC170" s="696"/>
      <c r="AD170" s="692" t="s">
        <v>168</v>
      </c>
      <c r="AE170" s="693"/>
      <c r="AF170" s="693"/>
      <c r="AG170" s="693"/>
      <c r="AH170" s="693"/>
      <c r="AI170" s="693"/>
      <c r="AJ170" s="693"/>
      <c r="AK170" s="693"/>
      <c r="AL170" s="693"/>
      <c r="AM170" s="693"/>
      <c r="AN170" s="694"/>
      <c r="AQ170" s="696"/>
      <c r="AR170" s="692" t="s">
        <v>168</v>
      </c>
      <c r="AS170" s="693"/>
      <c r="AT170" s="694"/>
      <c r="AU170" s="692" t="s">
        <v>169</v>
      </c>
      <c r="AV170" s="693"/>
      <c r="AW170" s="693"/>
      <c r="AX170" s="693"/>
      <c r="AY170" s="693"/>
      <c r="AZ170" s="693"/>
      <c r="BA170" s="694"/>
      <c r="BD170" s="705"/>
      <c r="BE170" s="701" t="s">
        <v>517</v>
      </c>
      <c r="BF170" s="702"/>
      <c r="BG170" s="702"/>
      <c r="BH170" s="702"/>
      <c r="BI170" s="702"/>
      <c r="BJ170" s="703"/>
      <c r="BK170" s="705"/>
      <c r="BL170" s="704" t="s">
        <v>534</v>
      </c>
      <c r="BM170" s="704" t="s">
        <v>535</v>
      </c>
      <c r="BN170" s="705"/>
    </row>
    <row r="171" spans="2:66" ht="15.75" thickBot="1" x14ac:dyDescent="0.3">
      <c r="B171" s="688"/>
      <c r="C171" s="83" t="s">
        <v>423</v>
      </c>
      <c r="D171" s="83" t="s">
        <v>424</v>
      </c>
      <c r="E171" s="83" t="s">
        <v>425</v>
      </c>
      <c r="F171" s="83" t="s">
        <v>426</v>
      </c>
      <c r="G171" s="83" t="s">
        <v>427</v>
      </c>
      <c r="H171" s="83" t="s">
        <v>429</v>
      </c>
      <c r="I171" s="83" t="s">
        <v>430</v>
      </c>
      <c r="J171" s="83" t="s">
        <v>497</v>
      </c>
      <c r="K171" s="83" t="s">
        <v>498</v>
      </c>
      <c r="L171" s="83" t="s">
        <v>424</v>
      </c>
      <c r="M171" s="83" t="s">
        <v>499</v>
      </c>
      <c r="N171" s="83" t="s">
        <v>500</v>
      </c>
      <c r="O171" s="83" t="s">
        <v>501</v>
      </c>
      <c r="P171" s="83" t="s">
        <v>502</v>
      </c>
      <c r="AC171" s="697"/>
      <c r="AD171" s="88" t="s">
        <v>423</v>
      </c>
      <c r="AE171" s="88" t="s">
        <v>424</v>
      </c>
      <c r="AF171" s="88" t="s">
        <v>425</v>
      </c>
      <c r="AG171" s="88" t="s">
        <v>426</v>
      </c>
      <c r="AH171" s="88" t="s">
        <v>427</v>
      </c>
      <c r="AI171" s="88" t="s">
        <v>428</v>
      </c>
      <c r="AJ171" s="88" t="s">
        <v>429</v>
      </c>
      <c r="AK171" s="88" t="s">
        <v>430</v>
      </c>
      <c r="AL171" s="88" t="s">
        <v>431</v>
      </c>
      <c r="AM171" s="88" t="s">
        <v>432</v>
      </c>
      <c r="AN171" s="88" t="s">
        <v>433</v>
      </c>
      <c r="AQ171" s="697"/>
      <c r="AR171" s="88" t="s">
        <v>525</v>
      </c>
      <c r="AS171" s="88" t="s">
        <v>498</v>
      </c>
      <c r="AT171" s="88" t="s">
        <v>523</v>
      </c>
      <c r="AU171" s="88" t="s">
        <v>526</v>
      </c>
      <c r="AV171" s="88" t="s">
        <v>499</v>
      </c>
      <c r="AW171" s="88" t="s">
        <v>500</v>
      </c>
      <c r="AX171" s="88" t="s">
        <v>501</v>
      </c>
      <c r="AY171" s="88" t="s">
        <v>502</v>
      </c>
      <c r="AZ171" s="88" t="s">
        <v>527</v>
      </c>
      <c r="BA171" s="88" t="s">
        <v>528</v>
      </c>
      <c r="BD171" s="706"/>
      <c r="BE171" s="90" t="s">
        <v>536</v>
      </c>
      <c r="BF171" s="90" t="s">
        <v>537</v>
      </c>
      <c r="BG171" s="90" t="s">
        <v>538</v>
      </c>
      <c r="BH171" s="90" t="s">
        <v>539</v>
      </c>
      <c r="BI171" s="90" t="s">
        <v>540</v>
      </c>
      <c r="BJ171" s="90" t="s">
        <v>541</v>
      </c>
      <c r="BK171" s="706"/>
      <c r="BL171" s="706"/>
      <c r="BM171" s="706"/>
      <c r="BN171" s="706"/>
    </row>
    <row r="172" spans="2:66" ht="15.75" thickBot="1" x14ac:dyDescent="0.3">
      <c r="B172" s="84" t="s">
        <v>503</v>
      </c>
      <c r="C172" s="686">
        <v>89</v>
      </c>
      <c r="D172" s="686">
        <v>89</v>
      </c>
      <c r="E172" s="686">
        <v>84</v>
      </c>
      <c r="F172" s="686">
        <v>80</v>
      </c>
      <c r="G172" s="686">
        <v>48</v>
      </c>
      <c r="H172" s="83">
        <v>47</v>
      </c>
      <c r="I172" s="686">
        <v>32</v>
      </c>
      <c r="J172" s="686">
        <v>28</v>
      </c>
      <c r="K172" s="686">
        <v>14</v>
      </c>
      <c r="L172" s="686">
        <v>47.5</v>
      </c>
      <c r="M172" s="686">
        <v>17</v>
      </c>
      <c r="N172" s="686">
        <v>17</v>
      </c>
      <c r="O172" s="83">
        <v>47</v>
      </c>
      <c r="P172" s="686">
        <v>18</v>
      </c>
      <c r="AC172" s="87" t="s">
        <v>434</v>
      </c>
      <c r="AD172" s="695">
        <v>116</v>
      </c>
      <c r="AE172" s="695">
        <v>116</v>
      </c>
      <c r="AF172" s="695">
        <v>102</v>
      </c>
      <c r="AG172" s="695">
        <v>70</v>
      </c>
      <c r="AH172" s="695">
        <v>65</v>
      </c>
      <c r="AI172" s="695" t="s">
        <v>435</v>
      </c>
      <c r="AJ172" s="88">
        <v>65</v>
      </c>
      <c r="AK172" s="695">
        <v>42</v>
      </c>
      <c r="AL172" s="695">
        <v>42</v>
      </c>
      <c r="AM172" s="695">
        <v>10</v>
      </c>
      <c r="AN172" s="695">
        <v>10</v>
      </c>
      <c r="AQ172" s="87" t="s">
        <v>434</v>
      </c>
      <c r="AR172" s="695">
        <v>10</v>
      </c>
      <c r="AS172" s="695">
        <v>13</v>
      </c>
      <c r="AT172" s="695">
        <v>4</v>
      </c>
      <c r="AU172" s="695">
        <v>64.3</v>
      </c>
      <c r="AV172" s="695">
        <v>27</v>
      </c>
      <c r="AW172" s="695">
        <v>27</v>
      </c>
      <c r="AX172" s="88">
        <v>65</v>
      </c>
      <c r="AY172" s="695">
        <v>22</v>
      </c>
      <c r="AZ172" s="695">
        <v>5</v>
      </c>
      <c r="BA172" s="695">
        <v>29.1</v>
      </c>
      <c r="BD172" s="91" t="s">
        <v>434</v>
      </c>
      <c r="BE172" s="704">
        <v>134</v>
      </c>
      <c r="BF172" s="704">
        <v>25</v>
      </c>
      <c r="BG172" s="704">
        <v>25</v>
      </c>
      <c r="BH172" s="704">
        <v>30</v>
      </c>
      <c r="BI172" s="704">
        <v>49</v>
      </c>
      <c r="BJ172" s="704">
        <v>25</v>
      </c>
      <c r="BK172" s="704">
        <v>3.6999999999999998E-2</v>
      </c>
      <c r="BL172" s="704">
        <v>2.5000000000000001E-3</v>
      </c>
      <c r="BM172" s="704">
        <v>3.5000000000000001E-3</v>
      </c>
      <c r="BN172" s="90">
        <v>5.7</v>
      </c>
    </row>
    <row r="173" spans="2:66" ht="15.75" thickBot="1" x14ac:dyDescent="0.3">
      <c r="B173" s="84" t="s">
        <v>504</v>
      </c>
      <c r="C173" s="687"/>
      <c r="D173" s="687"/>
      <c r="E173" s="687"/>
      <c r="F173" s="687"/>
      <c r="G173" s="688"/>
      <c r="H173" s="83">
        <v>56</v>
      </c>
      <c r="I173" s="688"/>
      <c r="J173" s="688"/>
      <c r="K173" s="687"/>
      <c r="L173" s="688"/>
      <c r="M173" s="687"/>
      <c r="N173" s="687"/>
      <c r="O173" s="83">
        <v>56</v>
      </c>
      <c r="P173" s="687"/>
      <c r="AC173" s="87" t="s">
        <v>436</v>
      </c>
      <c r="AD173" s="696"/>
      <c r="AE173" s="696"/>
      <c r="AF173" s="696"/>
      <c r="AG173" s="697"/>
      <c r="AH173" s="697"/>
      <c r="AI173" s="696"/>
      <c r="AJ173" s="88">
        <v>74</v>
      </c>
      <c r="AK173" s="697"/>
      <c r="AL173" s="697"/>
      <c r="AM173" s="696"/>
      <c r="AN173" s="696"/>
      <c r="AQ173" s="87" t="s">
        <v>436</v>
      </c>
      <c r="AR173" s="696"/>
      <c r="AS173" s="696"/>
      <c r="AT173" s="696"/>
      <c r="AU173" s="697"/>
      <c r="AV173" s="696"/>
      <c r="AW173" s="696"/>
      <c r="AX173" s="88">
        <v>74</v>
      </c>
      <c r="AY173" s="696"/>
      <c r="AZ173" s="696"/>
      <c r="BA173" s="696"/>
      <c r="BD173" s="91" t="s">
        <v>436</v>
      </c>
      <c r="BE173" s="705"/>
      <c r="BF173" s="705"/>
      <c r="BG173" s="705"/>
      <c r="BH173" s="705"/>
      <c r="BI173" s="705"/>
      <c r="BJ173" s="705"/>
      <c r="BK173" s="706"/>
      <c r="BL173" s="705"/>
      <c r="BM173" s="705"/>
      <c r="BN173" s="90">
        <v>6.4</v>
      </c>
    </row>
    <row r="174" spans="2:66" ht="15.75" thickBot="1" x14ac:dyDescent="0.3">
      <c r="B174" s="84" t="s">
        <v>505</v>
      </c>
      <c r="C174" s="687"/>
      <c r="D174" s="687"/>
      <c r="E174" s="687"/>
      <c r="F174" s="687"/>
      <c r="G174" s="686">
        <v>55</v>
      </c>
      <c r="H174" s="83">
        <v>47</v>
      </c>
      <c r="I174" s="686">
        <v>28</v>
      </c>
      <c r="J174" s="686">
        <v>24</v>
      </c>
      <c r="K174" s="687"/>
      <c r="L174" s="686">
        <v>54.5</v>
      </c>
      <c r="M174" s="687"/>
      <c r="N174" s="687"/>
      <c r="O174" s="83">
        <v>47</v>
      </c>
      <c r="P174" s="687"/>
      <c r="AC174" s="87" t="s">
        <v>437</v>
      </c>
      <c r="AD174" s="696"/>
      <c r="AE174" s="696"/>
      <c r="AF174" s="696"/>
      <c r="AG174" s="695">
        <v>75</v>
      </c>
      <c r="AH174" s="695">
        <v>70</v>
      </c>
      <c r="AI174" s="696"/>
      <c r="AJ174" s="88">
        <v>65</v>
      </c>
      <c r="AK174" s="695">
        <v>40</v>
      </c>
      <c r="AL174" s="695">
        <v>40</v>
      </c>
      <c r="AM174" s="696"/>
      <c r="AN174" s="696"/>
      <c r="AQ174" s="87" t="s">
        <v>437</v>
      </c>
      <c r="AR174" s="696"/>
      <c r="AS174" s="696"/>
      <c r="AT174" s="696"/>
      <c r="AU174" s="695">
        <v>69.5</v>
      </c>
      <c r="AV174" s="696"/>
      <c r="AW174" s="696"/>
      <c r="AX174" s="88">
        <v>65</v>
      </c>
      <c r="AY174" s="696"/>
      <c r="AZ174" s="696"/>
      <c r="BA174" s="696"/>
      <c r="BD174" s="91" t="s">
        <v>437</v>
      </c>
      <c r="BE174" s="705"/>
      <c r="BF174" s="705"/>
      <c r="BG174" s="705"/>
      <c r="BH174" s="705"/>
      <c r="BI174" s="705"/>
      <c r="BJ174" s="705"/>
      <c r="BK174" s="704">
        <v>1.7999999999999999E-2</v>
      </c>
      <c r="BL174" s="705"/>
      <c r="BM174" s="705"/>
      <c r="BN174" s="90">
        <v>5.4</v>
      </c>
    </row>
    <row r="175" spans="2:66" ht="15.75" thickBot="1" x14ac:dyDescent="0.3">
      <c r="B175" s="84" t="s">
        <v>506</v>
      </c>
      <c r="C175" s="688"/>
      <c r="D175" s="688"/>
      <c r="E175" s="688"/>
      <c r="F175" s="688"/>
      <c r="G175" s="688"/>
      <c r="H175" s="686">
        <v>56</v>
      </c>
      <c r="I175" s="688"/>
      <c r="J175" s="688"/>
      <c r="K175" s="687"/>
      <c r="L175" s="688"/>
      <c r="M175" s="688"/>
      <c r="N175" s="688"/>
      <c r="O175" s="686">
        <v>56</v>
      </c>
      <c r="P175" s="688"/>
      <c r="AC175" s="87" t="s">
        <v>438</v>
      </c>
      <c r="AD175" s="697"/>
      <c r="AE175" s="697"/>
      <c r="AF175" s="697"/>
      <c r="AG175" s="697"/>
      <c r="AH175" s="697"/>
      <c r="AI175" s="696"/>
      <c r="AJ175" s="88">
        <v>74</v>
      </c>
      <c r="AK175" s="697"/>
      <c r="AL175" s="697"/>
      <c r="AM175" s="697"/>
      <c r="AN175" s="697"/>
      <c r="AQ175" s="87" t="s">
        <v>438</v>
      </c>
      <c r="AR175" s="697"/>
      <c r="AS175" s="697"/>
      <c r="AT175" s="697"/>
      <c r="AU175" s="697"/>
      <c r="AV175" s="697"/>
      <c r="AW175" s="697"/>
      <c r="AX175" s="88">
        <v>74</v>
      </c>
      <c r="AY175" s="697"/>
      <c r="AZ175" s="697"/>
      <c r="BA175" s="697"/>
      <c r="BD175" s="91" t="s">
        <v>438</v>
      </c>
      <c r="BE175" s="706"/>
      <c r="BF175" s="706"/>
      <c r="BG175" s="706"/>
      <c r="BH175" s="706"/>
      <c r="BI175" s="706"/>
      <c r="BJ175" s="706"/>
      <c r="BK175" s="706"/>
      <c r="BL175" s="706"/>
      <c r="BM175" s="706"/>
      <c r="BN175" s="90">
        <v>6.2</v>
      </c>
    </row>
    <row r="176" spans="2:66" ht="15.75" thickBot="1" x14ac:dyDescent="0.3">
      <c r="B176" s="84" t="s">
        <v>507</v>
      </c>
      <c r="C176" s="686">
        <v>100</v>
      </c>
      <c r="D176" s="686">
        <v>100</v>
      </c>
      <c r="E176" s="686">
        <v>95</v>
      </c>
      <c r="F176" s="686">
        <v>90</v>
      </c>
      <c r="G176" s="686">
        <v>54</v>
      </c>
      <c r="H176" s="688"/>
      <c r="I176" s="686">
        <v>35</v>
      </c>
      <c r="J176" s="686">
        <v>31</v>
      </c>
      <c r="K176" s="687"/>
      <c r="L176" s="686">
        <v>53.4</v>
      </c>
      <c r="M176" s="686">
        <v>20</v>
      </c>
      <c r="N176" s="686">
        <v>20</v>
      </c>
      <c r="O176" s="688"/>
      <c r="P176" s="686">
        <v>20</v>
      </c>
      <c r="AC176" s="87" t="s">
        <v>439</v>
      </c>
      <c r="AD176" s="695">
        <v>116</v>
      </c>
      <c r="AE176" s="695">
        <v>116</v>
      </c>
      <c r="AF176" s="695">
        <v>102</v>
      </c>
      <c r="AG176" s="695">
        <v>82</v>
      </c>
      <c r="AH176" s="695">
        <v>76</v>
      </c>
      <c r="AI176" s="696"/>
      <c r="AJ176" s="88">
        <v>65</v>
      </c>
      <c r="AK176" s="695">
        <v>37</v>
      </c>
      <c r="AL176" s="695">
        <v>37</v>
      </c>
      <c r="AM176" s="695">
        <v>10</v>
      </c>
      <c r="AN176" s="695">
        <v>10</v>
      </c>
      <c r="AQ176" s="87" t="s">
        <v>439</v>
      </c>
      <c r="AR176" s="695">
        <v>10</v>
      </c>
      <c r="AS176" s="695">
        <v>13</v>
      </c>
      <c r="AT176" s="695">
        <v>4</v>
      </c>
      <c r="AU176" s="695">
        <v>75.5</v>
      </c>
      <c r="AV176" s="695">
        <v>27</v>
      </c>
      <c r="AW176" s="695">
        <v>27</v>
      </c>
      <c r="AX176" s="88">
        <v>65</v>
      </c>
      <c r="AY176" s="695">
        <v>16</v>
      </c>
      <c r="AZ176" s="695">
        <v>5</v>
      </c>
      <c r="BA176" s="695">
        <v>29.1</v>
      </c>
      <c r="BD176" s="91" t="s">
        <v>439</v>
      </c>
      <c r="BE176" s="704">
        <v>134</v>
      </c>
      <c r="BF176" s="704">
        <v>25</v>
      </c>
      <c r="BG176" s="704">
        <v>25</v>
      </c>
      <c r="BH176" s="704">
        <v>30</v>
      </c>
      <c r="BI176" s="704">
        <v>49</v>
      </c>
      <c r="BJ176" s="704">
        <v>25</v>
      </c>
      <c r="BK176" s="704">
        <v>1.2E-2</v>
      </c>
      <c r="BL176" s="704">
        <v>2.5000000000000001E-3</v>
      </c>
      <c r="BM176" s="704">
        <v>3.5000000000000001E-3</v>
      </c>
      <c r="BN176" s="90">
        <v>5.5</v>
      </c>
    </row>
    <row r="177" spans="2:66" ht="15.75" thickBot="1" x14ac:dyDescent="0.3">
      <c r="B177" s="84" t="s">
        <v>508</v>
      </c>
      <c r="C177" s="687"/>
      <c r="D177" s="687"/>
      <c r="E177" s="687"/>
      <c r="F177" s="687"/>
      <c r="G177" s="688"/>
      <c r="H177" s="83">
        <v>65</v>
      </c>
      <c r="I177" s="688"/>
      <c r="J177" s="688"/>
      <c r="K177" s="687"/>
      <c r="L177" s="688"/>
      <c r="M177" s="687"/>
      <c r="N177" s="687"/>
      <c r="O177" s="83">
        <v>65</v>
      </c>
      <c r="P177" s="687"/>
      <c r="AC177" s="87" t="s">
        <v>440</v>
      </c>
      <c r="AD177" s="696"/>
      <c r="AE177" s="696"/>
      <c r="AF177" s="696"/>
      <c r="AG177" s="696"/>
      <c r="AH177" s="696"/>
      <c r="AI177" s="696"/>
      <c r="AJ177" s="88">
        <v>90</v>
      </c>
      <c r="AK177" s="697"/>
      <c r="AL177" s="697"/>
      <c r="AM177" s="696"/>
      <c r="AN177" s="696"/>
      <c r="AQ177" s="87" t="s">
        <v>440</v>
      </c>
      <c r="AR177" s="696"/>
      <c r="AS177" s="696"/>
      <c r="AT177" s="696"/>
      <c r="AU177" s="696"/>
      <c r="AV177" s="696"/>
      <c r="AW177" s="696"/>
      <c r="AX177" s="88">
        <v>90</v>
      </c>
      <c r="AY177" s="696"/>
      <c r="AZ177" s="696"/>
      <c r="BA177" s="696"/>
      <c r="BD177" s="91" t="s">
        <v>440</v>
      </c>
      <c r="BE177" s="705"/>
      <c r="BF177" s="705"/>
      <c r="BG177" s="705"/>
      <c r="BH177" s="705"/>
      <c r="BI177" s="705"/>
      <c r="BJ177" s="705"/>
      <c r="BK177" s="706"/>
      <c r="BL177" s="705"/>
      <c r="BM177" s="705"/>
      <c r="BN177" s="90">
        <v>6.8</v>
      </c>
    </row>
    <row r="178" spans="2:66" ht="15.75" thickBot="1" x14ac:dyDescent="0.3">
      <c r="B178" s="84" t="s">
        <v>509</v>
      </c>
      <c r="C178" s="687"/>
      <c r="D178" s="687"/>
      <c r="E178" s="687"/>
      <c r="F178" s="687"/>
      <c r="G178" s="686">
        <v>61</v>
      </c>
      <c r="H178" s="83">
        <v>56</v>
      </c>
      <c r="I178" s="686">
        <v>28</v>
      </c>
      <c r="J178" s="686">
        <v>24</v>
      </c>
      <c r="K178" s="687"/>
      <c r="L178" s="686">
        <v>60.5</v>
      </c>
      <c r="M178" s="687"/>
      <c r="N178" s="687"/>
      <c r="O178" s="83">
        <v>56</v>
      </c>
      <c r="P178" s="687"/>
      <c r="AC178" s="87" t="s">
        <v>441</v>
      </c>
      <c r="AD178" s="697"/>
      <c r="AE178" s="697"/>
      <c r="AF178" s="697"/>
      <c r="AG178" s="697"/>
      <c r="AH178" s="697"/>
      <c r="AI178" s="696"/>
      <c r="AJ178" s="88">
        <v>74</v>
      </c>
      <c r="AK178" s="88">
        <v>35</v>
      </c>
      <c r="AL178" s="88">
        <v>35</v>
      </c>
      <c r="AM178" s="696"/>
      <c r="AN178" s="696"/>
      <c r="AQ178" s="87" t="s">
        <v>441</v>
      </c>
      <c r="AR178" s="696"/>
      <c r="AS178" s="697"/>
      <c r="AT178" s="696"/>
      <c r="AU178" s="697"/>
      <c r="AV178" s="697"/>
      <c r="AW178" s="697"/>
      <c r="AX178" s="88">
        <v>74</v>
      </c>
      <c r="AY178" s="697"/>
      <c r="AZ178" s="697"/>
      <c r="BA178" s="697"/>
      <c r="BD178" s="91" t="s">
        <v>441</v>
      </c>
      <c r="BE178" s="706"/>
      <c r="BF178" s="706"/>
      <c r="BG178" s="706"/>
      <c r="BH178" s="706"/>
      <c r="BI178" s="705"/>
      <c r="BJ178" s="705"/>
      <c r="BK178" s="90">
        <v>8.9999999999999993E-3</v>
      </c>
      <c r="BL178" s="706"/>
      <c r="BM178" s="705"/>
      <c r="BN178" s="90">
        <v>5.7</v>
      </c>
    </row>
    <row r="179" spans="2:66" ht="15.75" thickBot="1" x14ac:dyDescent="0.3">
      <c r="B179" s="84" t="s">
        <v>510</v>
      </c>
      <c r="C179" s="687"/>
      <c r="D179" s="687"/>
      <c r="E179" s="687"/>
      <c r="F179" s="687"/>
      <c r="G179" s="688"/>
      <c r="H179" s="83">
        <v>65</v>
      </c>
      <c r="I179" s="687"/>
      <c r="J179" s="687"/>
      <c r="K179" s="687"/>
      <c r="L179" s="688"/>
      <c r="M179" s="687"/>
      <c r="N179" s="687"/>
      <c r="O179" s="83">
        <v>65</v>
      </c>
      <c r="P179" s="687"/>
      <c r="AC179" s="87" t="s">
        <v>442</v>
      </c>
      <c r="AD179" s="695">
        <v>131</v>
      </c>
      <c r="AE179" s="695">
        <v>131</v>
      </c>
      <c r="AF179" s="695">
        <v>117</v>
      </c>
      <c r="AG179" s="695">
        <v>80</v>
      </c>
      <c r="AH179" s="695">
        <v>74</v>
      </c>
      <c r="AI179" s="696"/>
      <c r="AJ179" s="88">
        <v>78</v>
      </c>
      <c r="AK179" s="695">
        <v>45</v>
      </c>
      <c r="AL179" s="695">
        <v>45</v>
      </c>
      <c r="AM179" s="696"/>
      <c r="AN179" s="696"/>
      <c r="AQ179" s="87" t="s">
        <v>442</v>
      </c>
      <c r="AR179" s="696"/>
      <c r="AS179" s="695">
        <v>10</v>
      </c>
      <c r="AT179" s="696"/>
      <c r="AU179" s="695">
        <v>73.3</v>
      </c>
      <c r="AV179" s="695">
        <v>32</v>
      </c>
      <c r="AW179" s="695">
        <v>32</v>
      </c>
      <c r="AX179" s="88">
        <v>78</v>
      </c>
      <c r="AY179" s="695">
        <v>19</v>
      </c>
      <c r="AZ179" s="695">
        <v>6</v>
      </c>
      <c r="BA179" s="695">
        <v>34.799999999999997</v>
      </c>
      <c r="BD179" s="91" t="s">
        <v>442</v>
      </c>
      <c r="BE179" s="704">
        <v>150</v>
      </c>
      <c r="BF179" s="704">
        <v>30</v>
      </c>
      <c r="BG179" s="704">
        <v>30</v>
      </c>
      <c r="BH179" s="704">
        <v>32.5</v>
      </c>
      <c r="BI179" s="705"/>
      <c r="BJ179" s="705"/>
      <c r="BK179" s="704">
        <v>5.3999999999999999E-2</v>
      </c>
      <c r="BL179" s="704">
        <v>3.0000000000000001E-3</v>
      </c>
      <c r="BM179" s="705"/>
      <c r="BN179" s="90">
        <v>8.1999999999999993</v>
      </c>
    </row>
    <row r="180" spans="2:66" ht="15.75" thickBot="1" x14ac:dyDescent="0.3">
      <c r="B180" s="84" t="s">
        <v>511</v>
      </c>
      <c r="C180" s="687"/>
      <c r="D180" s="687"/>
      <c r="E180" s="687"/>
      <c r="F180" s="687"/>
      <c r="G180" s="686">
        <v>65</v>
      </c>
      <c r="H180" s="83">
        <v>56</v>
      </c>
      <c r="I180" s="687"/>
      <c r="J180" s="687"/>
      <c r="K180" s="687"/>
      <c r="L180" s="686">
        <v>64.5</v>
      </c>
      <c r="M180" s="687"/>
      <c r="N180" s="687"/>
      <c r="O180" s="83">
        <v>56</v>
      </c>
      <c r="P180" s="687"/>
      <c r="AC180" s="87" t="s">
        <v>443</v>
      </c>
      <c r="AD180" s="696"/>
      <c r="AE180" s="696"/>
      <c r="AF180" s="696"/>
      <c r="AG180" s="697"/>
      <c r="AH180" s="697"/>
      <c r="AI180" s="696"/>
      <c r="AJ180" s="88">
        <v>98</v>
      </c>
      <c r="AK180" s="696"/>
      <c r="AL180" s="696"/>
      <c r="AM180" s="696"/>
      <c r="AN180" s="696"/>
      <c r="AQ180" s="87" t="s">
        <v>443</v>
      </c>
      <c r="AR180" s="696"/>
      <c r="AS180" s="696"/>
      <c r="AT180" s="696"/>
      <c r="AU180" s="697"/>
      <c r="AV180" s="696"/>
      <c r="AW180" s="696"/>
      <c r="AX180" s="88">
        <v>98</v>
      </c>
      <c r="AY180" s="697"/>
      <c r="AZ180" s="696"/>
      <c r="BA180" s="696"/>
      <c r="BD180" s="91" t="s">
        <v>443</v>
      </c>
      <c r="BE180" s="705"/>
      <c r="BF180" s="705"/>
      <c r="BG180" s="705"/>
      <c r="BH180" s="705"/>
      <c r="BI180" s="705"/>
      <c r="BJ180" s="705"/>
      <c r="BK180" s="706"/>
      <c r="BL180" s="705"/>
      <c r="BM180" s="705"/>
      <c r="BN180" s="90">
        <v>9.9</v>
      </c>
    </row>
    <row r="181" spans="2:66" ht="15.75" thickBot="1" x14ac:dyDescent="0.3">
      <c r="B181" s="84" t="s">
        <v>512</v>
      </c>
      <c r="C181" s="688"/>
      <c r="D181" s="688"/>
      <c r="E181" s="688"/>
      <c r="F181" s="688"/>
      <c r="G181" s="688"/>
      <c r="H181" s="83">
        <v>65</v>
      </c>
      <c r="I181" s="688"/>
      <c r="J181" s="688"/>
      <c r="K181" s="688"/>
      <c r="L181" s="688"/>
      <c r="M181" s="688"/>
      <c r="N181" s="688"/>
      <c r="O181" s="83">
        <v>65</v>
      </c>
      <c r="P181" s="688"/>
      <c r="AC181" s="87" t="s">
        <v>444</v>
      </c>
      <c r="AD181" s="696"/>
      <c r="AE181" s="696"/>
      <c r="AF181" s="696"/>
      <c r="AG181" s="695">
        <v>90</v>
      </c>
      <c r="AH181" s="695">
        <v>84</v>
      </c>
      <c r="AI181" s="696"/>
      <c r="AJ181" s="88">
        <v>78</v>
      </c>
      <c r="AK181" s="696"/>
      <c r="AL181" s="696"/>
      <c r="AM181" s="696"/>
      <c r="AN181" s="696"/>
      <c r="AQ181" s="87" t="s">
        <v>444</v>
      </c>
      <c r="AR181" s="696"/>
      <c r="AS181" s="696"/>
      <c r="AT181" s="696"/>
      <c r="AU181" s="695">
        <v>83.5</v>
      </c>
      <c r="AV181" s="696"/>
      <c r="AW181" s="696"/>
      <c r="AX181" s="88">
        <v>78</v>
      </c>
      <c r="AY181" s="695">
        <v>20</v>
      </c>
      <c r="AZ181" s="696"/>
      <c r="BA181" s="696"/>
      <c r="BD181" s="91" t="s">
        <v>444</v>
      </c>
      <c r="BE181" s="705"/>
      <c r="BF181" s="705"/>
      <c r="BG181" s="705"/>
      <c r="BH181" s="705"/>
      <c r="BI181" s="705"/>
      <c r="BJ181" s="705"/>
      <c r="BK181" s="704">
        <v>2.7E-2</v>
      </c>
      <c r="BL181" s="705"/>
      <c r="BM181" s="705"/>
      <c r="BN181" s="90">
        <v>8.1999999999999993</v>
      </c>
    </row>
    <row r="182" spans="2:66" ht="15.75" thickBot="1" x14ac:dyDescent="0.3">
      <c r="AC182" s="87" t="s">
        <v>445</v>
      </c>
      <c r="AD182" s="696"/>
      <c r="AE182" s="696"/>
      <c r="AF182" s="696"/>
      <c r="AG182" s="697"/>
      <c r="AH182" s="697"/>
      <c r="AI182" s="696"/>
      <c r="AJ182" s="88">
        <v>98</v>
      </c>
      <c r="AK182" s="696"/>
      <c r="AL182" s="696"/>
      <c r="AM182" s="696"/>
      <c r="AN182" s="696"/>
      <c r="AQ182" s="87" t="s">
        <v>445</v>
      </c>
      <c r="AR182" s="696"/>
      <c r="AS182" s="696"/>
      <c r="AT182" s="696"/>
      <c r="AU182" s="697"/>
      <c r="AV182" s="696"/>
      <c r="AW182" s="696"/>
      <c r="AX182" s="88">
        <v>98</v>
      </c>
      <c r="AY182" s="697"/>
      <c r="AZ182" s="696"/>
      <c r="BA182" s="696"/>
      <c r="BD182" s="91" t="s">
        <v>445</v>
      </c>
      <c r="BE182" s="705"/>
      <c r="BF182" s="705"/>
      <c r="BG182" s="705"/>
      <c r="BH182" s="705"/>
      <c r="BI182" s="705"/>
      <c r="BJ182" s="705"/>
      <c r="BK182" s="706"/>
      <c r="BL182" s="705"/>
      <c r="BM182" s="705"/>
      <c r="BN182" s="90">
        <v>10.1</v>
      </c>
    </row>
    <row r="183" spans="2:66" ht="41.25" customHeight="1" thickBot="1" x14ac:dyDescent="0.3">
      <c r="B183" s="56" t="s">
        <v>513</v>
      </c>
      <c r="C183" s="640" t="s">
        <v>422</v>
      </c>
      <c r="D183" s="641"/>
      <c r="E183" s="641"/>
      <c r="F183" s="642"/>
      <c r="G183" s="643" t="s">
        <v>514</v>
      </c>
      <c r="H183" s="640" t="s">
        <v>515</v>
      </c>
      <c r="I183" s="642"/>
      <c r="J183" s="643" t="s">
        <v>516</v>
      </c>
      <c r="AC183" s="87" t="s">
        <v>446</v>
      </c>
      <c r="AD183" s="696"/>
      <c r="AE183" s="696"/>
      <c r="AF183" s="696"/>
      <c r="AG183" s="695">
        <v>95</v>
      </c>
      <c r="AH183" s="695">
        <v>88</v>
      </c>
      <c r="AI183" s="696"/>
      <c r="AJ183" s="88">
        <v>78</v>
      </c>
      <c r="AK183" s="697"/>
      <c r="AL183" s="697"/>
      <c r="AM183" s="696"/>
      <c r="AN183" s="696"/>
      <c r="AQ183" s="87" t="s">
        <v>446</v>
      </c>
      <c r="AR183" s="696"/>
      <c r="AS183" s="696"/>
      <c r="AT183" s="696"/>
      <c r="AU183" s="695">
        <v>87.5</v>
      </c>
      <c r="AV183" s="696"/>
      <c r="AW183" s="696"/>
      <c r="AX183" s="88">
        <v>78</v>
      </c>
      <c r="AY183" s="695">
        <v>14.5</v>
      </c>
      <c r="AZ183" s="696"/>
      <c r="BA183" s="696"/>
      <c r="BD183" s="91" t="s">
        <v>446</v>
      </c>
      <c r="BE183" s="705"/>
      <c r="BF183" s="705"/>
      <c r="BG183" s="705"/>
      <c r="BH183" s="705"/>
      <c r="BI183" s="705"/>
      <c r="BJ183" s="705"/>
      <c r="BK183" s="704">
        <v>1.7999999999999999E-2</v>
      </c>
      <c r="BL183" s="705"/>
      <c r="BM183" s="705"/>
      <c r="BN183" s="90">
        <v>7.6</v>
      </c>
    </row>
    <row r="184" spans="2:66" ht="15.75" thickBot="1" x14ac:dyDescent="0.3">
      <c r="B184" s="58" t="s">
        <v>421</v>
      </c>
      <c r="C184" s="640" t="s">
        <v>517</v>
      </c>
      <c r="D184" s="641"/>
      <c r="E184" s="641"/>
      <c r="F184" s="642"/>
      <c r="G184" s="645"/>
      <c r="H184" s="643" t="s">
        <v>518</v>
      </c>
      <c r="I184" s="643" t="s">
        <v>519</v>
      </c>
      <c r="J184" s="645"/>
      <c r="AC184" s="87" t="s">
        <v>447</v>
      </c>
      <c r="AD184" s="696"/>
      <c r="AE184" s="696"/>
      <c r="AF184" s="696"/>
      <c r="AG184" s="696"/>
      <c r="AH184" s="696"/>
      <c r="AI184" s="696"/>
      <c r="AJ184" s="88">
        <v>115</v>
      </c>
      <c r="AK184" s="88">
        <v>36.5</v>
      </c>
      <c r="AL184" s="88">
        <v>36.5</v>
      </c>
      <c r="AM184" s="696"/>
      <c r="AN184" s="696"/>
      <c r="AQ184" s="87" t="s">
        <v>447</v>
      </c>
      <c r="AR184" s="696"/>
      <c r="AS184" s="696"/>
      <c r="AT184" s="696"/>
      <c r="AU184" s="696"/>
      <c r="AV184" s="696"/>
      <c r="AW184" s="696"/>
      <c r="AX184" s="88">
        <v>115</v>
      </c>
      <c r="AY184" s="696"/>
      <c r="AZ184" s="696"/>
      <c r="BA184" s="696"/>
      <c r="BD184" s="91" t="s">
        <v>447</v>
      </c>
      <c r="BE184" s="705"/>
      <c r="BF184" s="705"/>
      <c r="BG184" s="705"/>
      <c r="BH184" s="705"/>
      <c r="BI184" s="705"/>
      <c r="BJ184" s="705"/>
      <c r="BK184" s="706"/>
      <c r="BL184" s="705"/>
      <c r="BM184" s="705"/>
      <c r="BN184" s="90">
        <v>10.5</v>
      </c>
    </row>
    <row r="185" spans="2:66" ht="15.75" thickBot="1" x14ac:dyDescent="0.3">
      <c r="B185" s="85"/>
      <c r="C185" s="53" t="s">
        <v>520</v>
      </c>
      <c r="D185" s="53" t="s">
        <v>521</v>
      </c>
      <c r="E185" s="53" t="s">
        <v>522</v>
      </c>
      <c r="F185" s="53" t="s">
        <v>523</v>
      </c>
      <c r="G185" s="644"/>
      <c r="H185" s="644"/>
      <c r="I185" s="644"/>
      <c r="J185" s="644"/>
      <c r="AC185" s="87" t="s">
        <v>448</v>
      </c>
      <c r="AD185" s="696"/>
      <c r="AE185" s="696"/>
      <c r="AF185" s="696"/>
      <c r="AG185" s="696"/>
      <c r="AH185" s="696"/>
      <c r="AI185" s="696"/>
      <c r="AJ185" s="88">
        <v>78</v>
      </c>
      <c r="AK185" s="695">
        <v>45</v>
      </c>
      <c r="AL185" s="695">
        <v>45</v>
      </c>
      <c r="AM185" s="696"/>
      <c r="AN185" s="696"/>
      <c r="AQ185" s="87" t="s">
        <v>448</v>
      </c>
      <c r="AR185" s="696"/>
      <c r="AS185" s="696"/>
      <c r="AT185" s="696"/>
      <c r="AU185" s="696"/>
      <c r="AV185" s="696"/>
      <c r="AW185" s="696"/>
      <c r="AX185" s="88">
        <v>78</v>
      </c>
      <c r="AY185" s="696"/>
      <c r="AZ185" s="696"/>
      <c r="BA185" s="696"/>
      <c r="BD185" s="91" t="s">
        <v>448</v>
      </c>
      <c r="BE185" s="705"/>
      <c r="BF185" s="705"/>
      <c r="BG185" s="705"/>
      <c r="BH185" s="705"/>
      <c r="BI185" s="705"/>
      <c r="BJ185" s="705"/>
      <c r="BK185" s="704">
        <v>1.4E-2</v>
      </c>
      <c r="BL185" s="705"/>
      <c r="BM185" s="705"/>
      <c r="BN185" s="90">
        <v>7.5</v>
      </c>
    </row>
    <row r="186" spans="2:66" ht="15.75" thickBot="1" x14ac:dyDescent="0.3">
      <c r="B186" s="57" t="s">
        <v>503</v>
      </c>
      <c r="C186" s="643">
        <v>114</v>
      </c>
      <c r="D186" s="643">
        <v>14</v>
      </c>
      <c r="E186" s="643">
        <v>14</v>
      </c>
      <c r="F186" s="643">
        <v>15.4</v>
      </c>
      <c r="G186" s="643">
        <v>1.4E-2</v>
      </c>
      <c r="H186" s="643">
        <v>3.0000000000000001E-3</v>
      </c>
      <c r="I186" s="643">
        <v>3.0000000000000001E-3</v>
      </c>
      <c r="J186" s="53">
        <v>2.2999999999999998</v>
      </c>
      <c r="AC186" s="87" t="s">
        <v>449</v>
      </c>
      <c r="AD186" s="697"/>
      <c r="AE186" s="697"/>
      <c r="AF186" s="697"/>
      <c r="AG186" s="697"/>
      <c r="AH186" s="697"/>
      <c r="AI186" s="696"/>
      <c r="AJ186" s="88">
        <v>98</v>
      </c>
      <c r="AK186" s="697"/>
      <c r="AL186" s="697"/>
      <c r="AM186" s="697"/>
      <c r="AN186" s="697"/>
      <c r="AQ186" s="87" t="s">
        <v>449</v>
      </c>
      <c r="AR186" s="697"/>
      <c r="AS186" s="697"/>
      <c r="AT186" s="696"/>
      <c r="AU186" s="697"/>
      <c r="AV186" s="696"/>
      <c r="AW186" s="696"/>
      <c r="AX186" s="88">
        <v>98</v>
      </c>
      <c r="AY186" s="697"/>
      <c r="AZ186" s="696"/>
      <c r="BA186" s="696"/>
      <c r="BD186" s="91" t="s">
        <v>449</v>
      </c>
      <c r="BE186" s="706"/>
      <c r="BF186" s="705"/>
      <c r="BG186" s="705"/>
      <c r="BH186" s="706"/>
      <c r="BI186" s="706"/>
      <c r="BJ186" s="705"/>
      <c r="BK186" s="706"/>
      <c r="BL186" s="706"/>
      <c r="BM186" s="706"/>
      <c r="BN186" s="90">
        <v>9.9</v>
      </c>
    </row>
    <row r="187" spans="2:66" ht="15.75" thickBot="1" x14ac:dyDescent="0.3">
      <c r="B187" s="57" t="s">
        <v>504</v>
      </c>
      <c r="C187" s="645"/>
      <c r="D187" s="645"/>
      <c r="E187" s="645"/>
      <c r="F187" s="645"/>
      <c r="G187" s="644"/>
      <c r="H187" s="645"/>
      <c r="I187" s="645"/>
      <c r="J187" s="53">
        <v>2.8</v>
      </c>
      <c r="AC187" s="87" t="s">
        <v>450</v>
      </c>
      <c r="AD187" s="695">
        <v>149</v>
      </c>
      <c r="AE187" s="695">
        <v>149</v>
      </c>
      <c r="AF187" s="695">
        <v>135</v>
      </c>
      <c r="AG187" s="88">
        <v>90</v>
      </c>
      <c r="AH187" s="88">
        <v>84</v>
      </c>
      <c r="AI187" s="696"/>
      <c r="AJ187" s="695">
        <v>100</v>
      </c>
      <c r="AK187" s="695">
        <v>50</v>
      </c>
      <c r="AL187" s="695">
        <v>50</v>
      </c>
      <c r="AM187" s="695">
        <v>12</v>
      </c>
      <c r="AN187" s="695">
        <v>12</v>
      </c>
      <c r="AQ187" s="87" t="s">
        <v>450</v>
      </c>
      <c r="AR187" s="695">
        <v>12</v>
      </c>
      <c r="AS187" s="695">
        <v>12</v>
      </c>
      <c r="AT187" s="696"/>
      <c r="AU187" s="88">
        <v>83.2</v>
      </c>
      <c r="AV187" s="696"/>
      <c r="AW187" s="696"/>
      <c r="AX187" s="695">
        <v>100</v>
      </c>
      <c r="AY187" s="695">
        <v>30</v>
      </c>
      <c r="AZ187" s="696"/>
      <c r="BA187" s="696"/>
      <c r="BD187" s="91" t="s">
        <v>450</v>
      </c>
      <c r="BE187" s="704">
        <v>172</v>
      </c>
      <c r="BF187" s="705"/>
      <c r="BG187" s="705"/>
      <c r="BH187" s="704">
        <v>38</v>
      </c>
      <c r="BI187" s="704">
        <v>55</v>
      </c>
      <c r="BJ187" s="705"/>
      <c r="BK187" s="90">
        <v>7.8E-2</v>
      </c>
      <c r="BL187" s="704">
        <v>4.0000000000000001E-3</v>
      </c>
      <c r="BM187" s="704">
        <v>4.4999999999999997E-3</v>
      </c>
      <c r="BN187" s="90">
        <v>13.6</v>
      </c>
    </row>
    <row r="188" spans="2:66" ht="15.75" thickBot="1" x14ac:dyDescent="0.3">
      <c r="B188" s="57" t="s">
        <v>505</v>
      </c>
      <c r="C188" s="645"/>
      <c r="D188" s="645"/>
      <c r="E188" s="645"/>
      <c r="F188" s="645"/>
      <c r="G188" s="643">
        <v>1.4999999999999999E-2</v>
      </c>
      <c r="H188" s="645"/>
      <c r="I188" s="645"/>
      <c r="J188" s="53">
        <v>2.2999999999999998</v>
      </c>
      <c r="AC188" s="87" t="s">
        <v>451</v>
      </c>
      <c r="AD188" s="696"/>
      <c r="AE188" s="696"/>
      <c r="AF188" s="696"/>
      <c r="AG188" s="88">
        <v>100</v>
      </c>
      <c r="AH188" s="88">
        <v>95</v>
      </c>
      <c r="AI188" s="696"/>
      <c r="AJ188" s="697"/>
      <c r="AK188" s="697"/>
      <c r="AL188" s="697"/>
      <c r="AM188" s="696"/>
      <c r="AN188" s="696"/>
      <c r="AQ188" s="87" t="s">
        <v>451</v>
      </c>
      <c r="AR188" s="696"/>
      <c r="AS188" s="696"/>
      <c r="AT188" s="696"/>
      <c r="AU188" s="88">
        <v>94.5</v>
      </c>
      <c r="AV188" s="696"/>
      <c r="AW188" s="696"/>
      <c r="AX188" s="697"/>
      <c r="AY188" s="696"/>
      <c r="AZ188" s="696"/>
      <c r="BA188" s="696"/>
      <c r="BD188" s="91" t="s">
        <v>451</v>
      </c>
      <c r="BE188" s="705"/>
      <c r="BF188" s="705"/>
      <c r="BG188" s="705"/>
      <c r="BH188" s="705"/>
      <c r="BI188" s="705"/>
      <c r="BJ188" s="705"/>
      <c r="BK188" s="90">
        <v>3.9E-2</v>
      </c>
      <c r="BL188" s="705"/>
      <c r="BM188" s="705"/>
      <c r="BN188" s="90">
        <v>12.4</v>
      </c>
    </row>
    <row r="189" spans="2:66" ht="15.75" thickBot="1" x14ac:dyDescent="0.3">
      <c r="B189" s="57" t="s">
        <v>506</v>
      </c>
      <c r="C189" s="644"/>
      <c r="D189" s="644"/>
      <c r="E189" s="644"/>
      <c r="F189" s="644"/>
      <c r="G189" s="644"/>
      <c r="H189" s="644"/>
      <c r="I189" s="644"/>
      <c r="J189" s="53">
        <v>2.6</v>
      </c>
      <c r="AC189" s="87" t="s">
        <v>452</v>
      </c>
      <c r="AD189" s="696"/>
      <c r="AE189" s="696"/>
      <c r="AF189" s="696"/>
      <c r="AG189" s="695">
        <v>105</v>
      </c>
      <c r="AH189" s="695">
        <v>100</v>
      </c>
      <c r="AI189" s="696"/>
      <c r="AJ189" s="88">
        <v>110</v>
      </c>
      <c r="AK189" s="88">
        <v>45</v>
      </c>
      <c r="AL189" s="88">
        <v>45</v>
      </c>
      <c r="AM189" s="696"/>
      <c r="AN189" s="696"/>
      <c r="AQ189" s="87" t="s">
        <v>452</v>
      </c>
      <c r="AR189" s="696"/>
      <c r="AS189" s="696"/>
      <c r="AT189" s="696"/>
      <c r="AU189" s="695">
        <v>99.5</v>
      </c>
      <c r="AV189" s="696"/>
      <c r="AW189" s="696"/>
      <c r="AX189" s="88">
        <v>110</v>
      </c>
      <c r="AY189" s="696"/>
      <c r="AZ189" s="696"/>
      <c r="BA189" s="696"/>
      <c r="BD189" s="91" t="s">
        <v>452</v>
      </c>
      <c r="BE189" s="705"/>
      <c r="BF189" s="705"/>
      <c r="BG189" s="705"/>
      <c r="BH189" s="705"/>
      <c r="BI189" s="705"/>
      <c r="BJ189" s="705"/>
      <c r="BK189" s="90">
        <v>2.5999999999999999E-2</v>
      </c>
      <c r="BL189" s="705"/>
      <c r="BM189" s="705"/>
      <c r="BN189" s="90">
        <v>13.5</v>
      </c>
    </row>
    <row r="190" spans="2:66" ht="15.75" thickBot="1" x14ac:dyDescent="0.3">
      <c r="B190" s="57" t="s">
        <v>507</v>
      </c>
      <c r="C190" s="643">
        <v>126</v>
      </c>
      <c r="D190" s="643">
        <v>17</v>
      </c>
      <c r="E190" s="643">
        <v>17</v>
      </c>
      <c r="F190" s="643">
        <v>18</v>
      </c>
      <c r="G190" s="643">
        <v>0.02</v>
      </c>
      <c r="H190" s="643">
        <v>4.0000000000000001E-3</v>
      </c>
      <c r="I190" s="643">
        <v>4.0000000000000001E-3</v>
      </c>
      <c r="J190" s="53">
        <v>3.3</v>
      </c>
      <c r="AC190" s="87" t="s">
        <v>453</v>
      </c>
      <c r="AD190" s="696"/>
      <c r="AE190" s="696"/>
      <c r="AF190" s="696"/>
      <c r="AG190" s="696"/>
      <c r="AH190" s="696"/>
      <c r="AI190" s="696"/>
      <c r="AJ190" s="88">
        <v>100</v>
      </c>
      <c r="AK190" s="695">
        <v>36</v>
      </c>
      <c r="AL190" s="695">
        <v>36</v>
      </c>
      <c r="AM190" s="696"/>
      <c r="AN190" s="696"/>
      <c r="AQ190" s="87" t="s">
        <v>453</v>
      </c>
      <c r="AR190" s="696"/>
      <c r="AS190" s="696"/>
      <c r="AT190" s="696"/>
      <c r="AU190" s="696"/>
      <c r="AV190" s="696"/>
      <c r="AW190" s="696"/>
      <c r="AX190" s="88">
        <v>100</v>
      </c>
      <c r="AY190" s="697"/>
      <c r="AZ190" s="696"/>
      <c r="BA190" s="696"/>
      <c r="BD190" s="91" t="s">
        <v>453</v>
      </c>
      <c r="BE190" s="705"/>
      <c r="BF190" s="705"/>
      <c r="BG190" s="705"/>
      <c r="BH190" s="705"/>
      <c r="BI190" s="705"/>
      <c r="BJ190" s="705"/>
      <c r="BK190" s="704">
        <v>1.9E-2</v>
      </c>
      <c r="BL190" s="705"/>
      <c r="BM190" s="705"/>
      <c r="BN190" s="90">
        <v>11.5</v>
      </c>
    </row>
    <row r="191" spans="2:66" ht="15.75" thickBot="1" x14ac:dyDescent="0.3">
      <c r="B191" s="57" t="s">
        <v>508</v>
      </c>
      <c r="C191" s="645"/>
      <c r="D191" s="645"/>
      <c r="E191" s="645"/>
      <c r="F191" s="645"/>
      <c r="G191" s="644"/>
      <c r="H191" s="645"/>
      <c r="I191" s="645"/>
      <c r="J191" s="53">
        <v>3.8</v>
      </c>
      <c r="AC191" s="87" t="s">
        <v>454</v>
      </c>
      <c r="AD191" s="697"/>
      <c r="AE191" s="697"/>
      <c r="AF191" s="697"/>
      <c r="AG191" s="697"/>
      <c r="AH191" s="697"/>
      <c r="AI191" s="696"/>
      <c r="AJ191" s="88">
        <v>130</v>
      </c>
      <c r="AK191" s="697"/>
      <c r="AL191" s="697"/>
      <c r="AM191" s="697"/>
      <c r="AN191" s="697"/>
      <c r="AQ191" s="87" t="s">
        <v>454</v>
      </c>
      <c r="AR191" s="697"/>
      <c r="AS191" s="697"/>
      <c r="AT191" s="696"/>
      <c r="AU191" s="697"/>
      <c r="AV191" s="697"/>
      <c r="AW191" s="697"/>
      <c r="AX191" s="88">
        <v>130</v>
      </c>
      <c r="AY191" s="88">
        <v>20</v>
      </c>
      <c r="AZ191" s="696"/>
      <c r="BA191" s="697"/>
      <c r="BD191" s="91" t="s">
        <v>454</v>
      </c>
      <c r="BE191" s="706"/>
      <c r="BF191" s="706"/>
      <c r="BG191" s="706"/>
      <c r="BH191" s="706"/>
      <c r="BI191" s="706"/>
      <c r="BJ191" s="706"/>
      <c r="BK191" s="706"/>
      <c r="BL191" s="706"/>
      <c r="BM191" s="706"/>
      <c r="BN191" s="90">
        <v>15.4</v>
      </c>
    </row>
    <row r="192" spans="2:66" ht="27" customHeight="1" thickBot="1" x14ac:dyDescent="0.3">
      <c r="B192" s="57" t="s">
        <v>509</v>
      </c>
      <c r="C192" s="645"/>
      <c r="D192" s="645"/>
      <c r="E192" s="645"/>
      <c r="F192" s="645"/>
      <c r="G192" s="643">
        <v>2.1000000000000001E-2</v>
      </c>
      <c r="H192" s="645"/>
      <c r="I192" s="645"/>
      <c r="J192" s="53">
        <v>3.3</v>
      </c>
      <c r="AC192" s="87" t="s">
        <v>455</v>
      </c>
      <c r="AD192" s="695">
        <v>168</v>
      </c>
      <c r="AE192" s="695">
        <v>168</v>
      </c>
      <c r="AF192" s="695">
        <v>154</v>
      </c>
      <c r="AG192" s="695">
        <v>101</v>
      </c>
      <c r="AH192" s="695">
        <v>95</v>
      </c>
      <c r="AI192" s="696"/>
      <c r="AJ192" s="88">
        <v>100</v>
      </c>
      <c r="AK192" s="695">
        <v>50</v>
      </c>
      <c r="AL192" s="695">
        <v>50</v>
      </c>
      <c r="AM192" s="695">
        <v>14</v>
      </c>
      <c r="AN192" s="695">
        <v>14</v>
      </c>
      <c r="AQ192" s="87" t="s">
        <v>455</v>
      </c>
      <c r="AR192" s="695">
        <v>14</v>
      </c>
      <c r="AS192" s="695">
        <v>14</v>
      </c>
      <c r="AT192" s="696"/>
      <c r="AU192" s="695">
        <v>94.1</v>
      </c>
      <c r="AV192" s="695">
        <v>37</v>
      </c>
      <c r="AW192" s="695">
        <v>37</v>
      </c>
      <c r="AX192" s="88">
        <v>100</v>
      </c>
      <c r="AY192" s="695">
        <v>33</v>
      </c>
      <c r="AZ192" s="696"/>
      <c r="BA192" s="695">
        <v>39.799999999999997</v>
      </c>
      <c r="BD192" s="91" t="s">
        <v>455</v>
      </c>
      <c r="BE192" s="704">
        <v>194</v>
      </c>
      <c r="BF192" s="704">
        <v>35</v>
      </c>
      <c r="BG192" s="704">
        <v>35</v>
      </c>
      <c r="BH192" s="704">
        <v>45</v>
      </c>
      <c r="BI192" s="704">
        <v>59</v>
      </c>
      <c r="BJ192" s="704">
        <v>28</v>
      </c>
      <c r="BK192" s="704">
        <v>9.6000000000000002E-2</v>
      </c>
      <c r="BL192" s="704">
        <v>5.0000000000000001E-3</v>
      </c>
      <c r="BM192" s="704">
        <v>6.4999999999999997E-3</v>
      </c>
      <c r="BN192" s="90">
        <v>17.5</v>
      </c>
    </row>
    <row r="193" spans="2:66" ht="26.25" customHeight="1" thickBot="1" x14ac:dyDescent="0.3">
      <c r="B193" s="57" t="s">
        <v>510</v>
      </c>
      <c r="C193" s="645"/>
      <c r="D193" s="645"/>
      <c r="E193" s="645"/>
      <c r="F193" s="645"/>
      <c r="G193" s="644"/>
      <c r="H193" s="645"/>
      <c r="I193" s="645"/>
      <c r="J193" s="53">
        <v>3.5</v>
      </c>
      <c r="AC193" s="87" t="s">
        <v>456</v>
      </c>
      <c r="AD193" s="696"/>
      <c r="AE193" s="696"/>
      <c r="AF193" s="696"/>
      <c r="AG193" s="697"/>
      <c r="AH193" s="697"/>
      <c r="AI193" s="696"/>
      <c r="AJ193" s="88">
        <v>130</v>
      </c>
      <c r="AK193" s="697"/>
      <c r="AL193" s="697"/>
      <c r="AM193" s="696"/>
      <c r="AN193" s="696"/>
      <c r="AQ193" s="87" t="s">
        <v>456</v>
      </c>
      <c r="AR193" s="696"/>
      <c r="AS193" s="696"/>
      <c r="AT193" s="696"/>
      <c r="AU193" s="697"/>
      <c r="AV193" s="696"/>
      <c r="AW193" s="696"/>
      <c r="AX193" s="88">
        <v>130</v>
      </c>
      <c r="AY193" s="696"/>
      <c r="AZ193" s="696"/>
      <c r="BA193" s="696"/>
      <c r="BD193" s="91" t="s">
        <v>456</v>
      </c>
      <c r="BE193" s="705"/>
      <c r="BF193" s="705"/>
      <c r="BG193" s="705"/>
      <c r="BH193" s="705"/>
      <c r="BI193" s="705"/>
      <c r="BJ193" s="705"/>
      <c r="BK193" s="706"/>
      <c r="BL193" s="705"/>
      <c r="BM193" s="705"/>
      <c r="BN193" s="90">
        <v>22</v>
      </c>
    </row>
    <row r="194" spans="2:66" ht="27" customHeight="1" thickBot="1" x14ac:dyDescent="0.3">
      <c r="B194" s="57" t="s">
        <v>511</v>
      </c>
      <c r="C194" s="645"/>
      <c r="D194" s="645"/>
      <c r="E194" s="645"/>
      <c r="F194" s="645"/>
      <c r="G194" s="643">
        <v>0.02</v>
      </c>
      <c r="H194" s="645"/>
      <c r="I194" s="645"/>
      <c r="J194" s="53">
        <v>3.8</v>
      </c>
      <c r="AC194" s="87" t="s">
        <v>457</v>
      </c>
      <c r="AD194" s="696"/>
      <c r="AE194" s="696"/>
      <c r="AF194" s="696"/>
      <c r="AG194" s="695">
        <v>109</v>
      </c>
      <c r="AH194" s="695">
        <v>105</v>
      </c>
      <c r="AI194" s="696"/>
      <c r="AJ194" s="88">
        <v>100</v>
      </c>
      <c r="AK194" s="695">
        <v>48</v>
      </c>
      <c r="AL194" s="695">
        <v>48</v>
      </c>
      <c r="AM194" s="696"/>
      <c r="AN194" s="696"/>
      <c r="AQ194" s="87" t="s">
        <v>457</v>
      </c>
      <c r="AR194" s="696"/>
      <c r="AS194" s="696"/>
      <c r="AT194" s="696"/>
      <c r="AU194" s="695">
        <v>104.4</v>
      </c>
      <c r="AV194" s="696"/>
      <c r="AW194" s="696"/>
      <c r="AX194" s="88">
        <v>100</v>
      </c>
      <c r="AY194" s="696"/>
      <c r="AZ194" s="696"/>
      <c r="BA194" s="696"/>
      <c r="BD194" s="91" t="s">
        <v>457</v>
      </c>
      <c r="BE194" s="705"/>
      <c r="BF194" s="705"/>
      <c r="BG194" s="705"/>
      <c r="BH194" s="705"/>
      <c r="BI194" s="705"/>
      <c r="BJ194" s="705"/>
      <c r="BK194" s="704">
        <v>4.8000000000000001E-2</v>
      </c>
      <c r="BL194" s="705"/>
      <c r="BM194" s="705"/>
      <c r="BN194" s="90" t="s">
        <v>542</v>
      </c>
    </row>
    <row r="195" spans="2:66" ht="26.25" customHeight="1" thickBot="1" x14ac:dyDescent="0.3">
      <c r="B195" s="57" t="s">
        <v>512</v>
      </c>
      <c r="C195" s="644"/>
      <c r="D195" s="644"/>
      <c r="E195" s="644"/>
      <c r="F195" s="644"/>
      <c r="G195" s="644"/>
      <c r="H195" s="644"/>
      <c r="I195" s="644"/>
      <c r="J195" s="53">
        <v>4.3</v>
      </c>
      <c r="AC195" s="87" t="s">
        <v>458</v>
      </c>
      <c r="AD195" s="696"/>
      <c r="AE195" s="696"/>
      <c r="AF195" s="696"/>
      <c r="AG195" s="697"/>
      <c r="AH195" s="697"/>
      <c r="AI195" s="696"/>
      <c r="AJ195" s="88">
        <v>130</v>
      </c>
      <c r="AK195" s="697"/>
      <c r="AL195" s="697"/>
      <c r="AM195" s="696"/>
      <c r="AN195" s="696"/>
      <c r="AQ195" s="87" t="s">
        <v>458</v>
      </c>
      <c r="AR195" s="696"/>
      <c r="AS195" s="696"/>
      <c r="AT195" s="696"/>
      <c r="AU195" s="697"/>
      <c r="AV195" s="696"/>
      <c r="AW195" s="696"/>
      <c r="AX195" s="88">
        <v>130</v>
      </c>
      <c r="AY195" s="696"/>
      <c r="AZ195" s="696"/>
      <c r="BA195" s="696"/>
      <c r="BD195" s="91" t="s">
        <v>458</v>
      </c>
      <c r="BE195" s="706"/>
      <c r="BF195" s="706"/>
      <c r="BG195" s="706"/>
      <c r="BH195" s="706"/>
      <c r="BI195" s="706"/>
      <c r="BJ195" s="706"/>
      <c r="BK195" s="706"/>
      <c r="BL195" s="706"/>
      <c r="BM195" s="706"/>
      <c r="BN195" s="90">
        <v>20.9</v>
      </c>
    </row>
    <row r="196" spans="2:66" ht="26.25" customHeight="1" thickBot="1" x14ac:dyDescent="0.3">
      <c r="AC196" s="87" t="s">
        <v>459</v>
      </c>
      <c r="AD196" s="697"/>
      <c r="AE196" s="697"/>
      <c r="AF196" s="697"/>
      <c r="AG196" s="88">
        <v>119</v>
      </c>
      <c r="AH196" s="88">
        <v>113</v>
      </c>
      <c r="AI196" s="697"/>
      <c r="AJ196" s="88">
        <v>120</v>
      </c>
      <c r="AK196" s="88">
        <v>45</v>
      </c>
      <c r="AL196" s="88">
        <v>45</v>
      </c>
      <c r="AM196" s="697"/>
      <c r="AN196" s="697"/>
      <c r="AQ196" s="87" t="s">
        <v>459</v>
      </c>
      <c r="AR196" s="696"/>
      <c r="AS196" s="696"/>
      <c r="AT196" s="696"/>
      <c r="AU196" s="695">
        <v>112.4</v>
      </c>
      <c r="AV196" s="696"/>
      <c r="AW196" s="696"/>
      <c r="AX196" s="695">
        <v>120</v>
      </c>
      <c r="AY196" s="696"/>
      <c r="AZ196" s="696"/>
      <c r="BA196" s="696"/>
      <c r="BD196" s="91" t="s">
        <v>459</v>
      </c>
      <c r="BE196" s="704">
        <v>194</v>
      </c>
      <c r="BF196" s="704">
        <v>35</v>
      </c>
      <c r="BG196" s="704">
        <v>35</v>
      </c>
      <c r="BH196" s="704">
        <v>45</v>
      </c>
      <c r="BI196" s="704">
        <v>59</v>
      </c>
      <c r="BJ196" s="704">
        <v>28</v>
      </c>
      <c r="BK196" s="90">
        <v>3.2000000000000001E-2</v>
      </c>
      <c r="BL196" s="704">
        <v>5.0000000000000001E-3</v>
      </c>
      <c r="BM196" s="704">
        <v>6.4999999999999997E-3</v>
      </c>
      <c r="BN196" s="90">
        <v>18.8</v>
      </c>
    </row>
    <row r="197" spans="2:66" ht="27" customHeight="1" thickBot="1" x14ac:dyDescent="0.3">
      <c r="AC197" s="87" t="s">
        <v>460</v>
      </c>
      <c r="AD197" s="695">
        <v>191</v>
      </c>
      <c r="AE197" s="695">
        <v>191</v>
      </c>
      <c r="AF197" s="695">
        <v>177</v>
      </c>
      <c r="AG197" s="695">
        <v>165</v>
      </c>
      <c r="AH197" s="88">
        <v>110</v>
      </c>
      <c r="AI197" s="695">
        <v>7.9</v>
      </c>
      <c r="AJ197" s="695">
        <v>125</v>
      </c>
      <c r="AK197" s="698">
        <v>57</v>
      </c>
      <c r="AL197" s="695">
        <v>57</v>
      </c>
      <c r="AM197" s="695">
        <v>18</v>
      </c>
      <c r="AN197" s="695">
        <v>18</v>
      </c>
      <c r="AQ197" s="87" t="s">
        <v>529</v>
      </c>
      <c r="AR197" s="697"/>
      <c r="AS197" s="697"/>
      <c r="AT197" s="697"/>
      <c r="AU197" s="697"/>
      <c r="AV197" s="697"/>
      <c r="AW197" s="697"/>
      <c r="AX197" s="697"/>
      <c r="AY197" s="697"/>
      <c r="AZ197" s="697"/>
      <c r="BA197" s="697"/>
      <c r="BD197" s="91" t="s">
        <v>529</v>
      </c>
      <c r="BE197" s="706"/>
      <c r="BF197" s="706"/>
      <c r="BG197" s="706"/>
      <c r="BH197" s="706"/>
      <c r="BI197" s="706"/>
      <c r="BJ197" s="706"/>
      <c r="BK197" s="90">
        <v>2.4E-2</v>
      </c>
      <c r="BL197" s="706"/>
      <c r="BM197" s="706"/>
      <c r="BN197" s="90">
        <v>18.600000000000001</v>
      </c>
    </row>
    <row r="198" spans="2:66" ht="27" customHeight="1" thickBot="1" x14ac:dyDescent="0.3">
      <c r="AC198" s="87" t="s">
        <v>461</v>
      </c>
      <c r="AD198" s="696"/>
      <c r="AE198" s="696"/>
      <c r="AF198" s="696"/>
      <c r="AG198" s="696"/>
      <c r="AH198" s="88">
        <v>126</v>
      </c>
      <c r="AI198" s="696"/>
      <c r="AJ198" s="697"/>
      <c r="AK198" s="699"/>
      <c r="AL198" s="696"/>
      <c r="AM198" s="696"/>
      <c r="AN198" s="696"/>
      <c r="AQ198" s="87" t="s">
        <v>460</v>
      </c>
      <c r="AR198" s="695">
        <v>16</v>
      </c>
      <c r="AS198" s="695">
        <v>17</v>
      </c>
      <c r="AT198" s="695">
        <v>6</v>
      </c>
      <c r="AU198" s="88">
        <v>108.8</v>
      </c>
      <c r="AV198" s="695">
        <v>43</v>
      </c>
      <c r="AW198" s="695">
        <v>43</v>
      </c>
      <c r="AX198" s="695">
        <v>128</v>
      </c>
      <c r="AY198" s="695">
        <v>37</v>
      </c>
      <c r="AZ198" s="695">
        <v>12</v>
      </c>
      <c r="BA198" s="695">
        <v>46.3</v>
      </c>
      <c r="BD198" s="91" t="s">
        <v>460</v>
      </c>
      <c r="BE198" s="704">
        <v>223</v>
      </c>
      <c r="BF198" s="704">
        <v>43</v>
      </c>
      <c r="BG198" s="704">
        <v>43</v>
      </c>
      <c r="BH198" s="704">
        <v>45</v>
      </c>
      <c r="BI198" s="704">
        <v>66</v>
      </c>
      <c r="BJ198" s="704">
        <v>31</v>
      </c>
      <c r="BK198" s="90">
        <v>0.05</v>
      </c>
      <c r="BL198" s="704">
        <v>0.01</v>
      </c>
      <c r="BM198" s="704">
        <v>1.9E-2</v>
      </c>
      <c r="BN198" s="90">
        <v>27.5</v>
      </c>
    </row>
    <row r="199" spans="2:66" ht="27" customHeight="1" thickBot="1" x14ac:dyDescent="0.3">
      <c r="AC199" s="87" t="s">
        <v>462</v>
      </c>
      <c r="AD199" s="696"/>
      <c r="AE199" s="696"/>
      <c r="AF199" s="696"/>
      <c r="AG199" s="696"/>
      <c r="AH199" s="695">
        <v>132</v>
      </c>
      <c r="AI199" s="696"/>
      <c r="AJ199" s="89">
        <v>100</v>
      </c>
      <c r="AK199" s="699"/>
      <c r="AL199" s="696"/>
      <c r="AM199" s="696"/>
      <c r="AN199" s="696"/>
      <c r="AQ199" s="87" t="s">
        <v>461</v>
      </c>
      <c r="AR199" s="696"/>
      <c r="AS199" s="696"/>
      <c r="AT199" s="696"/>
      <c r="AU199" s="88">
        <v>125.4</v>
      </c>
      <c r="AV199" s="696"/>
      <c r="AW199" s="696"/>
      <c r="AX199" s="697"/>
      <c r="AY199" s="696"/>
      <c r="AZ199" s="696"/>
      <c r="BA199" s="696"/>
      <c r="BD199" s="91" t="s">
        <v>461</v>
      </c>
      <c r="BE199" s="705"/>
      <c r="BF199" s="705"/>
      <c r="BG199" s="705"/>
      <c r="BH199" s="705"/>
      <c r="BI199" s="705"/>
      <c r="BJ199" s="705"/>
      <c r="BK199" s="90">
        <v>0.04</v>
      </c>
      <c r="BL199" s="705"/>
      <c r="BM199" s="705"/>
      <c r="BN199" s="90">
        <v>25.9</v>
      </c>
    </row>
    <row r="200" spans="2:66" ht="26.25" customHeight="1" thickBot="1" x14ac:dyDescent="0.3">
      <c r="AC200" s="87" t="s">
        <v>463</v>
      </c>
      <c r="AD200" s="696"/>
      <c r="AE200" s="696"/>
      <c r="AF200" s="696"/>
      <c r="AG200" s="696"/>
      <c r="AH200" s="696"/>
      <c r="AI200" s="696"/>
      <c r="AJ200" s="88">
        <v>125</v>
      </c>
      <c r="AK200" s="699"/>
      <c r="AL200" s="696"/>
      <c r="AM200" s="696"/>
      <c r="AN200" s="696"/>
      <c r="AQ200" s="87" t="s">
        <v>462</v>
      </c>
      <c r="AR200" s="696"/>
      <c r="AS200" s="696"/>
      <c r="AT200" s="696"/>
      <c r="AU200" s="695">
        <v>131.4</v>
      </c>
      <c r="AV200" s="696"/>
      <c r="AW200" s="696"/>
      <c r="AX200" s="88">
        <v>103</v>
      </c>
      <c r="AY200" s="696"/>
      <c r="AZ200" s="696"/>
      <c r="BA200" s="696"/>
      <c r="BD200" s="91" t="s">
        <v>462</v>
      </c>
      <c r="BE200" s="705"/>
      <c r="BF200" s="705"/>
      <c r="BG200" s="705"/>
      <c r="BH200" s="705"/>
      <c r="BI200" s="705"/>
      <c r="BJ200" s="705"/>
      <c r="BK200" s="704">
        <v>3.5000000000000003E-2</v>
      </c>
      <c r="BL200" s="705"/>
      <c r="BM200" s="705"/>
      <c r="BN200" s="90">
        <v>20.8</v>
      </c>
    </row>
    <row r="201" spans="2:66" ht="27" customHeight="1" thickBot="1" x14ac:dyDescent="0.3">
      <c r="AC201" s="87" t="s">
        <v>464</v>
      </c>
      <c r="AD201" s="696"/>
      <c r="AE201" s="696"/>
      <c r="AF201" s="696"/>
      <c r="AG201" s="696"/>
      <c r="AH201" s="696"/>
      <c r="AI201" s="696"/>
      <c r="AJ201" s="88">
        <v>100</v>
      </c>
      <c r="AK201" s="699"/>
      <c r="AL201" s="696"/>
      <c r="AM201" s="696"/>
      <c r="AN201" s="696"/>
      <c r="AQ201" s="87" t="s">
        <v>463</v>
      </c>
      <c r="AR201" s="696"/>
      <c r="AS201" s="696"/>
      <c r="AT201" s="696"/>
      <c r="AU201" s="696"/>
      <c r="AV201" s="696"/>
      <c r="AW201" s="696"/>
      <c r="AX201" s="88">
        <v>128</v>
      </c>
      <c r="AY201" s="696"/>
      <c r="AZ201" s="696"/>
      <c r="BA201" s="696"/>
      <c r="BD201" s="91" t="s">
        <v>463</v>
      </c>
      <c r="BE201" s="705"/>
      <c r="BF201" s="705"/>
      <c r="BG201" s="705"/>
      <c r="BH201" s="705"/>
      <c r="BI201" s="705"/>
      <c r="BJ201" s="705"/>
      <c r="BK201" s="706"/>
      <c r="BL201" s="705"/>
      <c r="BM201" s="705"/>
      <c r="BN201" s="90">
        <v>25.5</v>
      </c>
    </row>
    <row r="202" spans="2:66" ht="26.25" customHeight="1" thickBot="1" x14ac:dyDescent="0.3">
      <c r="AC202" s="87" t="s">
        <v>465</v>
      </c>
      <c r="AD202" s="697"/>
      <c r="AE202" s="697"/>
      <c r="AF202" s="697"/>
      <c r="AG202" s="697"/>
      <c r="AH202" s="697"/>
      <c r="AI202" s="696"/>
      <c r="AJ202" s="695">
        <v>130</v>
      </c>
      <c r="AK202" s="700"/>
      <c r="AL202" s="697"/>
      <c r="AM202" s="697"/>
      <c r="AN202" s="697"/>
      <c r="AQ202" s="87" t="s">
        <v>464</v>
      </c>
      <c r="AR202" s="696"/>
      <c r="AS202" s="696"/>
      <c r="AT202" s="696"/>
      <c r="AU202" s="696"/>
      <c r="AV202" s="696"/>
      <c r="AW202" s="696"/>
      <c r="AX202" s="88">
        <v>103</v>
      </c>
      <c r="AY202" s="696"/>
      <c r="AZ202" s="696"/>
      <c r="BA202" s="696"/>
      <c r="BD202" s="91" t="s">
        <v>464</v>
      </c>
      <c r="BE202" s="705"/>
      <c r="BF202" s="705"/>
      <c r="BG202" s="705"/>
      <c r="BH202" s="705"/>
      <c r="BI202" s="705"/>
      <c r="BJ202" s="705"/>
      <c r="BK202" s="704">
        <v>2.5999999999999999E-2</v>
      </c>
      <c r="BL202" s="705"/>
      <c r="BM202" s="705"/>
      <c r="BN202" s="90">
        <v>20.9</v>
      </c>
    </row>
    <row r="203" spans="2:66" ht="27" customHeight="1" thickBot="1" x14ac:dyDescent="0.3">
      <c r="AC203" s="87" t="s">
        <v>466</v>
      </c>
      <c r="AD203" s="695">
        <v>225</v>
      </c>
      <c r="AE203" s="695">
        <v>225</v>
      </c>
      <c r="AF203" s="695">
        <v>205</v>
      </c>
      <c r="AG203" s="695">
        <v>194</v>
      </c>
      <c r="AH203" s="88">
        <v>130</v>
      </c>
      <c r="AI203" s="696"/>
      <c r="AJ203" s="697"/>
      <c r="AK203" s="695">
        <v>65</v>
      </c>
      <c r="AL203" s="695">
        <v>65</v>
      </c>
      <c r="AM203" s="695">
        <v>20</v>
      </c>
      <c r="AN203" s="695">
        <v>20</v>
      </c>
      <c r="AQ203" s="87" t="s">
        <v>465</v>
      </c>
      <c r="AR203" s="697"/>
      <c r="AS203" s="697"/>
      <c r="AT203" s="696"/>
      <c r="AU203" s="697"/>
      <c r="AV203" s="697"/>
      <c r="AW203" s="697"/>
      <c r="AX203" s="695">
        <v>133</v>
      </c>
      <c r="AY203" s="697"/>
      <c r="AZ203" s="696"/>
      <c r="BA203" s="697"/>
      <c r="BD203" s="91" t="s">
        <v>465</v>
      </c>
      <c r="BE203" s="706"/>
      <c r="BF203" s="706"/>
      <c r="BG203" s="706"/>
      <c r="BH203" s="706"/>
      <c r="BI203" s="706"/>
      <c r="BJ203" s="706"/>
      <c r="BK203" s="706"/>
      <c r="BL203" s="706"/>
      <c r="BM203" s="706"/>
      <c r="BN203" s="90">
        <v>26.8</v>
      </c>
    </row>
    <row r="204" spans="2:66" ht="27" customHeight="1" thickBot="1" x14ac:dyDescent="0.3">
      <c r="AC204" s="87" t="s">
        <v>467</v>
      </c>
      <c r="AD204" s="696"/>
      <c r="AE204" s="696"/>
      <c r="AF204" s="696"/>
      <c r="AG204" s="696"/>
      <c r="AH204" s="695">
        <v>145</v>
      </c>
      <c r="AI204" s="696"/>
      <c r="AJ204" s="88">
        <v>115</v>
      </c>
      <c r="AK204" s="696"/>
      <c r="AL204" s="696"/>
      <c r="AM204" s="696"/>
      <c r="AN204" s="696"/>
      <c r="AQ204" s="87" t="s">
        <v>466</v>
      </c>
      <c r="AR204" s="695">
        <v>18</v>
      </c>
      <c r="AS204" s="695">
        <v>19</v>
      </c>
      <c r="AT204" s="696"/>
      <c r="AU204" s="88">
        <v>128.80000000000001</v>
      </c>
      <c r="AV204" s="695">
        <v>54</v>
      </c>
      <c r="AW204" s="695">
        <v>54</v>
      </c>
      <c r="AX204" s="697"/>
      <c r="AY204" s="695">
        <v>45</v>
      </c>
      <c r="AZ204" s="696"/>
      <c r="BA204" s="695">
        <v>57.3</v>
      </c>
      <c r="BD204" s="91" t="s">
        <v>466</v>
      </c>
      <c r="BE204" s="704">
        <v>261</v>
      </c>
      <c r="BF204" s="704">
        <v>54</v>
      </c>
      <c r="BG204" s="704">
        <v>54</v>
      </c>
      <c r="BH204" s="704">
        <v>51</v>
      </c>
      <c r="BI204" s="704">
        <v>74</v>
      </c>
      <c r="BJ204" s="704">
        <v>32</v>
      </c>
      <c r="BK204" s="90">
        <v>7.0000000000000007E-2</v>
      </c>
      <c r="BL204" s="704">
        <v>1.2200000000000001E-2</v>
      </c>
      <c r="BM204" s="704">
        <v>2.7300000000000001E-2</v>
      </c>
      <c r="BN204" s="90">
        <v>40.9</v>
      </c>
    </row>
    <row r="205" spans="2:66" ht="26.25" customHeight="1" thickBot="1" x14ac:dyDescent="0.3">
      <c r="AC205" s="87" t="s">
        <v>468</v>
      </c>
      <c r="AD205" s="696"/>
      <c r="AE205" s="696"/>
      <c r="AF205" s="696"/>
      <c r="AG205" s="696"/>
      <c r="AH205" s="697"/>
      <c r="AI205" s="696"/>
      <c r="AJ205" s="88">
        <v>160</v>
      </c>
      <c r="AK205" s="696"/>
      <c r="AL205" s="696"/>
      <c r="AM205" s="696"/>
      <c r="AN205" s="696"/>
      <c r="AQ205" s="87" t="s">
        <v>467</v>
      </c>
      <c r="AR205" s="696"/>
      <c r="AS205" s="696"/>
      <c r="AT205" s="696"/>
      <c r="AU205" s="695">
        <v>144.30000000000001</v>
      </c>
      <c r="AV205" s="696"/>
      <c r="AW205" s="696"/>
      <c r="AX205" s="88">
        <v>118</v>
      </c>
      <c r="AY205" s="696"/>
      <c r="AZ205" s="696"/>
      <c r="BA205" s="696"/>
      <c r="BD205" s="91" t="s">
        <v>467</v>
      </c>
      <c r="BE205" s="705"/>
      <c r="BF205" s="705"/>
      <c r="BG205" s="705"/>
      <c r="BH205" s="705"/>
      <c r="BI205" s="705"/>
      <c r="BJ205" s="705"/>
      <c r="BK205" s="704">
        <v>6.5000000000000002E-2</v>
      </c>
      <c r="BL205" s="705"/>
      <c r="BM205" s="705"/>
      <c r="BN205" s="90">
        <v>35.4</v>
      </c>
    </row>
    <row r="206" spans="2:66" ht="27" customHeight="1" thickBot="1" x14ac:dyDescent="0.3">
      <c r="AC206" s="87" t="s">
        <v>469</v>
      </c>
      <c r="AD206" s="696"/>
      <c r="AE206" s="696"/>
      <c r="AF206" s="696"/>
      <c r="AG206" s="696"/>
      <c r="AH206" s="695">
        <v>158</v>
      </c>
      <c r="AI206" s="696"/>
      <c r="AJ206" s="88">
        <v>115</v>
      </c>
      <c r="AK206" s="696"/>
      <c r="AL206" s="696"/>
      <c r="AM206" s="696"/>
      <c r="AN206" s="696"/>
      <c r="AQ206" s="87" t="s">
        <v>468</v>
      </c>
      <c r="AR206" s="696"/>
      <c r="AS206" s="696"/>
      <c r="AT206" s="696"/>
      <c r="AU206" s="697"/>
      <c r="AV206" s="696"/>
      <c r="AW206" s="696"/>
      <c r="AX206" s="88">
        <v>163</v>
      </c>
      <c r="AY206" s="696"/>
      <c r="AZ206" s="696"/>
      <c r="BA206" s="696"/>
      <c r="BD206" s="91" t="s">
        <v>468</v>
      </c>
      <c r="BE206" s="705"/>
      <c r="BF206" s="705"/>
      <c r="BG206" s="705"/>
      <c r="BH206" s="705"/>
      <c r="BI206" s="705"/>
      <c r="BJ206" s="705"/>
      <c r="BK206" s="706"/>
      <c r="BL206" s="705"/>
      <c r="BM206" s="705"/>
      <c r="BN206" s="90">
        <v>46.5</v>
      </c>
    </row>
    <row r="207" spans="2:66" ht="26.25" customHeight="1" thickBot="1" x14ac:dyDescent="0.3">
      <c r="AC207" s="87" t="s">
        <v>470</v>
      </c>
      <c r="AD207" s="696"/>
      <c r="AE207" s="696"/>
      <c r="AF207" s="696"/>
      <c r="AG207" s="696"/>
      <c r="AH207" s="696"/>
      <c r="AI207" s="696"/>
      <c r="AJ207" s="88">
        <v>160</v>
      </c>
      <c r="AK207" s="696"/>
      <c r="AL207" s="696"/>
      <c r="AM207" s="696"/>
      <c r="AN207" s="696"/>
      <c r="AQ207" s="87" t="s">
        <v>469</v>
      </c>
      <c r="AR207" s="696"/>
      <c r="AS207" s="696"/>
      <c r="AT207" s="696"/>
      <c r="AU207" s="695">
        <v>157.30000000000001</v>
      </c>
      <c r="AV207" s="696"/>
      <c r="AW207" s="696"/>
      <c r="AX207" s="88">
        <v>118</v>
      </c>
      <c r="AY207" s="696"/>
      <c r="AZ207" s="696"/>
      <c r="BA207" s="696"/>
      <c r="BD207" s="91" t="s">
        <v>469</v>
      </c>
      <c r="BE207" s="705"/>
      <c r="BF207" s="705"/>
      <c r="BG207" s="705"/>
      <c r="BH207" s="705"/>
      <c r="BI207" s="705"/>
      <c r="BJ207" s="705"/>
      <c r="BK207" s="704">
        <v>0.05</v>
      </c>
      <c r="BL207" s="705"/>
      <c r="BM207" s="705"/>
      <c r="BN207" s="90">
        <v>34.1</v>
      </c>
    </row>
    <row r="208" spans="2:66" ht="27" customHeight="1" thickBot="1" x14ac:dyDescent="0.3">
      <c r="AC208" s="87" t="s">
        <v>471</v>
      </c>
      <c r="AD208" s="696"/>
      <c r="AE208" s="696"/>
      <c r="AF208" s="696"/>
      <c r="AG208" s="696"/>
      <c r="AH208" s="696"/>
      <c r="AI208" s="696"/>
      <c r="AJ208" s="88">
        <v>115</v>
      </c>
      <c r="AK208" s="696"/>
      <c r="AL208" s="696"/>
      <c r="AM208" s="696"/>
      <c r="AN208" s="696"/>
      <c r="AQ208" s="87" t="s">
        <v>470</v>
      </c>
      <c r="AR208" s="696"/>
      <c r="AS208" s="696"/>
      <c r="AT208" s="696"/>
      <c r="AU208" s="696"/>
      <c r="AV208" s="696"/>
      <c r="AW208" s="696"/>
      <c r="AX208" s="88">
        <v>163</v>
      </c>
      <c r="AY208" s="696"/>
      <c r="AZ208" s="696"/>
      <c r="BA208" s="696"/>
      <c r="BD208" s="91" t="s">
        <v>470</v>
      </c>
      <c r="BE208" s="705"/>
      <c r="BF208" s="705"/>
      <c r="BG208" s="705"/>
      <c r="BH208" s="705"/>
      <c r="BI208" s="705"/>
      <c r="BJ208" s="705"/>
      <c r="BK208" s="706"/>
      <c r="BL208" s="705"/>
      <c r="BM208" s="705"/>
      <c r="BN208" s="90">
        <v>45</v>
      </c>
    </row>
    <row r="209" spans="29:66" ht="26.25" customHeight="1" thickBot="1" x14ac:dyDescent="0.3">
      <c r="AC209" s="87" t="s">
        <v>472</v>
      </c>
      <c r="AD209" s="697"/>
      <c r="AE209" s="697"/>
      <c r="AF209" s="697"/>
      <c r="AG209" s="697"/>
      <c r="AH209" s="697"/>
      <c r="AI209" s="697"/>
      <c r="AJ209" s="88">
        <v>160</v>
      </c>
      <c r="AK209" s="697"/>
      <c r="AL209" s="697"/>
      <c r="AM209" s="697"/>
      <c r="AN209" s="697"/>
      <c r="AQ209" s="87" t="s">
        <v>471</v>
      </c>
      <c r="AR209" s="696"/>
      <c r="AS209" s="696"/>
      <c r="AT209" s="696"/>
      <c r="AU209" s="696"/>
      <c r="AV209" s="696"/>
      <c r="AW209" s="696"/>
      <c r="AX209" s="88">
        <v>118</v>
      </c>
      <c r="AY209" s="696"/>
      <c r="AZ209" s="696"/>
      <c r="BA209" s="696"/>
      <c r="BD209" s="91" t="s">
        <v>471</v>
      </c>
      <c r="BE209" s="705"/>
      <c r="BF209" s="705"/>
      <c r="BG209" s="705"/>
      <c r="BH209" s="705"/>
      <c r="BI209" s="705"/>
      <c r="BJ209" s="705"/>
      <c r="BK209" s="704">
        <v>4.2000000000000003E-2</v>
      </c>
      <c r="BL209" s="705"/>
      <c r="BM209" s="705"/>
      <c r="BN209" s="90">
        <v>34.1</v>
      </c>
    </row>
    <row r="210" spans="29:66" ht="26.25" customHeight="1" thickBot="1" x14ac:dyDescent="0.3">
      <c r="AC210" s="87" t="s">
        <v>473</v>
      </c>
      <c r="AD210" s="695">
        <v>116</v>
      </c>
      <c r="AE210" s="695">
        <v>116</v>
      </c>
      <c r="AF210" s="695">
        <v>105</v>
      </c>
      <c r="AG210" s="695">
        <v>74</v>
      </c>
      <c r="AH210" s="695">
        <v>70</v>
      </c>
      <c r="AI210" s="695" t="s">
        <v>435</v>
      </c>
      <c r="AJ210" s="88">
        <v>74</v>
      </c>
      <c r="AK210" s="88">
        <v>42</v>
      </c>
      <c r="AL210" s="88">
        <v>42</v>
      </c>
      <c r="AM210" s="695">
        <v>10</v>
      </c>
      <c r="AN210" s="695">
        <v>10</v>
      </c>
      <c r="AQ210" s="87" t="s">
        <v>472</v>
      </c>
      <c r="AR210" s="697"/>
      <c r="AS210" s="697"/>
      <c r="AT210" s="697"/>
      <c r="AU210" s="697"/>
      <c r="AV210" s="697"/>
      <c r="AW210" s="697"/>
      <c r="AX210" s="88">
        <v>163</v>
      </c>
      <c r="AY210" s="697"/>
      <c r="AZ210" s="697"/>
      <c r="BA210" s="697"/>
      <c r="BD210" s="91" t="s">
        <v>472</v>
      </c>
      <c r="BE210" s="706"/>
      <c r="BF210" s="706"/>
      <c r="BG210" s="706"/>
      <c r="BH210" s="706"/>
      <c r="BI210" s="706"/>
      <c r="BJ210" s="706"/>
      <c r="BK210" s="706"/>
      <c r="BL210" s="706"/>
      <c r="BM210" s="706"/>
      <c r="BN210" s="90">
        <v>49.2</v>
      </c>
    </row>
    <row r="211" spans="29:66" ht="26.25" customHeight="1" thickBot="1" x14ac:dyDescent="0.3">
      <c r="AC211" s="87" t="s">
        <v>474</v>
      </c>
      <c r="AD211" s="697"/>
      <c r="AE211" s="697"/>
      <c r="AF211" s="697"/>
      <c r="AG211" s="697"/>
      <c r="AH211" s="697"/>
      <c r="AI211" s="696"/>
      <c r="AJ211" s="88">
        <v>90</v>
      </c>
      <c r="AK211" s="88">
        <v>37</v>
      </c>
      <c r="AL211" s="88">
        <v>37</v>
      </c>
      <c r="AM211" s="696"/>
      <c r="AN211" s="696"/>
      <c r="AQ211" s="87" t="s">
        <v>473</v>
      </c>
      <c r="AR211" s="695">
        <v>10</v>
      </c>
      <c r="AS211" s="695">
        <v>13</v>
      </c>
      <c r="AT211" s="695">
        <v>4</v>
      </c>
      <c r="AU211" s="695">
        <v>69.5</v>
      </c>
      <c r="AV211" s="695">
        <v>27</v>
      </c>
      <c r="AW211" s="695">
        <v>27</v>
      </c>
      <c r="AX211" s="88">
        <v>74</v>
      </c>
      <c r="AY211" s="88">
        <v>22</v>
      </c>
      <c r="AZ211" s="695">
        <v>5</v>
      </c>
      <c r="BA211" s="695">
        <v>29.1</v>
      </c>
      <c r="BD211" s="91" t="s">
        <v>473</v>
      </c>
      <c r="BE211" s="704">
        <v>134</v>
      </c>
      <c r="BF211" s="704">
        <v>25</v>
      </c>
      <c r="BG211" s="704">
        <v>25</v>
      </c>
      <c r="BH211" s="704">
        <v>30</v>
      </c>
      <c r="BI211" s="704">
        <v>49</v>
      </c>
      <c r="BJ211" s="704">
        <v>25</v>
      </c>
      <c r="BK211" s="704">
        <v>1.7999999999999999E-2</v>
      </c>
      <c r="BL211" s="704">
        <v>2.5000000000000001E-3</v>
      </c>
      <c r="BM211" s="704">
        <v>3.5000000000000001E-3</v>
      </c>
      <c r="BN211" s="90">
        <v>6.2</v>
      </c>
    </row>
    <row r="212" spans="29:66" ht="26.25" customHeight="1" thickBot="1" x14ac:dyDescent="0.3">
      <c r="AC212" s="87" t="s">
        <v>475</v>
      </c>
      <c r="AD212" s="88">
        <v>131</v>
      </c>
      <c r="AE212" s="88">
        <v>131</v>
      </c>
      <c r="AF212" s="88">
        <v>123</v>
      </c>
      <c r="AG212" s="88">
        <v>90</v>
      </c>
      <c r="AH212" s="88">
        <v>84</v>
      </c>
      <c r="AI212" s="696"/>
      <c r="AJ212" s="88">
        <v>98</v>
      </c>
      <c r="AK212" s="88">
        <v>45</v>
      </c>
      <c r="AL212" s="88">
        <v>45</v>
      </c>
      <c r="AM212" s="697"/>
      <c r="AN212" s="697"/>
      <c r="AQ212" s="87" t="s">
        <v>474</v>
      </c>
      <c r="AR212" s="696"/>
      <c r="AS212" s="697"/>
      <c r="AT212" s="696"/>
      <c r="AU212" s="697"/>
      <c r="AV212" s="697"/>
      <c r="AW212" s="697"/>
      <c r="AX212" s="88">
        <v>90</v>
      </c>
      <c r="AY212" s="88">
        <v>16</v>
      </c>
      <c r="AZ212" s="697"/>
      <c r="BA212" s="697"/>
      <c r="BD212" s="91" t="s">
        <v>474</v>
      </c>
      <c r="BE212" s="706"/>
      <c r="BF212" s="706"/>
      <c r="BG212" s="706"/>
      <c r="BH212" s="706"/>
      <c r="BI212" s="705"/>
      <c r="BJ212" s="705"/>
      <c r="BK212" s="706"/>
      <c r="BL212" s="706"/>
      <c r="BM212" s="705"/>
      <c r="BN212" s="90">
        <v>6.8</v>
      </c>
    </row>
    <row r="213" spans="29:66" ht="26.25" customHeight="1" thickBot="1" x14ac:dyDescent="0.3">
      <c r="AC213" s="87" t="s">
        <v>476</v>
      </c>
      <c r="AD213" s="695">
        <v>149</v>
      </c>
      <c r="AE213" s="695">
        <v>149</v>
      </c>
      <c r="AF213" s="695">
        <v>135</v>
      </c>
      <c r="AG213" s="695">
        <v>100</v>
      </c>
      <c r="AH213" s="695">
        <v>95</v>
      </c>
      <c r="AI213" s="696"/>
      <c r="AJ213" s="88">
        <v>90</v>
      </c>
      <c r="AK213" s="695">
        <v>44</v>
      </c>
      <c r="AL213" s="695">
        <v>44</v>
      </c>
      <c r="AM213" s="695">
        <v>12</v>
      </c>
      <c r="AN213" s="695">
        <v>12</v>
      </c>
      <c r="AQ213" s="87" t="s">
        <v>530</v>
      </c>
      <c r="AR213" s="697"/>
      <c r="AS213" s="88">
        <v>10</v>
      </c>
      <c r="AT213" s="696"/>
      <c r="AU213" s="88">
        <v>83.5</v>
      </c>
      <c r="AV213" s="695">
        <v>32</v>
      </c>
      <c r="AW213" s="695">
        <v>32</v>
      </c>
      <c r="AX213" s="88">
        <v>98</v>
      </c>
      <c r="AY213" s="88">
        <v>20</v>
      </c>
      <c r="AZ213" s="695">
        <v>6</v>
      </c>
      <c r="BA213" s="695">
        <v>34.799999999999997</v>
      </c>
      <c r="BD213" s="91" t="s">
        <v>530</v>
      </c>
      <c r="BE213" s="90">
        <v>150</v>
      </c>
      <c r="BF213" s="704">
        <v>30</v>
      </c>
      <c r="BG213" s="704">
        <v>30</v>
      </c>
      <c r="BH213" s="90">
        <v>32.5</v>
      </c>
      <c r="BI213" s="706"/>
      <c r="BJ213" s="705"/>
      <c r="BK213" s="90">
        <v>2.7E-2</v>
      </c>
      <c r="BL213" s="90">
        <v>3.0000000000000001E-3</v>
      </c>
      <c r="BM213" s="706"/>
      <c r="BN213" s="90">
        <v>10.1</v>
      </c>
    </row>
    <row r="214" spans="29:66" ht="26.25" customHeight="1" thickBot="1" x14ac:dyDescent="0.3">
      <c r="AC214" s="87" t="s">
        <v>477</v>
      </c>
      <c r="AD214" s="696"/>
      <c r="AE214" s="696"/>
      <c r="AF214" s="696"/>
      <c r="AG214" s="697"/>
      <c r="AH214" s="697"/>
      <c r="AI214" s="696"/>
      <c r="AJ214" s="88">
        <v>120</v>
      </c>
      <c r="AK214" s="697"/>
      <c r="AL214" s="697"/>
      <c r="AM214" s="696"/>
      <c r="AN214" s="696"/>
      <c r="AQ214" s="87" t="s">
        <v>476</v>
      </c>
      <c r="AR214" s="695">
        <v>12</v>
      </c>
      <c r="AS214" s="695">
        <v>12</v>
      </c>
      <c r="AT214" s="696"/>
      <c r="AU214" s="695">
        <v>94.5</v>
      </c>
      <c r="AV214" s="696"/>
      <c r="AW214" s="696"/>
      <c r="AX214" s="88">
        <v>90</v>
      </c>
      <c r="AY214" s="695">
        <v>22</v>
      </c>
      <c r="AZ214" s="696"/>
      <c r="BA214" s="696"/>
      <c r="BD214" s="91" t="s">
        <v>476</v>
      </c>
      <c r="BE214" s="90">
        <v>172</v>
      </c>
      <c r="BF214" s="706"/>
      <c r="BG214" s="706"/>
      <c r="BH214" s="90">
        <v>38</v>
      </c>
      <c r="BI214" s="90">
        <v>55</v>
      </c>
      <c r="BJ214" s="706"/>
      <c r="BK214" s="90">
        <v>3.9E-2</v>
      </c>
      <c r="BL214" s="90">
        <v>4.0000000000000001E-3</v>
      </c>
      <c r="BM214" s="90">
        <v>4.4999999999999997E-3</v>
      </c>
      <c r="BN214" s="90">
        <v>11</v>
      </c>
    </row>
    <row r="215" spans="29:66" ht="26.25" customHeight="1" thickBot="1" x14ac:dyDescent="0.3">
      <c r="AC215" s="87" t="s">
        <v>478</v>
      </c>
      <c r="AD215" s="696"/>
      <c r="AE215" s="696"/>
      <c r="AF215" s="696"/>
      <c r="AG215" s="695">
        <v>105</v>
      </c>
      <c r="AH215" s="695">
        <v>100</v>
      </c>
      <c r="AI215" s="696"/>
      <c r="AJ215" s="88">
        <v>110</v>
      </c>
      <c r="AK215" s="88">
        <v>45</v>
      </c>
      <c r="AL215" s="88">
        <v>45</v>
      </c>
      <c r="AM215" s="696"/>
      <c r="AN215" s="696"/>
      <c r="AQ215" s="87" t="s">
        <v>477</v>
      </c>
      <c r="AR215" s="696"/>
      <c r="AS215" s="696"/>
      <c r="AT215" s="696"/>
      <c r="AU215" s="697"/>
      <c r="AV215" s="696"/>
      <c r="AW215" s="696"/>
      <c r="AX215" s="88">
        <v>120</v>
      </c>
      <c r="AY215" s="697"/>
      <c r="AZ215" s="696"/>
      <c r="BA215" s="696"/>
      <c r="BD215" s="704" t="s">
        <v>477</v>
      </c>
      <c r="BE215" s="704">
        <v>172</v>
      </c>
      <c r="BF215" s="704">
        <v>30</v>
      </c>
      <c r="BG215" s="704">
        <v>30</v>
      </c>
      <c r="BH215" s="704">
        <v>38</v>
      </c>
      <c r="BI215" s="704">
        <v>55</v>
      </c>
      <c r="BJ215" s="704">
        <v>25</v>
      </c>
      <c r="BK215" s="704">
        <v>3.9E-2</v>
      </c>
      <c r="BL215" s="704">
        <v>4.0000000000000001E-3</v>
      </c>
      <c r="BM215" s="704">
        <v>4.4999999999999997E-3</v>
      </c>
      <c r="BN215" s="90"/>
    </row>
    <row r="216" spans="29:66" ht="26.25" customHeight="1" thickBot="1" x14ac:dyDescent="0.3">
      <c r="AC216" s="87" t="s">
        <v>479</v>
      </c>
      <c r="AD216" s="697"/>
      <c r="AE216" s="697"/>
      <c r="AF216" s="697"/>
      <c r="AG216" s="697"/>
      <c r="AH216" s="697"/>
      <c r="AI216" s="696"/>
      <c r="AJ216" s="88">
        <v>100</v>
      </c>
      <c r="AK216" s="88">
        <v>36</v>
      </c>
      <c r="AL216" s="88">
        <v>36</v>
      </c>
      <c r="AM216" s="697"/>
      <c r="AN216" s="696"/>
      <c r="AQ216" s="87" t="s">
        <v>478</v>
      </c>
      <c r="AR216" s="696"/>
      <c r="AS216" s="696"/>
      <c r="AT216" s="696"/>
      <c r="AU216" s="695">
        <v>99.5</v>
      </c>
      <c r="AV216" s="696"/>
      <c r="AW216" s="696"/>
      <c r="AX216" s="88">
        <v>110</v>
      </c>
      <c r="AY216" s="695">
        <v>30</v>
      </c>
      <c r="AZ216" s="696"/>
      <c r="BA216" s="696"/>
      <c r="BD216" s="706"/>
      <c r="BE216" s="705"/>
      <c r="BF216" s="705"/>
      <c r="BG216" s="705"/>
      <c r="BH216" s="705"/>
      <c r="BI216" s="705"/>
      <c r="BJ216" s="705"/>
      <c r="BK216" s="706"/>
      <c r="BL216" s="705"/>
      <c r="BM216" s="705"/>
      <c r="BN216" s="90">
        <v>14.3</v>
      </c>
    </row>
    <row r="217" spans="29:66" ht="26.25" customHeight="1" thickBot="1" x14ac:dyDescent="0.3">
      <c r="AC217" s="87" t="s">
        <v>480</v>
      </c>
      <c r="AD217" s="695">
        <v>168</v>
      </c>
      <c r="AE217" s="695">
        <v>168</v>
      </c>
      <c r="AF217" s="695">
        <v>158</v>
      </c>
      <c r="AG217" s="695">
        <v>109</v>
      </c>
      <c r="AH217" s="695">
        <v>105</v>
      </c>
      <c r="AI217" s="696"/>
      <c r="AJ217" s="88">
        <v>110</v>
      </c>
      <c r="AK217" s="695">
        <v>47</v>
      </c>
      <c r="AL217" s="695">
        <v>47</v>
      </c>
      <c r="AM217" s="695">
        <v>14</v>
      </c>
      <c r="AN217" s="696"/>
      <c r="AQ217" s="87" t="s">
        <v>479</v>
      </c>
      <c r="AR217" s="697"/>
      <c r="AS217" s="697"/>
      <c r="AT217" s="696"/>
      <c r="AU217" s="697"/>
      <c r="AV217" s="697"/>
      <c r="AW217" s="697"/>
      <c r="AX217" s="88">
        <v>100</v>
      </c>
      <c r="AY217" s="697"/>
      <c r="AZ217" s="696"/>
      <c r="BA217" s="697"/>
      <c r="BD217" s="91" t="s">
        <v>478</v>
      </c>
      <c r="BE217" s="705"/>
      <c r="BF217" s="705"/>
      <c r="BG217" s="705"/>
      <c r="BH217" s="705"/>
      <c r="BI217" s="705"/>
      <c r="BJ217" s="705"/>
      <c r="BK217" s="704">
        <v>2.8000000000000001E-2</v>
      </c>
      <c r="BL217" s="705"/>
      <c r="BM217" s="705"/>
      <c r="BN217" s="90">
        <v>13.5</v>
      </c>
    </row>
    <row r="218" spans="29:66" ht="26.25" customHeight="1" thickBot="1" x14ac:dyDescent="0.3">
      <c r="AC218" s="87" t="s">
        <v>481</v>
      </c>
      <c r="AD218" s="697"/>
      <c r="AE218" s="697"/>
      <c r="AF218" s="697"/>
      <c r="AG218" s="697"/>
      <c r="AH218" s="697"/>
      <c r="AI218" s="697"/>
      <c r="AJ218" s="88">
        <v>140</v>
      </c>
      <c r="AK218" s="697"/>
      <c r="AL218" s="697"/>
      <c r="AM218" s="697"/>
      <c r="AN218" s="697"/>
      <c r="AQ218" s="87" t="s">
        <v>480</v>
      </c>
      <c r="AR218" s="695">
        <v>14</v>
      </c>
      <c r="AS218" s="695">
        <v>14</v>
      </c>
      <c r="AT218" s="696"/>
      <c r="AU218" s="695">
        <v>104.4</v>
      </c>
      <c r="AV218" s="695">
        <v>37</v>
      </c>
      <c r="AW218" s="695">
        <v>37</v>
      </c>
      <c r="AX218" s="88">
        <v>110</v>
      </c>
      <c r="AY218" s="695">
        <v>23</v>
      </c>
      <c r="AZ218" s="696"/>
      <c r="BA218" s="695">
        <v>39.799999999999997</v>
      </c>
      <c r="BD218" s="91" t="s">
        <v>479</v>
      </c>
      <c r="BE218" s="706"/>
      <c r="BF218" s="706"/>
      <c r="BG218" s="706"/>
      <c r="BH218" s="706"/>
      <c r="BI218" s="706"/>
      <c r="BJ218" s="706"/>
      <c r="BK218" s="706"/>
      <c r="BL218" s="706"/>
      <c r="BM218" s="706"/>
      <c r="BN218" s="90">
        <v>12.5</v>
      </c>
    </row>
    <row r="219" spans="29:66" ht="26.25" customHeight="1" thickBot="1" x14ac:dyDescent="0.3">
      <c r="AC219" s="87" t="s">
        <v>482</v>
      </c>
      <c r="AD219" s="695">
        <v>168</v>
      </c>
      <c r="AE219" s="695">
        <v>168</v>
      </c>
      <c r="AF219" s="695">
        <v>158</v>
      </c>
      <c r="AG219" s="695">
        <v>109</v>
      </c>
      <c r="AH219" s="695">
        <v>105</v>
      </c>
      <c r="AI219" s="695" t="s">
        <v>435</v>
      </c>
      <c r="AJ219" s="88">
        <v>110</v>
      </c>
      <c r="AK219" s="695">
        <v>47</v>
      </c>
      <c r="AL219" s="695">
        <v>47</v>
      </c>
      <c r="AM219" s="695">
        <v>14</v>
      </c>
      <c r="AN219" s="695">
        <v>14</v>
      </c>
      <c r="AQ219" s="87" t="s">
        <v>481</v>
      </c>
      <c r="AR219" s="697"/>
      <c r="AS219" s="697"/>
      <c r="AT219" s="697"/>
      <c r="AU219" s="697"/>
      <c r="AV219" s="697"/>
      <c r="AW219" s="697"/>
      <c r="AX219" s="88">
        <v>140</v>
      </c>
      <c r="AY219" s="697"/>
      <c r="AZ219" s="697"/>
      <c r="BA219" s="697"/>
      <c r="BD219" s="91" t="s">
        <v>480</v>
      </c>
      <c r="BE219" s="704">
        <v>194</v>
      </c>
      <c r="BF219" s="704">
        <v>35</v>
      </c>
      <c r="BG219" s="704">
        <v>35</v>
      </c>
      <c r="BH219" s="704">
        <v>45</v>
      </c>
      <c r="BI219" s="704">
        <v>59</v>
      </c>
      <c r="BJ219" s="704">
        <v>28</v>
      </c>
      <c r="BK219" s="704">
        <v>4.8000000000000001E-2</v>
      </c>
      <c r="BL219" s="704">
        <v>5.0000000000000001E-3</v>
      </c>
      <c r="BM219" s="704">
        <v>6.4999999999999997E-3</v>
      </c>
      <c r="BN219" s="90">
        <v>18.7</v>
      </c>
    </row>
    <row r="220" spans="29:66" ht="26.25" customHeight="1" thickBot="1" x14ac:dyDescent="0.3">
      <c r="AC220" s="87" t="s">
        <v>483</v>
      </c>
      <c r="AD220" s="696"/>
      <c r="AE220" s="696"/>
      <c r="AF220" s="696"/>
      <c r="AG220" s="697"/>
      <c r="AH220" s="697"/>
      <c r="AI220" s="696"/>
      <c r="AJ220" s="88">
        <v>140</v>
      </c>
      <c r="AK220" s="696"/>
      <c r="AL220" s="696"/>
      <c r="AM220" s="696"/>
      <c r="AN220" s="696"/>
      <c r="AQ220" s="87" t="s">
        <v>482</v>
      </c>
      <c r="AR220" s="88">
        <v>14</v>
      </c>
      <c r="AS220" s="88">
        <v>14</v>
      </c>
      <c r="AT220" s="88">
        <v>4</v>
      </c>
      <c r="AU220" s="88">
        <v>104.4</v>
      </c>
      <c r="AV220" s="88">
        <v>37</v>
      </c>
      <c r="AW220" s="88">
        <v>37</v>
      </c>
      <c r="AX220" s="88">
        <v>110</v>
      </c>
      <c r="AY220" s="88">
        <v>23</v>
      </c>
      <c r="AZ220" s="88">
        <v>6</v>
      </c>
      <c r="BA220" s="88">
        <v>39.799999999999997</v>
      </c>
      <c r="BD220" s="91" t="s">
        <v>481</v>
      </c>
      <c r="BE220" s="705"/>
      <c r="BF220" s="705"/>
      <c r="BG220" s="705"/>
      <c r="BH220" s="705"/>
      <c r="BI220" s="705"/>
      <c r="BJ220" s="705"/>
      <c r="BK220" s="706"/>
      <c r="BL220" s="705"/>
      <c r="BM220" s="705"/>
      <c r="BN220" s="90">
        <v>22.6</v>
      </c>
    </row>
    <row r="221" spans="29:66" ht="26.25" customHeight="1" thickBot="1" x14ac:dyDescent="0.3">
      <c r="AC221" s="87" t="s">
        <v>484</v>
      </c>
      <c r="AD221" s="696"/>
      <c r="AE221" s="696"/>
      <c r="AF221" s="696"/>
      <c r="AG221" s="695">
        <v>118</v>
      </c>
      <c r="AH221" s="695">
        <v>113</v>
      </c>
      <c r="AI221" s="696"/>
      <c r="AJ221" s="88">
        <v>110</v>
      </c>
      <c r="AK221" s="696"/>
      <c r="AL221" s="696"/>
      <c r="AM221" s="696"/>
      <c r="AN221" s="696"/>
      <c r="AQ221" s="87" t="s">
        <v>531</v>
      </c>
      <c r="AR221" s="695">
        <v>14</v>
      </c>
      <c r="AS221" s="695">
        <v>14</v>
      </c>
      <c r="AT221" s="695"/>
      <c r="AU221" s="88">
        <v>104.4</v>
      </c>
      <c r="AV221" s="695">
        <v>37</v>
      </c>
      <c r="AW221" s="695">
        <v>37</v>
      </c>
      <c r="AX221" s="88">
        <v>140</v>
      </c>
      <c r="AY221" s="695">
        <v>23</v>
      </c>
      <c r="AZ221" s="695">
        <v>6</v>
      </c>
      <c r="BA221" s="695">
        <v>39.799999999999997</v>
      </c>
      <c r="BD221" s="91" t="s">
        <v>482</v>
      </c>
      <c r="BE221" s="705"/>
      <c r="BF221" s="705"/>
      <c r="BG221" s="705"/>
      <c r="BH221" s="705"/>
      <c r="BI221" s="705"/>
      <c r="BJ221" s="705"/>
      <c r="BK221" s="704">
        <v>3.2000000000000001E-2</v>
      </c>
      <c r="BL221" s="705"/>
      <c r="BM221" s="705"/>
      <c r="BN221" s="90">
        <v>18.7</v>
      </c>
    </row>
    <row r="222" spans="29:66" ht="26.25" customHeight="1" thickBot="1" x14ac:dyDescent="0.3">
      <c r="AC222" s="87" t="s">
        <v>485</v>
      </c>
      <c r="AD222" s="696"/>
      <c r="AE222" s="696"/>
      <c r="AF222" s="696"/>
      <c r="AG222" s="696"/>
      <c r="AH222" s="696"/>
      <c r="AI222" s="696"/>
      <c r="AJ222" s="88">
        <v>140</v>
      </c>
      <c r="AK222" s="696"/>
      <c r="AL222" s="696"/>
      <c r="AM222" s="696"/>
      <c r="AN222" s="696"/>
      <c r="AQ222" s="87" t="s">
        <v>484</v>
      </c>
      <c r="AR222" s="696"/>
      <c r="AS222" s="696"/>
      <c r="AT222" s="696"/>
      <c r="AU222" s="695">
        <v>112.4</v>
      </c>
      <c r="AV222" s="696"/>
      <c r="AW222" s="696"/>
      <c r="AX222" s="88">
        <v>110</v>
      </c>
      <c r="AY222" s="696"/>
      <c r="AZ222" s="696"/>
      <c r="BA222" s="696"/>
      <c r="BD222" s="91" t="s">
        <v>531</v>
      </c>
      <c r="BE222" s="705"/>
      <c r="BF222" s="705"/>
      <c r="BG222" s="705"/>
      <c r="BH222" s="705"/>
      <c r="BI222" s="705"/>
      <c r="BJ222" s="705"/>
      <c r="BK222" s="706"/>
      <c r="BL222" s="705"/>
      <c r="BM222" s="705"/>
      <c r="BN222" s="90">
        <v>22.6</v>
      </c>
    </row>
    <row r="223" spans="29:66" ht="26.25" customHeight="1" thickBot="1" x14ac:dyDescent="0.3">
      <c r="AC223" s="87" t="s">
        <v>486</v>
      </c>
      <c r="AD223" s="696"/>
      <c r="AE223" s="696"/>
      <c r="AF223" s="696"/>
      <c r="AG223" s="696"/>
      <c r="AH223" s="696"/>
      <c r="AI223" s="696"/>
      <c r="AJ223" s="88">
        <v>110</v>
      </c>
      <c r="AK223" s="696"/>
      <c r="AL223" s="696"/>
      <c r="AM223" s="696"/>
      <c r="AN223" s="696"/>
      <c r="AQ223" s="87" t="s">
        <v>485</v>
      </c>
      <c r="AR223" s="696"/>
      <c r="AS223" s="696"/>
      <c r="AT223" s="696"/>
      <c r="AU223" s="696"/>
      <c r="AV223" s="696"/>
      <c r="AW223" s="696"/>
      <c r="AX223" s="88">
        <v>140</v>
      </c>
      <c r="AY223" s="696"/>
      <c r="AZ223" s="696"/>
      <c r="BA223" s="696"/>
      <c r="BD223" s="91" t="s">
        <v>484</v>
      </c>
      <c r="BE223" s="705"/>
      <c r="BF223" s="705"/>
      <c r="BG223" s="705"/>
      <c r="BH223" s="705"/>
      <c r="BI223" s="705"/>
      <c r="BJ223" s="705"/>
      <c r="BK223" s="704">
        <v>2.4E-2</v>
      </c>
      <c r="BL223" s="705"/>
      <c r="BM223" s="705"/>
      <c r="BN223" s="90">
        <v>17</v>
      </c>
    </row>
    <row r="224" spans="29:66" ht="26.25" customHeight="1" thickBot="1" x14ac:dyDescent="0.3">
      <c r="AC224" s="87" t="s">
        <v>487</v>
      </c>
      <c r="AD224" s="696"/>
      <c r="AE224" s="696"/>
      <c r="AF224" s="696"/>
      <c r="AG224" s="697"/>
      <c r="AH224" s="697"/>
      <c r="AI224" s="696"/>
      <c r="AJ224" s="88">
        <v>140</v>
      </c>
      <c r="AK224" s="696"/>
      <c r="AL224" s="696"/>
      <c r="AM224" s="696"/>
      <c r="AN224" s="696"/>
      <c r="AQ224" s="87" t="s">
        <v>486</v>
      </c>
      <c r="AR224" s="696"/>
      <c r="AS224" s="696"/>
      <c r="AT224" s="696"/>
      <c r="AU224" s="696"/>
      <c r="AV224" s="696"/>
      <c r="AW224" s="696"/>
      <c r="AX224" s="88">
        <v>110</v>
      </c>
      <c r="AY224" s="696"/>
      <c r="AZ224" s="696"/>
      <c r="BA224" s="696"/>
      <c r="BD224" s="91" t="s">
        <v>485</v>
      </c>
      <c r="BE224" s="705"/>
      <c r="BF224" s="705"/>
      <c r="BG224" s="705"/>
      <c r="BH224" s="705"/>
      <c r="BI224" s="705"/>
      <c r="BJ224" s="705"/>
      <c r="BK224" s="705"/>
      <c r="BL224" s="705"/>
      <c r="BM224" s="705"/>
      <c r="BN224" s="90">
        <v>21</v>
      </c>
    </row>
    <row r="225" spans="29:66" ht="26.25" customHeight="1" thickBot="1" x14ac:dyDescent="0.3">
      <c r="AC225" s="87" t="s">
        <v>488</v>
      </c>
      <c r="AD225" s="696"/>
      <c r="AE225" s="696"/>
      <c r="AF225" s="696"/>
      <c r="AG225" s="695">
        <v>109</v>
      </c>
      <c r="AH225" s="695">
        <v>105</v>
      </c>
      <c r="AI225" s="696"/>
      <c r="AJ225" s="88">
        <v>110</v>
      </c>
      <c r="AK225" s="696"/>
      <c r="AL225" s="696"/>
      <c r="AM225" s="696"/>
      <c r="AN225" s="696"/>
      <c r="AQ225" s="87" t="s">
        <v>487</v>
      </c>
      <c r="AR225" s="696"/>
      <c r="AS225" s="696"/>
      <c r="AT225" s="696"/>
      <c r="AU225" s="697"/>
      <c r="AV225" s="696"/>
      <c r="AW225" s="696"/>
      <c r="AX225" s="88">
        <v>140</v>
      </c>
      <c r="AY225" s="696"/>
      <c r="AZ225" s="696"/>
      <c r="BA225" s="696"/>
      <c r="BD225" s="91" t="s">
        <v>486</v>
      </c>
      <c r="BE225" s="705"/>
      <c r="BF225" s="705"/>
      <c r="BG225" s="705"/>
      <c r="BH225" s="705"/>
      <c r="BI225" s="705"/>
      <c r="BJ225" s="705"/>
      <c r="BK225" s="705"/>
      <c r="BL225" s="705"/>
      <c r="BM225" s="705"/>
      <c r="BN225" s="90">
        <v>17</v>
      </c>
    </row>
    <row r="226" spans="29:66" ht="26.25" customHeight="1" thickBot="1" x14ac:dyDescent="0.3">
      <c r="AC226" s="87" t="s">
        <v>489</v>
      </c>
      <c r="AD226" s="696"/>
      <c r="AE226" s="696"/>
      <c r="AF226" s="696"/>
      <c r="AG226" s="696"/>
      <c r="AH226" s="696"/>
      <c r="AI226" s="696"/>
      <c r="AJ226" s="88">
        <v>140</v>
      </c>
      <c r="AK226" s="696"/>
      <c r="AL226" s="696"/>
      <c r="AM226" s="696"/>
      <c r="AN226" s="696"/>
      <c r="AQ226" s="87" t="s">
        <v>488</v>
      </c>
      <c r="AR226" s="696"/>
      <c r="AS226" s="696"/>
      <c r="AT226" s="696"/>
      <c r="AU226" s="695">
        <v>104.4</v>
      </c>
      <c r="AV226" s="696"/>
      <c r="AW226" s="696"/>
      <c r="AX226" s="88">
        <v>110</v>
      </c>
      <c r="AY226" s="696"/>
      <c r="AZ226" s="696"/>
      <c r="BA226" s="696"/>
      <c r="BD226" s="91" t="s">
        <v>487</v>
      </c>
      <c r="BE226" s="705"/>
      <c r="BF226" s="705"/>
      <c r="BG226" s="705"/>
      <c r="BH226" s="705"/>
      <c r="BI226" s="705"/>
      <c r="BJ226" s="705"/>
      <c r="BK226" s="706"/>
      <c r="BL226" s="705"/>
      <c r="BM226" s="705"/>
      <c r="BN226" s="90">
        <v>21</v>
      </c>
    </row>
    <row r="227" spans="29:66" ht="26.25" customHeight="1" thickBot="1" x14ac:dyDescent="0.3">
      <c r="AC227" s="87" t="s">
        <v>490</v>
      </c>
      <c r="AD227" s="696"/>
      <c r="AE227" s="696"/>
      <c r="AF227" s="696"/>
      <c r="AG227" s="696"/>
      <c r="AH227" s="696"/>
      <c r="AI227" s="696"/>
      <c r="AJ227" s="88">
        <v>110</v>
      </c>
      <c r="AK227" s="696"/>
      <c r="AL227" s="696"/>
      <c r="AM227" s="696"/>
      <c r="AN227" s="696"/>
      <c r="AQ227" s="87" t="s">
        <v>489</v>
      </c>
      <c r="AR227" s="696"/>
      <c r="AS227" s="696"/>
      <c r="AT227" s="696"/>
      <c r="AU227" s="696"/>
      <c r="AV227" s="696"/>
      <c r="AW227" s="696"/>
      <c r="AX227" s="88">
        <v>140</v>
      </c>
      <c r="AY227" s="696"/>
      <c r="AZ227" s="696"/>
      <c r="BA227" s="696"/>
      <c r="BD227" s="91" t="s">
        <v>488</v>
      </c>
      <c r="BE227" s="705"/>
      <c r="BF227" s="705"/>
      <c r="BG227" s="705"/>
      <c r="BH227" s="705"/>
      <c r="BI227" s="705"/>
      <c r="BJ227" s="705"/>
      <c r="BK227" s="704">
        <v>3.0200000000000001E-2</v>
      </c>
      <c r="BL227" s="705"/>
      <c r="BM227" s="705"/>
      <c r="BN227" s="90">
        <v>18.7</v>
      </c>
    </row>
    <row r="228" spans="29:66" ht="26.25" customHeight="1" thickBot="1" x14ac:dyDescent="0.3">
      <c r="AC228" s="87" t="s">
        <v>491</v>
      </c>
      <c r="AD228" s="696"/>
      <c r="AE228" s="696"/>
      <c r="AF228" s="696"/>
      <c r="AG228" s="697"/>
      <c r="AH228" s="697"/>
      <c r="AI228" s="697"/>
      <c r="AJ228" s="88">
        <v>140</v>
      </c>
      <c r="AK228" s="697"/>
      <c r="AL228" s="697"/>
      <c r="AM228" s="697"/>
      <c r="AN228" s="697"/>
      <c r="AQ228" s="87" t="s">
        <v>490</v>
      </c>
      <c r="AR228" s="696"/>
      <c r="AS228" s="696"/>
      <c r="AT228" s="696"/>
      <c r="AU228" s="696"/>
      <c r="AV228" s="696"/>
      <c r="AW228" s="696"/>
      <c r="AX228" s="88">
        <v>110</v>
      </c>
      <c r="AY228" s="696"/>
      <c r="AZ228" s="696"/>
      <c r="BA228" s="696"/>
      <c r="BD228" s="91" t="s">
        <v>489</v>
      </c>
      <c r="BE228" s="705"/>
      <c r="BF228" s="705"/>
      <c r="BG228" s="705"/>
      <c r="BH228" s="705"/>
      <c r="BI228" s="705"/>
      <c r="BJ228" s="705"/>
      <c r="BK228" s="706"/>
      <c r="BL228" s="705"/>
      <c r="BM228" s="705"/>
      <c r="BN228" s="90">
        <v>22.6</v>
      </c>
    </row>
    <row r="229" spans="29:66" ht="26.25" customHeight="1" thickBot="1" x14ac:dyDescent="0.3">
      <c r="AC229" s="87" t="s">
        <v>492</v>
      </c>
      <c r="AD229" s="696"/>
      <c r="AE229" s="696"/>
      <c r="AF229" s="696"/>
      <c r="AG229" s="695">
        <v>118</v>
      </c>
      <c r="AH229" s="695">
        <v>113</v>
      </c>
      <c r="AI229" s="695"/>
      <c r="AJ229" s="88">
        <v>110</v>
      </c>
      <c r="AK229" s="695">
        <v>47</v>
      </c>
      <c r="AL229" s="695">
        <v>47</v>
      </c>
      <c r="AM229" s="695">
        <v>14</v>
      </c>
      <c r="AN229" s="695">
        <v>14</v>
      </c>
      <c r="AQ229" s="87" t="s">
        <v>491</v>
      </c>
      <c r="AR229" s="696"/>
      <c r="AS229" s="696"/>
      <c r="AT229" s="696"/>
      <c r="AU229" s="697"/>
      <c r="AV229" s="696"/>
      <c r="AW229" s="696"/>
      <c r="AX229" s="88">
        <v>140</v>
      </c>
      <c r="AY229" s="696"/>
      <c r="AZ229" s="696"/>
      <c r="BA229" s="696"/>
      <c r="BD229" s="91" t="s">
        <v>490</v>
      </c>
      <c r="BE229" s="705"/>
      <c r="BF229" s="705"/>
      <c r="BG229" s="705"/>
      <c r="BH229" s="705"/>
      <c r="BI229" s="705"/>
      <c r="BJ229" s="705"/>
      <c r="BK229" s="704">
        <v>2.4E-2</v>
      </c>
      <c r="BL229" s="705"/>
      <c r="BM229" s="705"/>
      <c r="BN229" s="90">
        <v>18.7</v>
      </c>
    </row>
    <row r="230" spans="29:66" ht="26.25" customHeight="1" thickBot="1" x14ac:dyDescent="0.3">
      <c r="AC230" s="87" t="s">
        <v>493</v>
      </c>
      <c r="AD230" s="696"/>
      <c r="AE230" s="696"/>
      <c r="AF230" s="696"/>
      <c r="AG230" s="696"/>
      <c r="AH230" s="696"/>
      <c r="AI230" s="696"/>
      <c r="AJ230" s="88">
        <v>140</v>
      </c>
      <c r="AK230" s="696"/>
      <c r="AL230" s="696"/>
      <c r="AM230" s="696"/>
      <c r="AN230" s="696"/>
      <c r="AQ230" s="87" t="s">
        <v>492</v>
      </c>
      <c r="AR230" s="696"/>
      <c r="AS230" s="696"/>
      <c r="AT230" s="696"/>
      <c r="AU230" s="695">
        <v>112.4</v>
      </c>
      <c r="AV230" s="696"/>
      <c r="AW230" s="696"/>
      <c r="AX230" s="88">
        <v>110</v>
      </c>
      <c r="AY230" s="696"/>
      <c r="AZ230" s="696"/>
      <c r="BA230" s="696"/>
      <c r="BD230" s="91" t="s">
        <v>491</v>
      </c>
      <c r="BE230" s="705"/>
      <c r="BF230" s="705"/>
      <c r="BG230" s="705"/>
      <c r="BH230" s="705"/>
      <c r="BI230" s="705"/>
      <c r="BJ230" s="705"/>
      <c r="BK230" s="705"/>
      <c r="BL230" s="705"/>
      <c r="BM230" s="705"/>
      <c r="BN230" s="90">
        <v>22.6</v>
      </c>
    </row>
    <row r="231" spans="29:66" ht="26.25" customHeight="1" thickBot="1" x14ac:dyDescent="0.3">
      <c r="AC231" s="87" t="s">
        <v>494</v>
      </c>
      <c r="AD231" s="696"/>
      <c r="AE231" s="696"/>
      <c r="AF231" s="696"/>
      <c r="AG231" s="696"/>
      <c r="AH231" s="696"/>
      <c r="AI231" s="696"/>
      <c r="AJ231" s="88">
        <v>110</v>
      </c>
      <c r="AK231" s="696"/>
      <c r="AL231" s="696"/>
      <c r="AM231" s="696"/>
      <c r="AN231" s="696"/>
      <c r="AQ231" s="87" t="s">
        <v>493</v>
      </c>
      <c r="AR231" s="696"/>
      <c r="AS231" s="696"/>
      <c r="AT231" s="696"/>
      <c r="AU231" s="696"/>
      <c r="AV231" s="696"/>
      <c r="AW231" s="696"/>
      <c r="AX231" s="88">
        <v>140</v>
      </c>
      <c r="AY231" s="696"/>
      <c r="AZ231" s="696"/>
      <c r="BA231" s="696"/>
      <c r="BD231" s="91" t="s">
        <v>492</v>
      </c>
      <c r="BE231" s="705"/>
      <c r="BF231" s="705"/>
      <c r="BG231" s="705"/>
      <c r="BH231" s="705"/>
      <c r="BI231" s="705"/>
      <c r="BJ231" s="705"/>
      <c r="BK231" s="705"/>
      <c r="BL231" s="705"/>
      <c r="BM231" s="705"/>
      <c r="BN231" s="90">
        <v>17</v>
      </c>
    </row>
    <row r="232" spans="29:66" ht="26.25" customHeight="1" thickBot="1" x14ac:dyDescent="0.3">
      <c r="AC232" s="87" t="s">
        <v>495</v>
      </c>
      <c r="AD232" s="697"/>
      <c r="AE232" s="697"/>
      <c r="AF232" s="697"/>
      <c r="AG232" s="697"/>
      <c r="AH232" s="697"/>
      <c r="AI232" s="697"/>
      <c r="AJ232" s="88">
        <v>140</v>
      </c>
      <c r="AK232" s="697"/>
      <c r="AL232" s="697"/>
      <c r="AM232" s="697"/>
      <c r="AN232" s="697"/>
      <c r="AQ232" s="87" t="s">
        <v>494</v>
      </c>
      <c r="AR232" s="696"/>
      <c r="AS232" s="696"/>
      <c r="AT232" s="696"/>
      <c r="AU232" s="696"/>
      <c r="AV232" s="696"/>
      <c r="AW232" s="696"/>
      <c r="AX232" s="88">
        <v>110</v>
      </c>
      <c r="AY232" s="696"/>
      <c r="AZ232" s="696"/>
      <c r="BA232" s="696"/>
      <c r="BD232" s="91" t="s">
        <v>493</v>
      </c>
      <c r="BE232" s="705"/>
      <c r="BF232" s="705"/>
      <c r="BG232" s="705"/>
      <c r="BH232" s="705"/>
      <c r="BI232" s="705"/>
      <c r="BJ232" s="705"/>
      <c r="BK232" s="705"/>
      <c r="BL232" s="705"/>
      <c r="BM232" s="705"/>
      <c r="BN232" s="90">
        <v>21</v>
      </c>
    </row>
    <row r="233" spans="29:66" ht="26.25" customHeight="1" thickBot="1" x14ac:dyDescent="0.3">
      <c r="AQ233" s="87" t="s">
        <v>495</v>
      </c>
      <c r="AR233" s="697"/>
      <c r="AS233" s="697"/>
      <c r="AT233" s="697"/>
      <c r="AU233" s="697"/>
      <c r="AV233" s="697"/>
      <c r="AW233" s="697"/>
      <c r="AX233" s="88">
        <v>140</v>
      </c>
      <c r="AY233" s="697"/>
      <c r="AZ233" s="697"/>
      <c r="BA233" s="697"/>
      <c r="BD233" s="91" t="s">
        <v>494</v>
      </c>
      <c r="BE233" s="705"/>
      <c r="BF233" s="705"/>
      <c r="BG233" s="705"/>
      <c r="BH233" s="705"/>
      <c r="BI233" s="705"/>
      <c r="BJ233" s="705"/>
      <c r="BK233" s="705"/>
      <c r="BL233" s="705"/>
      <c r="BM233" s="705"/>
      <c r="BN233" s="90">
        <v>17</v>
      </c>
    </row>
    <row r="234" spans="29:66" ht="15.75" thickBot="1" x14ac:dyDescent="0.3">
      <c r="BD234" s="91" t="s">
        <v>495</v>
      </c>
      <c r="BE234" s="706"/>
      <c r="BF234" s="706"/>
      <c r="BG234" s="706"/>
      <c r="BH234" s="706"/>
      <c r="BI234" s="706"/>
      <c r="BJ234" s="706"/>
      <c r="BK234" s="706"/>
      <c r="BL234" s="706"/>
      <c r="BM234" s="706"/>
      <c r="BN234" s="90">
        <v>21</v>
      </c>
    </row>
  </sheetData>
  <mergeCells count="734">
    <mergeCell ref="BM219:BM234"/>
    <mergeCell ref="BK221:BK222"/>
    <mergeCell ref="BK223:BK226"/>
    <mergeCell ref="BK227:BK228"/>
    <mergeCell ref="BK229:BK234"/>
    <mergeCell ref="BD169:BD171"/>
    <mergeCell ref="BD215:BD216"/>
    <mergeCell ref="BE215:BE218"/>
    <mergeCell ref="BF215:BF218"/>
    <mergeCell ref="BG215:BG218"/>
    <mergeCell ref="BH215:BH218"/>
    <mergeCell ref="BI215:BI218"/>
    <mergeCell ref="BJ215:BJ218"/>
    <mergeCell ref="BK215:BK216"/>
    <mergeCell ref="BK217:BK218"/>
    <mergeCell ref="BL215:BL218"/>
    <mergeCell ref="BM215:BM218"/>
    <mergeCell ref="BE219:BE234"/>
    <mergeCell ref="BF219:BF234"/>
    <mergeCell ref="BG219:BG234"/>
    <mergeCell ref="BH219:BH234"/>
    <mergeCell ref="BI219:BI234"/>
    <mergeCell ref="BJ219:BJ234"/>
    <mergeCell ref="BE211:BE212"/>
    <mergeCell ref="BF211:BF212"/>
    <mergeCell ref="BG211:BG212"/>
    <mergeCell ref="BH211:BH212"/>
    <mergeCell ref="BI211:BI213"/>
    <mergeCell ref="BJ211:BJ214"/>
    <mergeCell ref="BK211:BK212"/>
    <mergeCell ref="BL211:BL212"/>
    <mergeCell ref="BL219:BL234"/>
    <mergeCell ref="BG204:BG210"/>
    <mergeCell ref="BH204:BH210"/>
    <mergeCell ref="BI204:BI210"/>
    <mergeCell ref="BJ204:BJ210"/>
    <mergeCell ref="BL204:BL210"/>
    <mergeCell ref="BF213:BF214"/>
    <mergeCell ref="BG213:BG214"/>
    <mergeCell ref="BM204:BM210"/>
    <mergeCell ref="BK205:BK206"/>
    <mergeCell ref="BK207:BK208"/>
    <mergeCell ref="BK209:BK210"/>
    <mergeCell ref="BK219:BK220"/>
    <mergeCell ref="BE196:BE197"/>
    <mergeCell ref="BF196:BF197"/>
    <mergeCell ref="BG196:BG197"/>
    <mergeCell ref="BH196:BH197"/>
    <mergeCell ref="BI196:BI197"/>
    <mergeCell ref="BJ196:BJ197"/>
    <mergeCell ref="BL196:BL197"/>
    <mergeCell ref="BM196:BM197"/>
    <mergeCell ref="BE198:BE203"/>
    <mergeCell ref="BF198:BF203"/>
    <mergeCell ref="BG198:BG203"/>
    <mergeCell ref="BH198:BH203"/>
    <mergeCell ref="BI198:BI203"/>
    <mergeCell ref="BJ198:BJ203"/>
    <mergeCell ref="BL198:BL203"/>
    <mergeCell ref="BM198:BM203"/>
    <mergeCell ref="BK200:BK201"/>
    <mergeCell ref="BK202:BK203"/>
    <mergeCell ref="BM211:BM213"/>
    <mergeCell ref="BE204:BE210"/>
    <mergeCell ref="BF204:BF210"/>
    <mergeCell ref="BE192:BE195"/>
    <mergeCell ref="BF192:BF195"/>
    <mergeCell ref="BG192:BG195"/>
    <mergeCell ref="BH192:BH195"/>
    <mergeCell ref="BI192:BI195"/>
    <mergeCell ref="BJ192:BJ195"/>
    <mergeCell ref="BK192:BK193"/>
    <mergeCell ref="BL192:BL195"/>
    <mergeCell ref="BM192:BM195"/>
    <mergeCell ref="BK194:BK195"/>
    <mergeCell ref="BH176:BH178"/>
    <mergeCell ref="BI176:BI186"/>
    <mergeCell ref="BJ176:BJ191"/>
    <mergeCell ref="BK176:BK177"/>
    <mergeCell ref="BL176:BL178"/>
    <mergeCell ref="BM176:BM186"/>
    <mergeCell ref="BM187:BM191"/>
    <mergeCell ref="BE179:BE186"/>
    <mergeCell ref="BF179:BF191"/>
    <mergeCell ref="BG179:BG191"/>
    <mergeCell ref="BH179:BH186"/>
    <mergeCell ref="BK179:BK180"/>
    <mergeCell ref="BL179:BL186"/>
    <mergeCell ref="BK181:BK182"/>
    <mergeCell ref="BK183:BK184"/>
    <mergeCell ref="BK185:BK186"/>
    <mergeCell ref="BE187:BE191"/>
    <mergeCell ref="BH187:BH191"/>
    <mergeCell ref="BI187:BI191"/>
    <mergeCell ref="BL187:BL191"/>
    <mergeCell ref="BK190:BK191"/>
    <mergeCell ref="BA221:BA233"/>
    <mergeCell ref="AU222:AU225"/>
    <mergeCell ref="AU226:AU229"/>
    <mergeCell ref="AU230:AU233"/>
    <mergeCell ref="BE169:BJ169"/>
    <mergeCell ref="BK169:BK171"/>
    <mergeCell ref="BL169:BM169"/>
    <mergeCell ref="BN169:BN171"/>
    <mergeCell ref="BE170:BJ170"/>
    <mergeCell ref="BL170:BL171"/>
    <mergeCell ref="BM170:BM171"/>
    <mergeCell ref="BE172:BE175"/>
    <mergeCell ref="BF172:BF175"/>
    <mergeCell ref="BG172:BG175"/>
    <mergeCell ref="BH172:BH175"/>
    <mergeCell ref="BI172:BI175"/>
    <mergeCell ref="BJ172:BJ175"/>
    <mergeCell ref="BK172:BK173"/>
    <mergeCell ref="BL172:BL175"/>
    <mergeCell ref="BM172:BM175"/>
    <mergeCell ref="BK174:BK175"/>
    <mergeCell ref="BE176:BE178"/>
    <mergeCell ref="BF176:BF178"/>
    <mergeCell ref="BG176:BG178"/>
    <mergeCell ref="BA211:BA212"/>
    <mergeCell ref="AW213:AW217"/>
    <mergeCell ref="AZ213:AZ219"/>
    <mergeCell ref="BA213:BA217"/>
    <mergeCell ref="AS214:AS217"/>
    <mergeCell ref="AU214:AU215"/>
    <mergeCell ref="AY214:AY215"/>
    <mergeCell ref="AU216:AU217"/>
    <mergeCell ref="AY216:AY217"/>
    <mergeCell ref="AS218:AS219"/>
    <mergeCell ref="AW218:AW219"/>
    <mergeCell ref="AY218:AY219"/>
    <mergeCell ref="BA218:BA219"/>
    <mergeCell ref="AZ198:AZ210"/>
    <mergeCell ref="BA198:BA203"/>
    <mergeCell ref="AU200:AU203"/>
    <mergeCell ref="AX203:AX204"/>
    <mergeCell ref="AS204:AS210"/>
    <mergeCell ref="AW204:AW210"/>
    <mergeCell ref="AY204:AY210"/>
    <mergeCell ref="BA204:BA210"/>
    <mergeCell ref="AU205:AU206"/>
    <mergeCell ref="AU207:AU210"/>
    <mergeCell ref="BA176:BA178"/>
    <mergeCell ref="AS179:AS186"/>
    <mergeCell ref="AU179:AU180"/>
    <mergeCell ref="AW179:AW191"/>
    <mergeCell ref="AY179:AY180"/>
    <mergeCell ref="AZ179:AZ197"/>
    <mergeCell ref="BA179:BA191"/>
    <mergeCell ref="AU181:AU182"/>
    <mergeCell ref="AY181:AY182"/>
    <mergeCell ref="AU183:AU186"/>
    <mergeCell ref="AY183:AY186"/>
    <mergeCell ref="AS187:AS191"/>
    <mergeCell ref="AX187:AX188"/>
    <mergeCell ref="AY187:AY190"/>
    <mergeCell ref="AU189:AU191"/>
    <mergeCell ref="AS192:AS197"/>
    <mergeCell ref="AU192:AU193"/>
    <mergeCell ref="AW192:AW197"/>
    <mergeCell ref="AY192:AY197"/>
    <mergeCell ref="BA192:BA197"/>
    <mergeCell ref="AR221:AR233"/>
    <mergeCell ref="AS221:AS233"/>
    <mergeCell ref="AV221:AV233"/>
    <mergeCell ref="AY221:AY233"/>
    <mergeCell ref="AZ221:AZ233"/>
    <mergeCell ref="AT221:AT233"/>
    <mergeCell ref="AW221:AW233"/>
    <mergeCell ref="AU211:AU212"/>
    <mergeCell ref="AV211:AV212"/>
    <mergeCell ref="AZ211:AZ212"/>
    <mergeCell ref="AV213:AV217"/>
    <mergeCell ref="AR214:AR217"/>
    <mergeCell ref="AR218:AR219"/>
    <mergeCell ref="AU218:AU219"/>
    <mergeCell ref="AV218:AV219"/>
    <mergeCell ref="AR211:AR213"/>
    <mergeCell ref="AS211:AS212"/>
    <mergeCell ref="AT211:AT219"/>
    <mergeCell ref="AW211:AW212"/>
    <mergeCell ref="AR198:AR203"/>
    <mergeCell ref="AV198:AV203"/>
    <mergeCell ref="AR204:AR210"/>
    <mergeCell ref="AV204:AV210"/>
    <mergeCell ref="AS198:AS203"/>
    <mergeCell ref="AT198:AT210"/>
    <mergeCell ref="AW198:AW203"/>
    <mergeCell ref="AX198:AX199"/>
    <mergeCell ref="AY198:AY203"/>
    <mergeCell ref="AR192:AR197"/>
    <mergeCell ref="AV192:AV197"/>
    <mergeCell ref="AU194:AU195"/>
    <mergeCell ref="AU196:AU197"/>
    <mergeCell ref="AX196:AX197"/>
    <mergeCell ref="AU176:AU178"/>
    <mergeCell ref="AV176:AV178"/>
    <mergeCell ref="AY176:AY178"/>
    <mergeCell ref="AZ176:AZ178"/>
    <mergeCell ref="AV179:AV191"/>
    <mergeCell ref="AR187:AR191"/>
    <mergeCell ref="AR176:AR186"/>
    <mergeCell ref="AS176:AS178"/>
    <mergeCell ref="AT176:AT197"/>
    <mergeCell ref="AW176:AW178"/>
    <mergeCell ref="AR172:AR175"/>
    <mergeCell ref="AS172:AS175"/>
    <mergeCell ref="AV172:AV175"/>
    <mergeCell ref="AY172:AY175"/>
    <mergeCell ref="AZ172:AZ175"/>
    <mergeCell ref="AQ169:AQ171"/>
    <mergeCell ref="AR169:BA169"/>
    <mergeCell ref="AR170:AT170"/>
    <mergeCell ref="AU170:BA170"/>
    <mergeCell ref="AT172:AT175"/>
    <mergeCell ref="AU172:AU173"/>
    <mergeCell ref="AW172:AW175"/>
    <mergeCell ref="BA172:BA175"/>
    <mergeCell ref="AU174:AU175"/>
    <mergeCell ref="AC169:AC171"/>
    <mergeCell ref="AH199:AH202"/>
    <mergeCell ref="AN219:AN228"/>
    <mergeCell ref="AG221:AG224"/>
    <mergeCell ref="AH221:AH224"/>
    <mergeCell ref="AG225:AG228"/>
    <mergeCell ref="AH225:AH228"/>
    <mergeCell ref="AG229:AG232"/>
    <mergeCell ref="AH229:AH232"/>
    <mergeCell ref="AI229:AI232"/>
    <mergeCell ref="AK229:AK232"/>
    <mergeCell ref="AL229:AL232"/>
    <mergeCell ref="AM229:AM232"/>
    <mergeCell ref="AN229:AN232"/>
    <mergeCell ref="AK217:AK218"/>
    <mergeCell ref="AL217:AL218"/>
    <mergeCell ref="AM217:AM218"/>
    <mergeCell ref="AD219:AD232"/>
    <mergeCell ref="AE219:AE232"/>
    <mergeCell ref="AF219:AF232"/>
    <mergeCell ref="AG219:AG220"/>
    <mergeCell ref="AH219:AH220"/>
    <mergeCell ref="AI219:AI228"/>
    <mergeCell ref="AK219:AK228"/>
    <mergeCell ref="AL219:AL228"/>
    <mergeCell ref="AM219:AM228"/>
    <mergeCell ref="AD210:AD211"/>
    <mergeCell ref="AE210:AE211"/>
    <mergeCell ref="AF210:AF211"/>
    <mergeCell ref="AG210:AG211"/>
    <mergeCell ref="AH210:AH211"/>
    <mergeCell ref="AI210:AI218"/>
    <mergeCell ref="AM210:AM212"/>
    <mergeCell ref="AN210:AN212"/>
    <mergeCell ref="AD213:AD216"/>
    <mergeCell ref="AE213:AE216"/>
    <mergeCell ref="AF213:AF216"/>
    <mergeCell ref="AG213:AG214"/>
    <mergeCell ref="AH213:AH214"/>
    <mergeCell ref="AK213:AK214"/>
    <mergeCell ref="AL213:AL214"/>
    <mergeCell ref="AM213:AM216"/>
    <mergeCell ref="AN213:AN218"/>
    <mergeCell ref="AG215:AG216"/>
    <mergeCell ref="AH215:AH216"/>
    <mergeCell ref="AD217:AD218"/>
    <mergeCell ref="AE217:AE218"/>
    <mergeCell ref="AF217:AF218"/>
    <mergeCell ref="AG217:AG218"/>
    <mergeCell ref="AH217:AH218"/>
    <mergeCell ref="AN197:AN202"/>
    <mergeCell ref="AJ202:AJ203"/>
    <mergeCell ref="AD203:AD209"/>
    <mergeCell ref="AE203:AE209"/>
    <mergeCell ref="AF203:AF209"/>
    <mergeCell ref="AG203:AG209"/>
    <mergeCell ref="AK203:AK209"/>
    <mergeCell ref="AL203:AL209"/>
    <mergeCell ref="AM203:AM209"/>
    <mergeCell ref="AN203:AN209"/>
    <mergeCell ref="AH204:AH205"/>
    <mergeCell ref="AH206:AH209"/>
    <mergeCell ref="AD197:AD202"/>
    <mergeCell ref="AE197:AE202"/>
    <mergeCell ref="AF197:AF202"/>
    <mergeCell ref="AG197:AG202"/>
    <mergeCell ref="AI197:AI209"/>
    <mergeCell ref="AJ197:AJ198"/>
    <mergeCell ref="AK197:AK202"/>
    <mergeCell ref="AL197:AL202"/>
    <mergeCell ref="AM197:AM202"/>
    <mergeCell ref="AD192:AD196"/>
    <mergeCell ref="AE192:AE196"/>
    <mergeCell ref="AF192:AF196"/>
    <mergeCell ref="AG192:AG193"/>
    <mergeCell ref="AH192:AH193"/>
    <mergeCell ref="AK192:AK193"/>
    <mergeCell ref="AL192:AL193"/>
    <mergeCell ref="AM192:AM196"/>
    <mergeCell ref="AN192:AN196"/>
    <mergeCell ref="AG194:AG195"/>
    <mergeCell ref="AH194:AH195"/>
    <mergeCell ref="AK194:AK195"/>
    <mergeCell ref="AL194:AL195"/>
    <mergeCell ref="AD187:AD191"/>
    <mergeCell ref="AE187:AE191"/>
    <mergeCell ref="AF187:AF191"/>
    <mergeCell ref="AJ187:AJ188"/>
    <mergeCell ref="AK187:AK188"/>
    <mergeCell ref="AL187:AL188"/>
    <mergeCell ref="AM187:AM191"/>
    <mergeCell ref="AN187:AN191"/>
    <mergeCell ref="AG189:AG191"/>
    <mergeCell ref="AH189:AH191"/>
    <mergeCell ref="AK190:AK191"/>
    <mergeCell ref="AL190:AL191"/>
    <mergeCell ref="AN176:AN186"/>
    <mergeCell ref="AD179:AD186"/>
    <mergeCell ref="AE179:AE186"/>
    <mergeCell ref="AF179:AF186"/>
    <mergeCell ref="AG179:AG180"/>
    <mergeCell ref="AH179:AH180"/>
    <mergeCell ref="AK179:AK183"/>
    <mergeCell ref="AL179:AL183"/>
    <mergeCell ref="AG181:AG182"/>
    <mergeCell ref="AH181:AH182"/>
    <mergeCell ref="AG183:AG186"/>
    <mergeCell ref="AH183:AH186"/>
    <mergeCell ref="AK185:AK186"/>
    <mergeCell ref="AL185:AL186"/>
    <mergeCell ref="AD169:AN169"/>
    <mergeCell ref="AD170:AN170"/>
    <mergeCell ref="AD172:AD175"/>
    <mergeCell ref="AE172:AE175"/>
    <mergeCell ref="AF172:AF175"/>
    <mergeCell ref="AG172:AG173"/>
    <mergeCell ref="AH172:AH173"/>
    <mergeCell ref="AI172:AI196"/>
    <mergeCell ref="AK172:AK173"/>
    <mergeCell ref="AL172:AL173"/>
    <mergeCell ref="AM172:AM175"/>
    <mergeCell ref="AN172:AN175"/>
    <mergeCell ref="AG174:AG175"/>
    <mergeCell ref="AH174:AH175"/>
    <mergeCell ref="AK174:AK175"/>
    <mergeCell ref="AL174:AL175"/>
    <mergeCell ref="AD176:AD178"/>
    <mergeCell ref="AE176:AE178"/>
    <mergeCell ref="AF176:AF178"/>
    <mergeCell ref="AG176:AG178"/>
    <mergeCell ref="AH176:AH178"/>
    <mergeCell ref="AK176:AK177"/>
    <mergeCell ref="AL176:AL177"/>
    <mergeCell ref="AM176:AM186"/>
    <mergeCell ref="C190:C195"/>
    <mergeCell ref="D190:D195"/>
    <mergeCell ref="E190:E195"/>
    <mergeCell ref="F190:F195"/>
    <mergeCell ref="G190:G191"/>
    <mergeCell ref="H190:H195"/>
    <mergeCell ref="I190:I195"/>
    <mergeCell ref="G192:G193"/>
    <mergeCell ref="G194:G195"/>
    <mergeCell ref="C183:F183"/>
    <mergeCell ref="G183:G185"/>
    <mergeCell ref="H183:I183"/>
    <mergeCell ref="J183:J185"/>
    <mergeCell ref="C184:F184"/>
    <mergeCell ref="H184:H185"/>
    <mergeCell ref="I184:I185"/>
    <mergeCell ref="C186:C189"/>
    <mergeCell ref="D186:D189"/>
    <mergeCell ref="E186:E189"/>
    <mergeCell ref="F186:F189"/>
    <mergeCell ref="G186:G187"/>
    <mergeCell ref="H186:H189"/>
    <mergeCell ref="I186:I189"/>
    <mergeCell ref="G188:G189"/>
    <mergeCell ref="E176:E181"/>
    <mergeCell ref="F176:F181"/>
    <mergeCell ref="G176:G177"/>
    <mergeCell ref="I176:I177"/>
    <mergeCell ref="J176:J177"/>
    <mergeCell ref="L176:L177"/>
    <mergeCell ref="M176:M181"/>
    <mergeCell ref="N176:N181"/>
    <mergeCell ref="P176:P181"/>
    <mergeCell ref="G178:G179"/>
    <mergeCell ref="I178:I181"/>
    <mergeCell ref="J178:J181"/>
    <mergeCell ref="L178:L179"/>
    <mergeCell ref="G180:G181"/>
    <mergeCell ref="L180:L181"/>
    <mergeCell ref="B169:B171"/>
    <mergeCell ref="C169:P169"/>
    <mergeCell ref="C170:K170"/>
    <mergeCell ref="L170:P170"/>
    <mergeCell ref="C172:C175"/>
    <mergeCell ref="D172:D175"/>
    <mergeCell ref="E172:E175"/>
    <mergeCell ref="F172:F175"/>
    <mergeCell ref="G172:G173"/>
    <mergeCell ref="I172:I173"/>
    <mergeCell ref="J172:J173"/>
    <mergeCell ref="K172:K181"/>
    <mergeCell ref="L172:L173"/>
    <mergeCell ref="M172:M175"/>
    <mergeCell ref="N172:N175"/>
    <mergeCell ref="P172:P175"/>
    <mergeCell ref="G174:G175"/>
    <mergeCell ref="I174:I175"/>
    <mergeCell ref="J174:J175"/>
    <mergeCell ref="L174:L175"/>
    <mergeCell ref="H175:H176"/>
    <mergeCell ref="O175:O176"/>
    <mergeCell ref="C176:C181"/>
    <mergeCell ref="D176:D181"/>
    <mergeCell ref="AP113:AP114"/>
    <mergeCell ref="AQ113:AQ114"/>
    <mergeCell ref="AR113:AR114"/>
    <mergeCell ref="AG115:AG116"/>
    <mergeCell ref="AR104:AR105"/>
    <mergeCell ref="AG106:AG107"/>
    <mergeCell ref="AG108:AG111"/>
    <mergeCell ref="AH108:AH109"/>
    <mergeCell ref="AI108:AI109"/>
    <mergeCell ref="AK108:AK109"/>
    <mergeCell ref="AL108:AL111"/>
    <mergeCell ref="AM108:AM111"/>
    <mergeCell ref="AN108:AN109"/>
    <mergeCell ref="AR108:AR111"/>
    <mergeCell ref="AH110:AH111"/>
    <mergeCell ref="AI110:AI112"/>
    <mergeCell ref="AJ110:AJ112"/>
    <mergeCell ref="AK110:AK112"/>
    <mergeCell ref="AN110:AN112"/>
    <mergeCell ref="AP110:AP111"/>
    <mergeCell ref="AQ110:AQ111"/>
    <mergeCell ref="AG112:AG114"/>
    <mergeCell ref="AL112:AL116"/>
    <mergeCell ref="AM112:AM116"/>
    <mergeCell ref="AO112:AO116"/>
    <mergeCell ref="AH113:AH114"/>
    <mergeCell ref="AI113:AI114"/>
    <mergeCell ref="AJ113:AJ114"/>
    <mergeCell ref="AG103:AG105"/>
    <mergeCell ref="AJ103:AJ109"/>
    <mergeCell ref="AL103:AL107"/>
    <mergeCell ref="AM103:AM107"/>
    <mergeCell ref="AO103:AO111"/>
    <mergeCell ref="AK113:AK114"/>
    <mergeCell ref="AN113:AN114"/>
    <mergeCell ref="AP103:AP109"/>
    <mergeCell ref="AQ103:AQ109"/>
    <mergeCell ref="AH104:AH105"/>
    <mergeCell ref="AI104:AI105"/>
    <mergeCell ref="AK104:AK105"/>
    <mergeCell ref="AN104:AN105"/>
    <mergeCell ref="AG91:AG94"/>
    <mergeCell ref="AH91:AH92"/>
    <mergeCell ref="AI91:AI92"/>
    <mergeCell ref="AK91:AK92"/>
    <mergeCell ref="AN91:AN92"/>
    <mergeCell ref="AJ95:AJ102"/>
    <mergeCell ref="AL95:AL102"/>
    <mergeCell ref="AM95:AM102"/>
    <mergeCell ref="AP95:AP102"/>
    <mergeCell ref="AQ95:AQ102"/>
    <mergeCell ref="AH93:AH94"/>
    <mergeCell ref="AI93:AI98"/>
    <mergeCell ref="AK93:AK97"/>
    <mergeCell ref="AN93:AN97"/>
    <mergeCell ref="AR95:AR97"/>
    <mergeCell ref="AG99:AG102"/>
    <mergeCell ref="AH99:AH100"/>
    <mergeCell ref="AK99:AK100"/>
    <mergeCell ref="AN99:AN100"/>
    <mergeCell ref="AR99:AR100"/>
    <mergeCell ref="AL87:AL94"/>
    <mergeCell ref="AM87:AM94"/>
    <mergeCell ref="AN87:AN88"/>
    <mergeCell ref="AO87:AO102"/>
    <mergeCell ref="AP87:AP94"/>
    <mergeCell ref="AQ87:AQ94"/>
    <mergeCell ref="AR87:AR88"/>
    <mergeCell ref="AH89:AH90"/>
    <mergeCell ref="AI89:AI90"/>
    <mergeCell ref="AK89:AK90"/>
    <mergeCell ref="AN89:AN90"/>
    <mergeCell ref="AR89:AR90"/>
    <mergeCell ref="AH101:AH102"/>
    <mergeCell ref="AI101:AI103"/>
    <mergeCell ref="AK101:AK103"/>
    <mergeCell ref="AN101:AN103"/>
    <mergeCell ref="AR101:AR102"/>
    <mergeCell ref="AR91:AR92"/>
    <mergeCell ref="AG78:AG80"/>
    <mergeCell ref="AM78:AM80"/>
    <mergeCell ref="AR78:AR80"/>
    <mergeCell ref="AG81:AG83"/>
    <mergeCell ref="AJ81:AJ94"/>
    <mergeCell ref="AK81:AK83"/>
    <mergeCell ref="AM81:AM83"/>
    <mergeCell ref="AN81:AN83"/>
    <mergeCell ref="AP81:AP83"/>
    <mergeCell ref="AQ81:AQ83"/>
    <mergeCell ref="AR81:AR83"/>
    <mergeCell ref="AG84:AG85"/>
    <mergeCell ref="AH84:AH85"/>
    <mergeCell ref="AK84:AK86"/>
    <mergeCell ref="AL84:AL86"/>
    <mergeCell ref="AM84:AM86"/>
    <mergeCell ref="AN84:AN86"/>
    <mergeCell ref="AP84:AP86"/>
    <mergeCell ref="AQ84:AQ86"/>
    <mergeCell ref="AR84:AR85"/>
    <mergeCell ref="AG87:AG90"/>
    <mergeCell ref="AK87:AK88"/>
    <mergeCell ref="AI76:AI80"/>
    <mergeCell ref="AJ76:AJ80"/>
    <mergeCell ref="AK76:AK80"/>
    <mergeCell ref="AL76:AL83"/>
    <mergeCell ref="AM76:AM77"/>
    <mergeCell ref="AN76:AN80"/>
    <mergeCell ref="AO76:AO86"/>
    <mergeCell ref="AR93:AR94"/>
    <mergeCell ref="AR76:AR77"/>
    <mergeCell ref="AP76:AP80"/>
    <mergeCell ref="AQ76:AQ80"/>
    <mergeCell ref="C74:C77"/>
    <mergeCell ref="F75:F76"/>
    <mergeCell ref="G75:G76"/>
    <mergeCell ref="H75:H77"/>
    <mergeCell ref="I75:I77"/>
    <mergeCell ref="J75:J76"/>
    <mergeCell ref="C67:C70"/>
    <mergeCell ref="D67:G67"/>
    <mergeCell ref="D68:G68"/>
    <mergeCell ref="D69:G69"/>
    <mergeCell ref="H67:N69"/>
    <mergeCell ref="C71:C72"/>
    <mergeCell ref="J79:J81"/>
    <mergeCell ref="H80:H83"/>
    <mergeCell ref="I80:I83"/>
    <mergeCell ref="N80:N83"/>
    <mergeCell ref="F81:F83"/>
    <mergeCell ref="G81:G83"/>
    <mergeCell ref="L81:L83"/>
    <mergeCell ref="M81:M83"/>
    <mergeCell ref="K75:K76"/>
    <mergeCell ref="L75:L76"/>
    <mergeCell ref="M75:M76"/>
    <mergeCell ref="N75:N76"/>
    <mergeCell ref="G78:G79"/>
    <mergeCell ref="H78:H79"/>
    <mergeCell ref="I78:I79"/>
    <mergeCell ref="L78:L79"/>
    <mergeCell ref="M78:M79"/>
    <mergeCell ref="N78:N79"/>
    <mergeCell ref="M84:M87"/>
    <mergeCell ref="N84:N87"/>
    <mergeCell ref="K88:K89"/>
    <mergeCell ref="L88:L91"/>
    <mergeCell ref="M88:M91"/>
    <mergeCell ref="N88:N91"/>
    <mergeCell ref="B82:B83"/>
    <mergeCell ref="D82:D83"/>
    <mergeCell ref="E82:E83"/>
    <mergeCell ref="J82:J85"/>
    <mergeCell ref="K82:K83"/>
    <mergeCell ref="B84:B85"/>
    <mergeCell ref="D84:D85"/>
    <mergeCell ref="E84:E85"/>
    <mergeCell ref="F84:F87"/>
    <mergeCell ref="G84:G87"/>
    <mergeCell ref="B86:B87"/>
    <mergeCell ref="D86:D87"/>
    <mergeCell ref="E86:E87"/>
    <mergeCell ref="J86:J87"/>
    <mergeCell ref="K86:K87"/>
    <mergeCell ref="L86:L87"/>
    <mergeCell ref="H84:H92"/>
    <mergeCell ref="I84:I96"/>
    <mergeCell ref="K84:K85"/>
    <mergeCell ref="L84:L85"/>
    <mergeCell ref="B88:B89"/>
    <mergeCell ref="D88:D89"/>
    <mergeCell ref="E88:E89"/>
    <mergeCell ref="F88:F91"/>
    <mergeCell ref="G88:G91"/>
    <mergeCell ref="J88:J89"/>
    <mergeCell ref="B90:B91"/>
    <mergeCell ref="D90:D91"/>
    <mergeCell ref="E90:E91"/>
    <mergeCell ref="J90:J91"/>
    <mergeCell ref="L92:L95"/>
    <mergeCell ref="M92:M95"/>
    <mergeCell ref="N92:N95"/>
    <mergeCell ref="B94:B95"/>
    <mergeCell ref="J94:J95"/>
    <mergeCell ref="K94:K95"/>
    <mergeCell ref="K90:K91"/>
    <mergeCell ref="B92:B93"/>
    <mergeCell ref="F92:F95"/>
    <mergeCell ref="G92:G95"/>
    <mergeCell ref="J92:J93"/>
    <mergeCell ref="K92:K93"/>
    <mergeCell ref="N98:N101"/>
    <mergeCell ref="M96:M97"/>
    <mergeCell ref="N96:N97"/>
    <mergeCell ref="H97:H101"/>
    <mergeCell ref="I97:I101"/>
    <mergeCell ref="B98:B100"/>
    <mergeCell ref="D98:D100"/>
    <mergeCell ref="E98:E100"/>
    <mergeCell ref="F98:F101"/>
    <mergeCell ref="G98:G101"/>
    <mergeCell ref="M98:M101"/>
    <mergeCell ref="B96:B97"/>
    <mergeCell ref="F96:F97"/>
    <mergeCell ref="G96:G97"/>
    <mergeCell ref="J96:J100"/>
    <mergeCell ref="K96:K100"/>
    <mergeCell ref="L96:L101"/>
    <mergeCell ref="R67:R68"/>
    <mergeCell ref="S67:S68"/>
    <mergeCell ref="T67:AC67"/>
    <mergeCell ref="S69:S70"/>
    <mergeCell ref="T69:T71"/>
    <mergeCell ref="AA69:AA71"/>
    <mergeCell ref="AB69:AB71"/>
    <mergeCell ref="T72:T75"/>
    <mergeCell ref="W72:W74"/>
    <mergeCell ref="AB72:AB75"/>
    <mergeCell ref="Z73:Z74"/>
    <mergeCell ref="AC73:AC74"/>
    <mergeCell ref="V72:V74"/>
    <mergeCell ref="AA72:AA75"/>
    <mergeCell ref="X73:X74"/>
    <mergeCell ref="Y73:Y74"/>
    <mergeCell ref="S72:S75"/>
    <mergeCell ref="U79:U81"/>
    <mergeCell ref="X79:X81"/>
    <mergeCell ref="T76:T77"/>
    <mergeCell ref="U76:U77"/>
    <mergeCell ref="V76:V77"/>
    <mergeCell ref="W76:W77"/>
    <mergeCell ref="X76:X77"/>
    <mergeCell ref="Y76:Y77"/>
    <mergeCell ref="Y79:Y81"/>
    <mergeCell ref="S96:S98"/>
    <mergeCell ref="AA90:AA96"/>
    <mergeCell ref="AB90:AB96"/>
    <mergeCell ref="AC90:AC93"/>
    <mergeCell ref="R92:R93"/>
    <mergeCell ref="R94:R95"/>
    <mergeCell ref="X94:X96"/>
    <mergeCell ref="R80:R81"/>
    <mergeCell ref="R82:R83"/>
    <mergeCell ref="T82:T89"/>
    <mergeCell ref="U82:U85"/>
    <mergeCell ref="W82:W85"/>
    <mergeCell ref="X82:X85"/>
    <mergeCell ref="Y82:Y85"/>
    <mergeCell ref="Z82:Z85"/>
    <mergeCell ref="AA82:AA89"/>
    <mergeCell ref="X86:X89"/>
    <mergeCell ref="Y86:Y89"/>
    <mergeCell ref="Z86:Z89"/>
    <mergeCell ref="S80:S81"/>
    <mergeCell ref="T78:T81"/>
    <mergeCell ref="V78:V81"/>
    <mergeCell ref="W78:W81"/>
    <mergeCell ref="AA78:AA81"/>
    <mergeCell ref="C82:C83"/>
    <mergeCell ref="AM73:AM74"/>
    <mergeCell ref="AN73:AN74"/>
    <mergeCell ref="AB82:AB89"/>
    <mergeCell ref="AC82:AC85"/>
    <mergeCell ref="R84:R85"/>
    <mergeCell ref="V85:V86"/>
    <mergeCell ref="R86:R87"/>
    <mergeCell ref="U86:U89"/>
    <mergeCell ref="W86:W89"/>
    <mergeCell ref="AC86:AC89"/>
    <mergeCell ref="R88:R89"/>
    <mergeCell ref="V89:V90"/>
    <mergeCell ref="R90:R91"/>
    <mergeCell ref="T90:T95"/>
    <mergeCell ref="W90:W94"/>
    <mergeCell ref="Y90:Y93"/>
    <mergeCell ref="Z90:Z93"/>
    <mergeCell ref="X90:X93"/>
    <mergeCell ref="W95:W96"/>
    <mergeCell ref="R96:R98"/>
    <mergeCell ref="T96:T99"/>
    <mergeCell ref="U96:U99"/>
    <mergeCell ref="V97:V98"/>
    <mergeCell ref="Y94:Y96"/>
    <mergeCell ref="Z94:Z99"/>
    <mergeCell ref="AA97:AA99"/>
    <mergeCell ref="AB97:AB99"/>
    <mergeCell ref="AC97:AC99"/>
    <mergeCell ref="AC94:AC96"/>
    <mergeCell ref="V95:V96"/>
    <mergeCell ref="AG67:AG68"/>
    <mergeCell ref="AH67:AH68"/>
    <mergeCell ref="W97:W98"/>
    <mergeCell ref="X97:X99"/>
    <mergeCell ref="Y97:Y99"/>
    <mergeCell ref="Z76:Z77"/>
    <mergeCell ref="AA76:AA77"/>
    <mergeCell ref="AB76:AB77"/>
    <mergeCell ref="AC76:AC77"/>
    <mergeCell ref="Z79:Z81"/>
    <mergeCell ref="AB79:AB81"/>
    <mergeCell ref="AC79:AC81"/>
    <mergeCell ref="AG76:AG77"/>
    <mergeCell ref="AH76:AH77"/>
    <mergeCell ref="AG95:AG98"/>
    <mergeCell ref="AH87:AH88"/>
    <mergeCell ref="AH95:AH97"/>
    <mergeCell ref="AI67:AQ67"/>
    <mergeCell ref="AO69:AO70"/>
    <mergeCell ref="AL70:AL71"/>
    <mergeCell ref="AO71:AO72"/>
    <mergeCell ref="AI72:AI74"/>
    <mergeCell ref="AJ72:AJ74"/>
    <mergeCell ref="AK73:AK74"/>
    <mergeCell ref="AL73:AL74"/>
    <mergeCell ref="AH69:AH70"/>
    <mergeCell ref="AQ73:AQ74"/>
    <mergeCell ref="AO73:AO75"/>
    <mergeCell ref="AP73:AP74"/>
  </mergeCells>
  <pageMargins left="0.7" right="0.7" top="0.75" bottom="0.75" header="0.3" footer="0.3"/>
  <pageSetup paperSize="9" orientation="portrait" horizontalDpi="4294967293" verticalDpi="0" r:id="rId1"/>
  <drawing r:id="rId2"/>
  <legacyDrawing r:id="rId3"/>
  <oleObjects>
    <mc:AlternateContent xmlns:mc="http://schemas.openxmlformats.org/markup-compatibility/2006">
      <mc:Choice Requires="x14">
        <oleObject progId="Equation.DSMT4" shapeId="3081" r:id="rId4">
          <objectPr defaultSize="0" autoPict="0" r:id="rId5">
            <anchor moveWithCells="1">
              <from>
                <xdr:col>7</xdr:col>
                <xdr:colOff>180975</xdr:colOff>
                <xdr:row>20</xdr:row>
                <xdr:rowOff>123825</xdr:rowOff>
              </from>
              <to>
                <xdr:col>12</xdr:col>
                <xdr:colOff>571500</xdr:colOff>
                <xdr:row>26</xdr:row>
                <xdr:rowOff>152400</xdr:rowOff>
              </to>
            </anchor>
          </objectPr>
        </oleObject>
      </mc:Choice>
      <mc:Fallback>
        <oleObject progId="Equation.DSMT4" shapeId="3081" r:id="rId4"/>
      </mc:Fallback>
    </mc:AlternateContent>
    <mc:AlternateContent xmlns:mc="http://schemas.openxmlformats.org/markup-compatibility/2006">
      <mc:Choice Requires="x14">
        <oleObject progId="Equation.DSMT4" shapeId="3083" r:id="rId6">
          <objectPr defaultSize="0" autoPict="0" r:id="rId7">
            <anchor moveWithCells="1">
              <from>
                <xdr:col>23</xdr:col>
                <xdr:colOff>95250</xdr:colOff>
                <xdr:row>22</xdr:row>
                <xdr:rowOff>57150</xdr:rowOff>
              </from>
              <to>
                <xdr:col>28</xdr:col>
                <xdr:colOff>561975</xdr:colOff>
                <xdr:row>28</xdr:row>
                <xdr:rowOff>76200</xdr:rowOff>
              </to>
            </anchor>
          </objectPr>
        </oleObject>
      </mc:Choice>
      <mc:Fallback>
        <oleObject progId="Equation.DSMT4" shapeId="3083" r:id="rId6"/>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6"/>
  <dimension ref="A2:DP437"/>
  <sheetViews>
    <sheetView topLeftCell="A182" zoomScale="40" zoomScaleNormal="40" workbookViewId="0">
      <selection activeCell="U196" sqref="U196"/>
    </sheetView>
  </sheetViews>
  <sheetFormatPr defaultColWidth="18.42578125" defaultRowHeight="48.75" customHeight="1" x14ac:dyDescent="0.25"/>
  <cols>
    <col min="1" max="60" width="18.42578125" style="23"/>
    <col min="61" max="61" width="18.42578125" style="33"/>
    <col min="62" max="16384" width="18.42578125" style="23"/>
  </cols>
  <sheetData>
    <row r="2" spans="2:61" s="158" customFormat="1" ht="48.75" customHeight="1" x14ac:dyDescent="0.25">
      <c r="B2" s="446" t="s">
        <v>699</v>
      </c>
      <c r="C2" s="446"/>
      <c r="D2" s="446"/>
      <c r="E2" s="446"/>
      <c r="F2" s="446"/>
      <c r="G2" s="446"/>
      <c r="H2" s="446"/>
      <c r="I2" s="446"/>
      <c r="J2" s="446"/>
      <c r="K2" s="446"/>
      <c r="L2" s="446"/>
      <c r="M2" s="446"/>
      <c r="N2" s="446"/>
      <c r="O2" s="173" t="s">
        <v>627</v>
      </c>
      <c r="P2" s="815" t="s">
        <v>700</v>
      </c>
      <c r="Q2" s="815"/>
      <c r="R2" s="399"/>
      <c r="BI2" s="161"/>
    </row>
    <row r="3" spans="2:61" s="158" customFormat="1" ht="48.75" customHeight="1" x14ac:dyDescent="0.25">
      <c r="B3" s="446"/>
      <c r="C3" s="446"/>
      <c r="D3" s="446"/>
      <c r="E3" s="446"/>
      <c r="F3" s="446"/>
      <c r="G3" s="446"/>
      <c r="H3" s="446"/>
      <c r="I3" s="446"/>
      <c r="J3" s="446"/>
      <c r="K3" s="446"/>
      <c r="L3" s="446"/>
      <c r="M3" s="446"/>
      <c r="N3" s="446"/>
      <c r="O3" s="187" t="s">
        <v>628</v>
      </c>
      <c r="P3" s="187"/>
      <c r="Q3" s="187"/>
      <c r="R3" s="399"/>
      <c r="BI3" s="161"/>
    </row>
    <row r="4" spans="2:61" s="158" customFormat="1" ht="48.75" customHeight="1" x14ac:dyDescent="0.25">
      <c r="B4" s="275" t="s">
        <v>707</v>
      </c>
      <c r="C4" s="162">
        <v>56</v>
      </c>
      <c r="D4" s="162">
        <v>63</v>
      </c>
      <c r="E4" s="162">
        <v>71</v>
      </c>
      <c r="F4" s="162">
        <v>80</v>
      </c>
      <c r="G4" s="162">
        <v>90</v>
      </c>
      <c r="H4" s="162">
        <v>100</v>
      </c>
      <c r="I4" s="162">
        <v>112</v>
      </c>
      <c r="J4" s="162">
        <v>132</v>
      </c>
      <c r="K4" s="162">
        <v>160</v>
      </c>
      <c r="L4" s="162">
        <v>180</v>
      </c>
      <c r="M4" s="162">
        <v>200</v>
      </c>
      <c r="N4" s="162">
        <v>225</v>
      </c>
      <c r="O4" s="162">
        <v>250</v>
      </c>
      <c r="P4" s="162">
        <v>280</v>
      </c>
      <c r="Q4" s="162">
        <v>315</v>
      </c>
      <c r="R4" s="162">
        <v>355</v>
      </c>
      <c r="BI4" s="161"/>
    </row>
    <row r="5" spans="2:61" s="158" customFormat="1" ht="48.75" customHeight="1" x14ac:dyDescent="0.25">
      <c r="B5" s="275" t="s">
        <v>929</v>
      </c>
      <c r="C5" s="162">
        <v>8.8999999999999996E-2</v>
      </c>
      <c r="D5" s="162">
        <v>0.1</v>
      </c>
      <c r="E5" s="162">
        <v>0.11600000000000001</v>
      </c>
      <c r="F5" s="162">
        <v>0.13100000000000001</v>
      </c>
      <c r="G5" s="162">
        <v>0.14899999999999999</v>
      </c>
      <c r="H5" s="162">
        <v>0.16800000000000001</v>
      </c>
      <c r="I5" s="162">
        <v>0.191</v>
      </c>
      <c r="J5" s="162">
        <v>0.22500000000000001</v>
      </c>
      <c r="K5" s="162">
        <v>0.27200000000000002</v>
      </c>
      <c r="L5" s="162">
        <v>0.313</v>
      </c>
      <c r="M5" s="162">
        <v>0.34899999999999998</v>
      </c>
      <c r="N5" s="162">
        <v>0.39200000000000002</v>
      </c>
      <c r="O5" s="162">
        <v>0.437</v>
      </c>
      <c r="P5" s="162">
        <v>0.53</v>
      </c>
      <c r="Q5" s="162">
        <v>0.59</v>
      </c>
      <c r="R5" s="162">
        <v>0.66</v>
      </c>
      <c r="BI5" s="161"/>
    </row>
    <row r="6" spans="2:61" s="158" customFormat="1" ht="48.75" customHeight="1" x14ac:dyDescent="0.25">
      <c r="BI6" s="161"/>
    </row>
    <row r="7" spans="2:61" s="158" customFormat="1" ht="48.75" customHeight="1" x14ac:dyDescent="0.25">
      <c r="BI7" s="161"/>
    </row>
    <row r="8" spans="2:61" s="158" customFormat="1" ht="48.75" customHeight="1" x14ac:dyDescent="0.25">
      <c r="Q8" s="207"/>
      <c r="BI8" s="161"/>
    </row>
    <row r="9" spans="2:61" s="158" customFormat="1" ht="48.75" customHeight="1" x14ac:dyDescent="0.25">
      <c r="B9" s="188" t="s">
        <v>599</v>
      </c>
      <c r="C9" s="159" t="s">
        <v>589</v>
      </c>
      <c r="D9" s="718" t="s">
        <v>583</v>
      </c>
      <c r="E9" s="718"/>
      <c r="F9" s="718" t="s">
        <v>584</v>
      </c>
      <c r="G9" s="718"/>
      <c r="H9" s="718" t="s">
        <v>585</v>
      </c>
      <c r="I9" s="718"/>
      <c r="J9" s="718" t="s">
        <v>586</v>
      </c>
      <c r="K9" s="718"/>
      <c r="L9" s="718" t="s">
        <v>588</v>
      </c>
      <c r="M9" s="718"/>
      <c r="N9" s="718" t="s">
        <v>587</v>
      </c>
      <c r="O9" s="718"/>
      <c r="BI9" s="161"/>
    </row>
    <row r="10" spans="2:61" s="158" customFormat="1" ht="48.75" customHeight="1" x14ac:dyDescent="0.25">
      <c r="B10" s="159" t="s">
        <v>598</v>
      </c>
      <c r="C10" s="159" t="s">
        <v>574</v>
      </c>
      <c r="D10" s="718">
        <v>2</v>
      </c>
      <c r="E10" s="718"/>
      <c r="F10" s="718">
        <v>4</v>
      </c>
      <c r="G10" s="718"/>
      <c r="H10" s="718">
        <v>6</v>
      </c>
      <c r="I10" s="718"/>
      <c r="J10" s="718">
        <v>8</v>
      </c>
      <c r="K10" s="718"/>
      <c r="L10" s="718">
        <v>10</v>
      </c>
      <c r="M10" s="718"/>
      <c r="N10" s="718">
        <v>12</v>
      </c>
      <c r="O10" s="718"/>
      <c r="BI10" s="161"/>
    </row>
    <row r="11" spans="2:61" s="158" customFormat="1" ht="48.75" customHeight="1" x14ac:dyDescent="0.25">
      <c r="B11" s="159">
        <v>1</v>
      </c>
      <c r="C11" s="159">
        <v>1.1000000000000001</v>
      </c>
      <c r="D11" s="718">
        <f xml:space="preserve">
IF(C11=1.1,71,
IF(C11=1.5,80,
IF(C11=2.2,80,
IF(C11=3,90,
IF(C11=4,100,
IF(C11=5.5,100,
IF(C11=7.5,112,
IF(C11=11,132,
IF(C11=15,160,
IF(C11=18.5,160,
IF(C11=22,180,
IF(C11=30,180,
IF(C11=37,200,
IF(C11=45,200,
IF(C11=55,225,
IF(C11=75,250,
IF(C11=90,250,
IF(C11=110,250,
IF(C11=132,280,
IF(C11=160,315,
IF(C11=200,315,
IF(C11=250,355,
IF(C11=315,355,
IF(C11=400,"нет значений данной функции","Неккоректное значение"
))))))))))))))))))))))))</f>
        <v>71</v>
      </c>
      <c r="E11" s="718"/>
      <c r="F11" s="718">
        <f t="shared" ref="F11:F34" si="0" xml:space="preserve">
IF(C11=1.1,80,
IF(C11=1.5,80,
IF(C11=2.2,90,
IF(C11=3,100,
IF(C11=4,100,
IF(C11=5.5,112,
IF(C11=7.5,132,
IF(C11=11,132,
IF(C11=15,160,
IF(C11=18.5,160,
IF(C11=22,180,
IF(C11=30,180,
IF(C11=37,200,
IF(C11=45,200,
IF(C11=55,225,
IF(C11=75,250,
IF(C11=90,250,
IF(C11=110,280,
IF(C11=132,280,
IF(C11=160,315,
IF(C11=200,315,
IF(C11=250,355,
IF(C11=315,355,
IF(C11=400,"нет значений данной функции","Неккоректное значение"
))))))))))))))))))))))))</f>
        <v>80</v>
      </c>
      <c r="G11" s="718"/>
      <c r="H11" s="718">
        <f t="shared" ref="H11:H34" si="1" xml:space="preserve">
IF(C11=1.1,80,
IF(C11=1.5,90,
IF(C11=2.2,100,
IF(C11=3,112,
IF(C11=4,112,
IF(C11=5.5,132,
IF(C11=7.5,132,
IF(C11=11,160,
IF(C11=15,160,
IF(C11=18.5,180,
IF(C11=22,200,
IF(C11=30,200,
IF(C11=37,225,
IF(C11=45,250,
IF(C11=55,250,
IF(C11=75,280,
IF(C11=90,280,
IF(C11=110,315,
IF(C11=132,315,
IF(C11=160,355,
IF(C11=200,355,
IF(C11=250,"нет значений данной функции",
IF(C11=315,"нет значений данной функции",
IF(C11=400,"нет значений данной функции","Неккоректное значение"
))))))))))))))))))))))))</f>
        <v>80</v>
      </c>
      <c r="I11" s="718"/>
      <c r="J11" s="718">
        <f t="shared" ref="J11:J34" si="2" xml:space="preserve">
IF(C11=1.1,90,
IF(C11=1.5,100,
IF(C11=2.2,112,
IF(C11=3,112,
IF(C11=4,132,
IF(C11=5.5,132,
IF(C11=7.5,160,
IF(C11=11,160,
IF(C11=15,180,
IF(C11=18.5,200,
IF(C11=22,200,
IF(C11=30,225,
IF(C11=37,250,
IF(C11=45,250,
IF(C11=55,280,
IF(C11=75,280,
IF(C11=90,315,
IF(C11=110,315,
IF(C11=132,355,
IF(C11=160,355,
IF(C11=200,"нет значений данной функции",
IF(C11=250,"нет значений данной функции",
IF(C11=315,"нет значений данной функции",
IF(C11=400,"нет значений данной функции","Неккоректное значение"
))))))))))))))))))))))))</f>
        <v>90</v>
      </c>
      <c r="K11" s="718"/>
      <c r="L11" s="446" t="str">
        <f t="shared" ref="L11:L34" si="3" xml:space="preserve">
IF(C11=1.1,"нет значений данной функции",
IF(C11=1.5,"нет значений данной функции",
IF(C11=2.2,"нет значений данной функции",
IF(C11=3,"нет значений данной функции",
IF(C11=4,"нет значений данной функции",
IF(C11=5.5,"нет значений данной функции",
IF(C11=7.5,"нет значений данной функции",
IF(C11=11,"нет значений данной функции",
IF(C11=15,"нет значений данной функции",
IF(C11=18.5,"нет значений данной функции",
IF(C11=22,250,
IF(C11=30,250,
IF(C11=37,280,
IF(C11=45,280,
IF(C11=55,315,
IF(C11=75,315,
IF(C11=90,355,
IF(C11=110,355,
IF(C11=132,"нет значений данной функции",
IF(C11=160,"нет значений данной функции",
IF(C11=200,"нет значений данной функции",
IF(C11=250,"нет значений данной функции",
IF(C11=315,"нет значений данной функции",
IF(C11=400,"нет значений данной функции","Неккоректное значение"
))))))))))))))))))))))))</f>
        <v>нет значений данной функции</v>
      </c>
      <c r="M11" s="446"/>
      <c r="N11" s="446" t="str">
        <f t="shared" ref="N11:N34" si="4" xml:space="preserve">
IF(C11=1.1,"нет значений данной функции",
IF(C11=1.5,"нет значений данной функции",
IF(C11=2.2,"нет значений данной функции",
IF(C11=3,"нет значений данной функции",
IF(C11=4,"нет значений данной функции",
IF(C11=5.5,"нет значений данной функции",
IF(C11=7.5,"нет значений данной функции",
IF(C11=11,"нет значений данной функции",
IF(C11=15,"нет значений данной функции",
IF(C11=18.5,"нет значений данной функции",
IF(C11=22,"нет значений данной функции",
IF(C11=30,"нет значений данной функции",
IF(C11=37,"нет значений данной функции",
IF(C11=45,315,
IF(C11=55,315,
IF(C11=75,355,
IF(C11=90,355,
IF(C11=110,"нет значений данной функции",
IF(C11=132,"нет значений данной функции",
IF(C11=160,"нет значений данной функции",
IF(C11=200,"нет значений данной функции",
IF(C11=250,"нет значений данной функции",
IF(C11=315,"нет значений данной функции",
IF(C11=400,"нет значений данной функции","Неккоректное значение"
))))))))))))))))))))))))</f>
        <v>нет значений данной функции</v>
      </c>
      <c r="O11" s="446"/>
      <c r="BI11" s="161"/>
    </row>
    <row r="12" spans="2:61" s="158" customFormat="1" ht="48.75" customHeight="1" x14ac:dyDescent="0.25">
      <c r="B12" s="159">
        <v>2</v>
      </c>
      <c r="C12" s="159">
        <v>1.5</v>
      </c>
      <c r="D12" s="718">
        <f t="shared" ref="D12:D34" si="5" xml:space="preserve">
IF(C12=1.1,71,
IF(C12=1.5,80,
IF(C12=2.2,80,
IF(C12=3,90,
IF(C12=4,100,
IF(C12=5.5,100,
IF(C12=7.5,112,
IF(C12=11,132,
IF(C12=15,160,
IF(C12=18.5,160,
IF(C12=22,180,
IF(C12=30,180,
IF(C12=37,200,
IF(C12=45,200,
IF(C12=55,225,
IF(C12=75,250,
IF(C12=90,250,
IF(C12=110,250,
IF(C12=132,280,
IF(C12=160,315,
IF(C12=200,315,
IF(C12=250,355,
IF(C12=315,355,
IF(C12=400,"нет значений данной функции","Неккоректное значение"
))))))))))))))))))))))))</f>
        <v>80</v>
      </c>
      <c r="E12" s="718"/>
      <c r="F12" s="718">
        <f t="shared" si="0"/>
        <v>80</v>
      </c>
      <c r="G12" s="718"/>
      <c r="H12" s="718">
        <f t="shared" si="1"/>
        <v>90</v>
      </c>
      <c r="I12" s="718"/>
      <c r="J12" s="718">
        <f t="shared" si="2"/>
        <v>100</v>
      </c>
      <c r="K12" s="718"/>
      <c r="L12" s="446" t="str">
        <f t="shared" si="3"/>
        <v>нет значений данной функции</v>
      </c>
      <c r="M12" s="446"/>
      <c r="N12" s="446" t="str">
        <f t="shared" si="4"/>
        <v>нет значений данной функции</v>
      </c>
      <c r="O12" s="446"/>
      <c r="BI12" s="161"/>
    </row>
    <row r="13" spans="2:61" s="158" customFormat="1" ht="48.75" customHeight="1" x14ac:dyDescent="0.25">
      <c r="B13" s="159">
        <v>3</v>
      </c>
      <c r="C13" s="159">
        <v>2.2000000000000002</v>
      </c>
      <c r="D13" s="718">
        <f t="shared" si="5"/>
        <v>80</v>
      </c>
      <c r="E13" s="718"/>
      <c r="F13" s="718">
        <f t="shared" si="0"/>
        <v>90</v>
      </c>
      <c r="G13" s="718"/>
      <c r="H13" s="718">
        <f t="shared" si="1"/>
        <v>100</v>
      </c>
      <c r="I13" s="718"/>
      <c r="J13" s="718">
        <f t="shared" si="2"/>
        <v>112</v>
      </c>
      <c r="K13" s="718"/>
      <c r="L13" s="446" t="str">
        <f t="shared" si="3"/>
        <v>нет значений данной функции</v>
      </c>
      <c r="M13" s="446"/>
      <c r="N13" s="446" t="str">
        <f t="shared" si="4"/>
        <v>нет значений данной функции</v>
      </c>
      <c r="O13" s="446"/>
      <c r="BI13" s="161"/>
    </row>
    <row r="14" spans="2:61" s="158" customFormat="1" ht="48.75" customHeight="1" x14ac:dyDescent="0.25">
      <c r="B14" s="159">
        <v>4</v>
      </c>
      <c r="C14" s="159">
        <v>3</v>
      </c>
      <c r="D14" s="718">
        <f t="shared" si="5"/>
        <v>90</v>
      </c>
      <c r="E14" s="718"/>
      <c r="F14" s="718">
        <f t="shared" si="0"/>
        <v>100</v>
      </c>
      <c r="G14" s="718"/>
      <c r="H14" s="718">
        <f t="shared" si="1"/>
        <v>112</v>
      </c>
      <c r="I14" s="718"/>
      <c r="J14" s="718">
        <f t="shared" si="2"/>
        <v>112</v>
      </c>
      <c r="K14" s="718"/>
      <c r="L14" s="446" t="str">
        <f t="shared" si="3"/>
        <v>нет значений данной функции</v>
      </c>
      <c r="M14" s="446"/>
      <c r="N14" s="446" t="str">
        <f t="shared" si="4"/>
        <v>нет значений данной функции</v>
      </c>
      <c r="O14" s="446"/>
      <c r="BI14" s="161"/>
    </row>
    <row r="15" spans="2:61" s="158" customFormat="1" ht="48.75" customHeight="1" x14ac:dyDescent="0.25">
      <c r="B15" s="159">
        <v>5</v>
      </c>
      <c r="C15" s="159">
        <v>4</v>
      </c>
      <c r="D15" s="718">
        <f t="shared" si="5"/>
        <v>100</v>
      </c>
      <c r="E15" s="718"/>
      <c r="F15" s="718">
        <f t="shared" si="0"/>
        <v>100</v>
      </c>
      <c r="G15" s="718"/>
      <c r="H15" s="718">
        <f t="shared" si="1"/>
        <v>112</v>
      </c>
      <c r="I15" s="718"/>
      <c r="J15" s="718">
        <f t="shared" si="2"/>
        <v>132</v>
      </c>
      <c r="K15" s="718"/>
      <c r="L15" s="446" t="str">
        <f t="shared" si="3"/>
        <v>нет значений данной функции</v>
      </c>
      <c r="M15" s="446"/>
      <c r="N15" s="446" t="str">
        <f t="shared" si="4"/>
        <v>нет значений данной функции</v>
      </c>
      <c r="O15" s="446"/>
      <c r="BI15" s="161"/>
    </row>
    <row r="16" spans="2:61" s="158" customFormat="1" ht="48.75" customHeight="1" x14ac:dyDescent="0.25">
      <c r="B16" s="159">
        <v>6</v>
      </c>
      <c r="C16" s="159">
        <v>5.5</v>
      </c>
      <c r="D16" s="718">
        <f t="shared" si="5"/>
        <v>100</v>
      </c>
      <c r="E16" s="718"/>
      <c r="F16" s="718">
        <f t="shared" si="0"/>
        <v>112</v>
      </c>
      <c r="G16" s="718"/>
      <c r="H16" s="718">
        <f t="shared" si="1"/>
        <v>132</v>
      </c>
      <c r="I16" s="718"/>
      <c r="J16" s="718">
        <f t="shared" si="2"/>
        <v>132</v>
      </c>
      <c r="K16" s="718"/>
      <c r="L16" s="446" t="str">
        <f t="shared" si="3"/>
        <v>нет значений данной функции</v>
      </c>
      <c r="M16" s="446"/>
      <c r="N16" s="446" t="str">
        <f t="shared" si="4"/>
        <v>нет значений данной функции</v>
      </c>
      <c r="O16" s="446"/>
      <c r="BI16" s="161"/>
    </row>
    <row r="17" spans="2:61" s="158" customFormat="1" ht="48.75" customHeight="1" x14ac:dyDescent="0.25">
      <c r="B17" s="159">
        <v>7</v>
      </c>
      <c r="C17" s="159">
        <v>7.5</v>
      </c>
      <c r="D17" s="718">
        <f t="shared" si="5"/>
        <v>112</v>
      </c>
      <c r="E17" s="718"/>
      <c r="F17" s="718">
        <f t="shared" si="0"/>
        <v>132</v>
      </c>
      <c r="G17" s="718"/>
      <c r="H17" s="718">
        <f t="shared" si="1"/>
        <v>132</v>
      </c>
      <c r="I17" s="718"/>
      <c r="J17" s="718">
        <f t="shared" si="2"/>
        <v>160</v>
      </c>
      <c r="K17" s="718"/>
      <c r="L17" s="446" t="str">
        <f t="shared" si="3"/>
        <v>нет значений данной функции</v>
      </c>
      <c r="M17" s="446"/>
      <c r="N17" s="446" t="str">
        <f t="shared" si="4"/>
        <v>нет значений данной функции</v>
      </c>
      <c r="O17" s="446"/>
      <c r="BI17" s="161"/>
    </row>
    <row r="18" spans="2:61" s="158" customFormat="1" ht="48.75" customHeight="1" x14ac:dyDescent="0.25">
      <c r="B18" s="159">
        <v>8</v>
      </c>
      <c r="C18" s="159">
        <v>11</v>
      </c>
      <c r="D18" s="718">
        <f t="shared" si="5"/>
        <v>132</v>
      </c>
      <c r="E18" s="718"/>
      <c r="F18" s="718">
        <f t="shared" si="0"/>
        <v>132</v>
      </c>
      <c r="G18" s="718"/>
      <c r="H18" s="718">
        <f t="shared" si="1"/>
        <v>160</v>
      </c>
      <c r="I18" s="718"/>
      <c r="J18" s="718">
        <f t="shared" si="2"/>
        <v>160</v>
      </c>
      <c r="K18" s="718"/>
      <c r="L18" s="446" t="str">
        <f t="shared" si="3"/>
        <v>нет значений данной функции</v>
      </c>
      <c r="M18" s="446"/>
      <c r="N18" s="446" t="str">
        <f t="shared" si="4"/>
        <v>нет значений данной функции</v>
      </c>
      <c r="O18" s="446"/>
      <c r="BI18" s="161"/>
    </row>
    <row r="19" spans="2:61" s="158" customFormat="1" ht="48.75" customHeight="1" x14ac:dyDescent="0.25">
      <c r="B19" s="159">
        <v>9</v>
      </c>
      <c r="C19" s="159">
        <v>15</v>
      </c>
      <c r="D19" s="718">
        <f t="shared" si="5"/>
        <v>160</v>
      </c>
      <c r="E19" s="718"/>
      <c r="F19" s="718">
        <f t="shared" si="0"/>
        <v>160</v>
      </c>
      <c r="G19" s="718"/>
      <c r="H19" s="718">
        <f t="shared" si="1"/>
        <v>160</v>
      </c>
      <c r="I19" s="718"/>
      <c r="J19" s="718">
        <f t="shared" si="2"/>
        <v>180</v>
      </c>
      <c r="K19" s="718"/>
      <c r="L19" s="446" t="str">
        <f t="shared" si="3"/>
        <v>нет значений данной функции</v>
      </c>
      <c r="M19" s="446"/>
      <c r="N19" s="446" t="str">
        <f t="shared" si="4"/>
        <v>нет значений данной функции</v>
      </c>
      <c r="O19" s="446"/>
      <c r="BI19" s="161"/>
    </row>
    <row r="20" spans="2:61" s="158" customFormat="1" ht="48.75" customHeight="1" x14ac:dyDescent="0.25">
      <c r="B20" s="159">
        <v>10</v>
      </c>
      <c r="C20" s="159">
        <v>18.5</v>
      </c>
      <c r="D20" s="718">
        <f t="shared" si="5"/>
        <v>160</v>
      </c>
      <c r="E20" s="718"/>
      <c r="F20" s="718">
        <f t="shared" si="0"/>
        <v>160</v>
      </c>
      <c r="G20" s="718"/>
      <c r="H20" s="718">
        <f t="shared" si="1"/>
        <v>180</v>
      </c>
      <c r="I20" s="718"/>
      <c r="J20" s="718">
        <f t="shared" si="2"/>
        <v>200</v>
      </c>
      <c r="K20" s="718"/>
      <c r="L20" s="446" t="str">
        <f t="shared" si="3"/>
        <v>нет значений данной функции</v>
      </c>
      <c r="M20" s="446"/>
      <c r="N20" s="446" t="str">
        <f t="shared" si="4"/>
        <v>нет значений данной функции</v>
      </c>
      <c r="O20" s="446"/>
      <c r="BI20" s="161"/>
    </row>
    <row r="21" spans="2:61" s="158" customFormat="1" ht="48.75" customHeight="1" x14ac:dyDescent="0.25">
      <c r="B21" s="159">
        <v>11</v>
      </c>
      <c r="C21" s="159">
        <v>22</v>
      </c>
      <c r="D21" s="718">
        <f t="shared" si="5"/>
        <v>180</v>
      </c>
      <c r="E21" s="718"/>
      <c r="F21" s="718">
        <f t="shared" si="0"/>
        <v>180</v>
      </c>
      <c r="G21" s="718"/>
      <c r="H21" s="718">
        <f t="shared" si="1"/>
        <v>200</v>
      </c>
      <c r="I21" s="718"/>
      <c r="J21" s="718">
        <f t="shared" si="2"/>
        <v>200</v>
      </c>
      <c r="K21" s="718"/>
      <c r="L21" s="446">
        <f t="shared" si="3"/>
        <v>250</v>
      </c>
      <c r="M21" s="446"/>
      <c r="N21" s="446" t="str">
        <f t="shared" si="4"/>
        <v>нет значений данной функции</v>
      </c>
      <c r="O21" s="446"/>
      <c r="AK21" s="718" t="s">
        <v>887</v>
      </c>
      <c r="AL21" s="718"/>
      <c r="AM21" s="718"/>
      <c r="AN21" s="718"/>
      <c r="AO21" s="718"/>
      <c r="AP21" s="238"/>
      <c r="BI21" s="161"/>
    </row>
    <row r="22" spans="2:61" s="158" customFormat="1" ht="48.75" customHeight="1" x14ac:dyDescent="0.25">
      <c r="B22" s="159">
        <v>12</v>
      </c>
      <c r="C22" s="159">
        <v>30</v>
      </c>
      <c r="D22" s="718">
        <f t="shared" si="5"/>
        <v>180</v>
      </c>
      <c r="E22" s="718"/>
      <c r="F22" s="718">
        <f t="shared" si="0"/>
        <v>180</v>
      </c>
      <c r="G22" s="718"/>
      <c r="H22" s="718">
        <f t="shared" si="1"/>
        <v>200</v>
      </c>
      <c r="I22" s="718"/>
      <c r="J22" s="718">
        <f t="shared" si="2"/>
        <v>225</v>
      </c>
      <c r="K22" s="718"/>
      <c r="L22" s="446">
        <f t="shared" si="3"/>
        <v>250</v>
      </c>
      <c r="M22" s="446"/>
      <c r="N22" s="446" t="str">
        <f t="shared" si="4"/>
        <v>нет значений данной функции</v>
      </c>
      <c r="O22" s="446"/>
      <c r="AI22" s="26"/>
      <c r="AJ22" s="26"/>
      <c r="AK22" s="209" t="s">
        <v>583</v>
      </c>
      <c r="AL22" s="209" t="s">
        <v>584</v>
      </c>
      <c r="AM22" s="209" t="s">
        <v>585</v>
      </c>
      <c r="AN22" s="209" t="s">
        <v>586</v>
      </c>
      <c r="AO22" s="209" t="s">
        <v>588</v>
      </c>
      <c r="AP22" s="209" t="s">
        <v>587</v>
      </c>
      <c r="BI22" s="161"/>
    </row>
    <row r="23" spans="2:61" s="158" customFormat="1" ht="48.75" customHeight="1" x14ac:dyDescent="0.25">
      <c r="B23" s="159">
        <v>13</v>
      </c>
      <c r="C23" s="159">
        <v>37</v>
      </c>
      <c r="D23" s="718">
        <f t="shared" si="5"/>
        <v>200</v>
      </c>
      <c r="E23" s="718"/>
      <c r="F23" s="718">
        <f t="shared" si="0"/>
        <v>200</v>
      </c>
      <c r="G23" s="718"/>
      <c r="H23" s="718">
        <f t="shared" si="1"/>
        <v>225</v>
      </c>
      <c r="I23" s="718"/>
      <c r="J23" s="718">
        <f t="shared" si="2"/>
        <v>250</v>
      </c>
      <c r="K23" s="718"/>
      <c r="L23" s="446">
        <f t="shared" si="3"/>
        <v>280</v>
      </c>
      <c r="M23" s="446"/>
      <c r="N23" s="446" t="str">
        <f t="shared" si="4"/>
        <v>нет значений данной функции</v>
      </c>
      <c r="O23" s="446"/>
      <c r="AI23" s="26"/>
      <c r="AJ23" s="26"/>
      <c r="AK23" s="209">
        <v>2</v>
      </c>
      <c r="AL23" s="209">
        <v>4</v>
      </c>
      <c r="AM23" s="209">
        <v>6</v>
      </c>
      <c r="AN23" s="209">
        <v>8</v>
      </c>
      <c r="AO23" s="209">
        <v>10</v>
      </c>
      <c r="AP23" s="209">
        <v>12</v>
      </c>
      <c r="BI23" s="161"/>
    </row>
    <row r="24" spans="2:61" s="158" customFormat="1" ht="48.75" customHeight="1" x14ac:dyDescent="0.25">
      <c r="B24" s="159">
        <v>14</v>
      </c>
      <c r="C24" s="159">
        <v>45</v>
      </c>
      <c r="D24" s="718">
        <f t="shared" si="5"/>
        <v>200</v>
      </c>
      <c r="E24" s="718"/>
      <c r="F24" s="718">
        <f t="shared" si="0"/>
        <v>200</v>
      </c>
      <c r="G24" s="718"/>
      <c r="H24" s="718">
        <f t="shared" si="1"/>
        <v>250</v>
      </c>
      <c r="I24" s="718"/>
      <c r="J24" s="718">
        <f t="shared" si="2"/>
        <v>250</v>
      </c>
      <c r="K24" s="718"/>
      <c r="L24" s="446">
        <f t="shared" si="3"/>
        <v>280</v>
      </c>
      <c r="M24" s="446"/>
      <c r="N24" s="446">
        <f t="shared" si="4"/>
        <v>315</v>
      </c>
      <c r="O24" s="446"/>
      <c r="AI24" s="209">
        <f>AK24</f>
        <v>180</v>
      </c>
      <c r="AJ24" s="26"/>
      <c r="AK24" s="209">
        <f xml:space="preserve">
IF(AND('Ввод значений статус решения'!AE11='Программные таблицы'!D10,OR('Программные таблицы'!C11='Ввод значений статус решения'!X22,0&lt;'Ввод значений статус решения'!X22&lt;'Программные таблицы'!C11)),'Программные таблицы'!D11,
IF(AND('Ввод значений статус решения'!AE11='Программные таблицы'!D10,OR('Программные таблицы'!C12='Ввод значений статус решения'!X22,AND('Программные таблицы'!C11&lt;'Ввод значений статус решения'!X22,'Ввод значений статус решения'!X22&lt;'Программные таблицы'!C12))),'Программные таблицы'!D12,
IF(AND('Ввод значений статус решения'!AE11='Программные таблицы'!D10,OR('Программные таблицы'!C13='Ввод значений статус решения'!X22,AND('Программные таблицы'!C12&lt;'Ввод значений статус решения'!X22,'Ввод значений статус решения'!X22&lt;'Программные таблицы'!C13))),'Программные таблицы'!D13,
IF(AND('Ввод значений статус решения'!AE11='Программные таблицы'!D10,OR('Программные таблицы'!C14='Ввод значений статус решения'!X22,AND('Программные таблицы'!C13&lt;'Ввод значений статус решения'!X22,'Ввод значений статус решения'!X22&lt;'Программные таблицы'!C14))),'Программные таблицы'!D14,
IF(AND('Ввод значений статус решения'!AE11='Программные таблицы'!D10,OR('Программные таблицы'!C15='Ввод значений статус решения'!X22,AND('Программные таблицы'!C14&lt;'Ввод значений статус решения'!X22,'Ввод значений статус решения'!X22&lt;'Программные таблицы'!C15))),'Программные таблицы'!D15,
IF(AND('Ввод значений статус решения'!AE11='Программные таблицы'!D10,OR('Программные таблицы'!C16='Ввод значений статус решения'!X22,AND('Программные таблицы'!C15&lt;'Ввод значений статус решения'!X22,'Ввод значений статус решения'!X22&lt;'Программные таблицы'!C16))),'Программные таблицы'!D16,
IF(AND('Ввод значений статус решения'!AE11='Программные таблицы'!D10,OR('Программные таблицы'!C17='Ввод значений статус решения'!X22,AND('Программные таблицы'!C16&lt;'Ввод значений статус решения'!X22,'Ввод значений статус решения'!X22&lt;'Программные таблицы'!C17))),'Программные таблицы'!D17,
IF(AND('Ввод значений статус решения'!AE11='Программные таблицы'!D10,OR('Программные таблицы'!C18='Ввод значений статус решения'!X22,AND('Программные таблицы'!C17&lt;'Ввод значений статус решения'!X22,'Ввод значений статус решения'!X22&lt;'Программные таблицы'!C18))),'Программные таблицы'!D18,
IF(AND('Ввод значений статус решения'!AE11='Программные таблицы'!D10,OR('Программные таблицы'!C19='Ввод значений статус решения'!X22,AND('Программные таблицы'!C18&lt;'Ввод значений статус решения'!X22,'Ввод значений статус решения'!X22&lt;'Программные таблицы'!C19))),'Программные таблицы'!D19,
IF(AND('Ввод значений статус решения'!AE11='Программные таблицы'!D10,OR('Программные таблицы'!C20='Ввод значений статус решения'!X22,AND('Программные таблицы'!C19&lt;'Ввод значений статус решения'!X22,'Ввод значений статус решения'!X22&lt;'Программные таблицы'!C20))),'Программные таблицы'!D20,
IF(AND('Ввод значений статус решения'!AE11='Программные таблицы'!D10,OR('Программные таблицы'!C21='Ввод значений статус решения'!X22,AND('Программные таблицы'!C20&lt;'Ввод значений статус решения'!X22,'Ввод значений статус решения'!X22&lt;'Программные таблицы'!C21))),'Программные таблицы'!D21,
IF(AND('Ввод значений статус решения'!AE11='Программные таблицы'!D10,OR('Программные таблицы'!C22='Ввод значений статус решения'!X22,AND('Программные таблицы'!C21&lt;'Ввод значений статус решения'!X22,'Ввод значений статус решения'!X22&lt;'Программные таблицы'!C22))),'Программные таблицы'!D22,
IF(AND('Ввод значений статус решения'!AE11='Программные таблицы'!D10,OR('Программные таблицы'!C23='Ввод значений статус решения'!X22,AND('Программные таблицы'!C22&lt;'Ввод значений статус решения'!X22,'Ввод значений статус решения'!X22&lt;'Программные таблицы'!C23))),'Программные таблицы'!D23,
IF(AND('Ввод значений статус решения'!AE11='Программные таблицы'!D10,OR('Программные таблицы'!C24='Ввод значений статус решения'!X22,AND('Программные таблицы'!C23&lt;'Ввод значений статус решения'!X22,'Ввод значений статус решения'!X22&lt;'Программные таблицы'!C24))),'Программные таблицы'!D24,
IF(AND('Ввод значений статус решения'!AE11='Программные таблицы'!D10,OR('Программные таблицы'!C25='Ввод значений статус решения'!X22,AND('Программные таблицы'!C24&lt;'Ввод значений статус решения'!X22,'Ввод значений статус решения'!X22&lt;'Программные таблицы'!C25))),'Программные таблицы'!D25,
IF(AND('Ввод значений статус решения'!AE11='Программные таблицы'!D10,OR('Программные таблицы'!C26='Ввод значений статус решения'!X22,AND('Программные таблицы'!C25&lt;'Ввод значений статус решения'!X22,'Ввод значений статус решения'!X22&lt;'Программные таблицы'!C26))),'Программные таблицы'!D26,
IF(AND('Ввод значений статус решения'!AE11='Программные таблицы'!D10,OR('Программные таблицы'!C27='Ввод значений статус решения'!X22,AND('Программные таблицы'!C26&lt;'Ввод значений статус решения'!X22,'Ввод значений статус решения'!X22&lt;'Программные таблицы'!C27))),'Программные таблицы'!D27,
IF(AND('Ввод значений статус решения'!AE11='Программные таблицы'!D10,OR('Программные таблицы'!C28='Ввод значений статус решения'!X22,AND('Программные таблицы'!C27&lt;'Ввод значений статус решения'!X22,'Ввод значений статус решения'!X22&lt;'Программные таблицы'!C28))),'Программные таблицы'!D28,
IF(AND('Ввод значений статус решения'!AE11='Программные таблицы'!D10,OR('Программные таблицы'!C29='Ввод значений статус решения'!X22,AND('Программные таблицы'!C28&lt;'Ввод значений статус решения'!X22,'Ввод значений статус решения'!X22&lt;'Программные таблицы'!C29))),'Программные таблицы'!D29,
IF(AND('Ввод значений статус решения'!AE11='Программные таблицы'!D10,OR('Программные таблицы'!C30='Ввод значений статус решения'!X22,AND('Программные таблицы'!C29&lt;'Ввод значений статус решения'!X22,'Ввод значений статус решения'!X22&lt;'Программные таблицы'!C30))),'Программные таблицы'!D30,
IF(AND('Ввод значений статус решения'!AE11='Программные таблицы'!D10,OR('Программные таблицы'!C31='Ввод значений статус решения'!X22,AND('Программные таблицы'!C30&lt;'Ввод значений статус решения'!X22,'Ввод значений статус решения'!X22&lt;'Программные таблицы'!C31))),'Программные таблицы'!D31,
IF(AND('Ввод значений статус решения'!AE11='Программные таблицы'!D10,OR('Программные таблицы'!C32='Ввод значений статус решения'!X22,AND('Программные таблицы'!C31&lt;'Ввод значений статус решения'!X22,'Ввод значений статус решения'!X22&lt;'Программные таблицы'!C32))),'Программные таблицы'!D32,
IF(AND('Ввод значений статус решения'!AE11='Программные таблицы'!D10,OR('Программные таблицы'!C33='Ввод значений статус решения'!X22,AND('Программные таблицы'!C32&lt;'Ввод значений статус решения'!X22,'Ввод значений статус решения'!X22&lt;'Программные таблицы'!C33))),'Программные таблицы'!D33,
)))))))))))))))))))))))</f>
        <v>180</v>
      </c>
      <c r="AL24" s="209"/>
      <c r="AM24" s="209"/>
      <c r="AN24" s="209"/>
      <c r="AO24" s="209"/>
      <c r="AP24" s="209"/>
      <c r="BI24" s="161"/>
    </row>
    <row r="25" spans="2:61" s="158" customFormat="1" ht="48.75" customHeight="1" x14ac:dyDescent="0.25">
      <c r="B25" s="159">
        <v>15</v>
      </c>
      <c r="C25" s="159">
        <v>55</v>
      </c>
      <c r="D25" s="718">
        <f t="shared" si="5"/>
        <v>225</v>
      </c>
      <c r="E25" s="718"/>
      <c r="F25" s="718">
        <f t="shared" si="0"/>
        <v>225</v>
      </c>
      <c r="G25" s="718"/>
      <c r="H25" s="718">
        <f t="shared" si="1"/>
        <v>250</v>
      </c>
      <c r="I25" s="718"/>
      <c r="J25" s="718">
        <f t="shared" si="2"/>
        <v>280</v>
      </c>
      <c r="K25" s="718"/>
      <c r="L25" s="446">
        <f t="shared" si="3"/>
        <v>315</v>
      </c>
      <c r="M25" s="446"/>
      <c r="N25" s="446">
        <f t="shared" si="4"/>
        <v>315</v>
      </c>
      <c r="O25" s="446"/>
      <c r="BI25" s="161"/>
    </row>
    <row r="26" spans="2:61" s="158" customFormat="1" ht="48.75" customHeight="1" x14ac:dyDescent="0.25">
      <c r="B26" s="159">
        <v>16</v>
      </c>
      <c r="C26" s="159">
        <v>75</v>
      </c>
      <c r="D26" s="718">
        <f t="shared" si="5"/>
        <v>250</v>
      </c>
      <c r="E26" s="718"/>
      <c r="F26" s="718">
        <f t="shared" si="0"/>
        <v>250</v>
      </c>
      <c r="G26" s="718"/>
      <c r="H26" s="718">
        <f t="shared" si="1"/>
        <v>280</v>
      </c>
      <c r="I26" s="718"/>
      <c r="J26" s="718">
        <f t="shared" si="2"/>
        <v>280</v>
      </c>
      <c r="K26" s="718"/>
      <c r="L26" s="446">
        <f t="shared" si="3"/>
        <v>315</v>
      </c>
      <c r="M26" s="446"/>
      <c r="N26" s="446">
        <f t="shared" si="4"/>
        <v>355</v>
      </c>
      <c r="O26" s="446"/>
      <c r="BI26" s="161"/>
    </row>
    <row r="27" spans="2:61" s="158" customFormat="1" ht="48.75" customHeight="1" x14ac:dyDescent="0.25">
      <c r="B27" s="159">
        <v>17</v>
      </c>
      <c r="C27" s="159">
        <v>90</v>
      </c>
      <c r="D27" s="718">
        <f t="shared" si="5"/>
        <v>250</v>
      </c>
      <c r="E27" s="718"/>
      <c r="F27" s="718">
        <f t="shared" si="0"/>
        <v>250</v>
      </c>
      <c r="G27" s="718"/>
      <c r="H27" s="718">
        <f t="shared" si="1"/>
        <v>280</v>
      </c>
      <c r="I27" s="718"/>
      <c r="J27" s="718">
        <f t="shared" si="2"/>
        <v>315</v>
      </c>
      <c r="K27" s="718"/>
      <c r="L27" s="446">
        <f t="shared" si="3"/>
        <v>355</v>
      </c>
      <c r="M27" s="446"/>
      <c r="N27" s="446">
        <f t="shared" si="4"/>
        <v>355</v>
      </c>
      <c r="O27" s="446"/>
      <c r="BI27" s="161"/>
    </row>
    <row r="28" spans="2:61" s="158" customFormat="1" ht="48.75" customHeight="1" x14ac:dyDescent="0.25">
      <c r="B28" s="159">
        <v>18</v>
      </c>
      <c r="C28" s="159">
        <v>110</v>
      </c>
      <c r="D28" s="718">
        <f t="shared" si="5"/>
        <v>250</v>
      </c>
      <c r="E28" s="718"/>
      <c r="F28" s="718">
        <f t="shared" si="0"/>
        <v>280</v>
      </c>
      <c r="G28" s="718"/>
      <c r="H28" s="718">
        <f t="shared" si="1"/>
        <v>315</v>
      </c>
      <c r="I28" s="718"/>
      <c r="J28" s="718">
        <f t="shared" si="2"/>
        <v>315</v>
      </c>
      <c r="K28" s="718"/>
      <c r="L28" s="446">
        <f t="shared" si="3"/>
        <v>355</v>
      </c>
      <c r="M28" s="446"/>
      <c r="N28" s="446" t="str">
        <f t="shared" si="4"/>
        <v>нет значений данной функции</v>
      </c>
      <c r="O28" s="446"/>
      <c r="BI28" s="161"/>
    </row>
    <row r="29" spans="2:61" s="158" customFormat="1" ht="48.75" customHeight="1" x14ac:dyDescent="0.25">
      <c r="B29" s="159">
        <v>19</v>
      </c>
      <c r="C29" s="159">
        <v>132</v>
      </c>
      <c r="D29" s="718">
        <f t="shared" si="5"/>
        <v>280</v>
      </c>
      <c r="E29" s="718"/>
      <c r="F29" s="718">
        <f t="shared" si="0"/>
        <v>280</v>
      </c>
      <c r="G29" s="718"/>
      <c r="H29" s="718">
        <f t="shared" si="1"/>
        <v>315</v>
      </c>
      <c r="I29" s="718"/>
      <c r="J29" s="718">
        <f t="shared" si="2"/>
        <v>355</v>
      </c>
      <c r="K29" s="718"/>
      <c r="L29" s="446" t="str">
        <f t="shared" si="3"/>
        <v>нет значений данной функции</v>
      </c>
      <c r="M29" s="446"/>
      <c r="N29" s="446" t="str">
        <f t="shared" si="4"/>
        <v>нет значений данной функции</v>
      </c>
      <c r="O29" s="446"/>
      <c r="BI29" s="161"/>
    </row>
    <row r="30" spans="2:61" s="158" customFormat="1" ht="48.75" customHeight="1" x14ac:dyDescent="0.25">
      <c r="B30" s="159">
        <v>20</v>
      </c>
      <c r="C30" s="159">
        <v>160</v>
      </c>
      <c r="D30" s="718">
        <f t="shared" si="5"/>
        <v>315</v>
      </c>
      <c r="E30" s="718"/>
      <c r="F30" s="718">
        <f t="shared" si="0"/>
        <v>315</v>
      </c>
      <c r="G30" s="718"/>
      <c r="H30" s="718">
        <f t="shared" si="1"/>
        <v>355</v>
      </c>
      <c r="I30" s="718"/>
      <c r="J30" s="718">
        <f t="shared" si="2"/>
        <v>355</v>
      </c>
      <c r="K30" s="718"/>
      <c r="L30" s="446" t="str">
        <f t="shared" si="3"/>
        <v>нет значений данной функции</v>
      </c>
      <c r="M30" s="446"/>
      <c r="N30" s="446" t="str">
        <f t="shared" si="4"/>
        <v>нет значений данной функции</v>
      </c>
      <c r="O30" s="446"/>
      <c r="BI30" s="161"/>
    </row>
    <row r="31" spans="2:61" s="158" customFormat="1" ht="48.75" customHeight="1" x14ac:dyDescent="0.25">
      <c r="B31" s="159">
        <v>21</v>
      </c>
      <c r="C31" s="159">
        <v>200</v>
      </c>
      <c r="D31" s="718">
        <f t="shared" si="5"/>
        <v>315</v>
      </c>
      <c r="E31" s="718"/>
      <c r="F31" s="718">
        <f t="shared" si="0"/>
        <v>315</v>
      </c>
      <c r="G31" s="718"/>
      <c r="H31" s="718">
        <f t="shared" si="1"/>
        <v>355</v>
      </c>
      <c r="I31" s="718"/>
      <c r="J31" s="718" t="str">
        <f t="shared" si="2"/>
        <v>нет значений данной функции</v>
      </c>
      <c r="K31" s="718"/>
      <c r="L31" s="446" t="str">
        <f t="shared" si="3"/>
        <v>нет значений данной функции</v>
      </c>
      <c r="M31" s="446"/>
      <c r="N31" s="446" t="str">
        <f t="shared" si="4"/>
        <v>нет значений данной функции</v>
      </c>
      <c r="O31" s="446"/>
      <c r="BI31" s="161"/>
    </row>
    <row r="32" spans="2:61" s="158" customFormat="1" ht="48.75" customHeight="1" x14ac:dyDescent="0.25">
      <c r="B32" s="159">
        <v>22</v>
      </c>
      <c r="C32" s="159">
        <v>250</v>
      </c>
      <c r="D32" s="718">
        <f t="shared" si="5"/>
        <v>355</v>
      </c>
      <c r="E32" s="718"/>
      <c r="F32" s="718">
        <f t="shared" si="0"/>
        <v>355</v>
      </c>
      <c r="G32" s="718"/>
      <c r="H32" s="718" t="str">
        <f t="shared" si="1"/>
        <v>нет значений данной функции</v>
      </c>
      <c r="I32" s="718"/>
      <c r="J32" s="718" t="str">
        <f t="shared" si="2"/>
        <v>нет значений данной функции</v>
      </c>
      <c r="K32" s="718"/>
      <c r="L32" s="446" t="str">
        <f t="shared" si="3"/>
        <v>нет значений данной функции</v>
      </c>
      <c r="M32" s="446"/>
      <c r="N32" s="446" t="str">
        <f t="shared" si="4"/>
        <v>нет значений данной функции</v>
      </c>
      <c r="O32" s="446"/>
      <c r="BI32" s="161"/>
    </row>
    <row r="33" spans="2:75" s="158" customFormat="1" ht="48.75" customHeight="1" x14ac:dyDescent="0.25">
      <c r="B33" s="159">
        <v>23</v>
      </c>
      <c r="C33" s="159">
        <v>315</v>
      </c>
      <c r="D33" s="718">
        <f t="shared" si="5"/>
        <v>355</v>
      </c>
      <c r="E33" s="718"/>
      <c r="F33" s="718">
        <f t="shared" si="0"/>
        <v>355</v>
      </c>
      <c r="G33" s="718"/>
      <c r="H33" s="718" t="str">
        <f t="shared" si="1"/>
        <v>нет значений данной функции</v>
      </c>
      <c r="I33" s="718"/>
      <c r="J33" s="718" t="str">
        <f t="shared" si="2"/>
        <v>нет значений данной функции</v>
      </c>
      <c r="K33" s="718"/>
      <c r="L33" s="446" t="str">
        <f t="shared" si="3"/>
        <v>нет значений данной функции</v>
      </c>
      <c r="M33" s="446"/>
      <c r="N33" s="446" t="str">
        <f t="shared" si="4"/>
        <v>нет значений данной функции</v>
      </c>
      <c r="O33" s="446"/>
      <c r="AF33" s="707" t="s">
        <v>931</v>
      </c>
      <c r="AG33" s="708"/>
      <c r="AH33" s="708"/>
      <c r="AI33" s="708"/>
      <c r="AJ33" s="708"/>
      <c r="AK33" s="708"/>
      <c r="AL33" s="708"/>
      <c r="AM33" s="708"/>
      <c r="AN33" s="708"/>
      <c r="AO33" s="356"/>
      <c r="BI33" s="161"/>
    </row>
    <row r="34" spans="2:75" s="158" customFormat="1" ht="48.75" customHeight="1" x14ac:dyDescent="0.25">
      <c r="B34" s="159">
        <v>24</v>
      </c>
      <c r="C34" s="159">
        <v>400</v>
      </c>
      <c r="D34" s="718" t="str">
        <f t="shared" si="5"/>
        <v>нет значений данной функции</v>
      </c>
      <c r="E34" s="718"/>
      <c r="F34" s="718" t="str">
        <f t="shared" si="0"/>
        <v>нет значений данной функции</v>
      </c>
      <c r="G34" s="718"/>
      <c r="H34" s="718" t="str">
        <f t="shared" si="1"/>
        <v>нет значений данной функции</v>
      </c>
      <c r="I34" s="718"/>
      <c r="J34" s="718" t="str">
        <f t="shared" si="2"/>
        <v>нет значений данной функции</v>
      </c>
      <c r="K34" s="718"/>
      <c r="L34" s="446" t="str">
        <f t="shared" si="3"/>
        <v>нет значений данной функции</v>
      </c>
      <c r="M34" s="446"/>
      <c r="N34" s="446" t="str">
        <f t="shared" si="4"/>
        <v>нет значений данной функции</v>
      </c>
      <c r="O34" s="446"/>
      <c r="AF34" s="709"/>
      <c r="AG34" s="710"/>
      <c r="AH34" s="710"/>
      <c r="AI34" s="710"/>
      <c r="AJ34" s="710"/>
      <c r="AK34" s="710"/>
      <c r="AL34" s="710"/>
      <c r="AM34" s="710"/>
      <c r="AN34" s="710"/>
      <c r="AO34" s="723"/>
      <c r="AQ34" s="23"/>
      <c r="AR34" s="707" t="s">
        <v>946</v>
      </c>
      <c r="AS34" s="708"/>
      <c r="AT34" s="708"/>
      <c r="AU34" s="708"/>
      <c r="AV34" s="708"/>
      <c r="AW34" s="708"/>
      <c r="AX34" s="719"/>
      <c r="AY34" s="290"/>
      <c r="AZ34" s="177"/>
      <c r="BA34" s="177"/>
      <c r="BB34" s="23"/>
      <c r="BI34" s="161"/>
    </row>
    <row r="35" spans="2:75" s="158" customFormat="1" ht="48.75" customHeight="1" x14ac:dyDescent="0.25">
      <c r="AF35" s="181"/>
      <c r="AG35" s="182"/>
      <c r="AH35" s="182"/>
      <c r="AI35" s="182"/>
      <c r="AJ35" s="182"/>
      <c r="AK35" s="182"/>
      <c r="AL35" s="182"/>
      <c r="AM35" s="182"/>
      <c r="AN35" s="182"/>
      <c r="AO35" s="183"/>
      <c r="AQ35" s="23"/>
      <c r="AR35" s="856"/>
      <c r="AS35" s="856"/>
      <c r="AT35" s="856"/>
      <c r="AU35" s="856"/>
      <c r="AV35" s="856"/>
      <c r="AW35" s="856"/>
      <c r="AX35" s="856"/>
      <c r="AY35" s="856"/>
      <c r="AZ35" s="177"/>
      <c r="BA35" s="177"/>
      <c r="BB35" s="23"/>
      <c r="BI35" s="161"/>
    </row>
    <row r="36" spans="2:75" s="158" customFormat="1" ht="48.75" customHeight="1" x14ac:dyDescent="0.25">
      <c r="AF36" s="181"/>
      <c r="AG36" s="182"/>
      <c r="AH36" s="182"/>
      <c r="AI36" s="182"/>
      <c r="AJ36" s="182"/>
      <c r="AK36" s="182"/>
      <c r="AL36" s="182"/>
      <c r="AM36" s="182"/>
      <c r="AN36" s="182"/>
      <c r="AO36" s="183"/>
      <c r="AQ36" s="23"/>
      <c r="AR36" s="856"/>
      <c r="AS36" s="856"/>
      <c r="AT36" s="856"/>
      <c r="AU36" s="856"/>
      <c r="AV36" s="856"/>
      <c r="AW36" s="856"/>
      <c r="AX36" s="856"/>
      <c r="AY36" s="856"/>
      <c r="AZ36" s="177"/>
      <c r="BA36" s="177"/>
      <c r="BB36" s="23"/>
      <c r="BI36" s="161"/>
    </row>
    <row r="37" spans="2:75" s="158" customFormat="1" ht="48.75" customHeight="1" x14ac:dyDescent="0.25">
      <c r="U37" s="707" t="s">
        <v>932</v>
      </c>
      <c r="V37" s="708"/>
      <c r="W37" s="708"/>
      <c r="X37" s="708"/>
      <c r="Y37" s="708"/>
      <c r="Z37" s="708"/>
      <c r="AA37" s="719"/>
      <c r="AB37" s="356"/>
      <c r="AF37" s="181"/>
      <c r="AG37" s="182"/>
      <c r="AH37" s="182"/>
      <c r="AI37" s="182"/>
      <c r="AJ37" s="182"/>
      <c r="AK37" s="182"/>
      <c r="AL37" s="182"/>
      <c r="AM37" s="182"/>
      <c r="AN37" s="182"/>
      <c r="AO37" s="183"/>
      <c r="AQ37" s="23"/>
      <c r="AR37" s="856"/>
      <c r="AS37" s="856"/>
      <c r="AT37" s="856"/>
      <c r="AU37" s="856"/>
      <c r="AV37" s="856"/>
      <c r="AW37" s="856"/>
      <c r="AX37" s="856"/>
      <c r="AY37" s="856"/>
      <c r="AZ37" s="177"/>
      <c r="BA37" s="177"/>
      <c r="BB37" s="23"/>
      <c r="BI37" s="161"/>
    </row>
    <row r="38" spans="2:75" s="158" customFormat="1" ht="48.75" customHeight="1" x14ac:dyDescent="0.25">
      <c r="B38" s="718" t="s">
        <v>701</v>
      </c>
      <c r="C38" s="446" t="s">
        <v>702</v>
      </c>
      <c r="D38" s="446"/>
      <c r="E38" s="446"/>
      <c r="F38" s="446"/>
      <c r="G38" s="446"/>
      <c r="H38" s="446"/>
      <c r="I38" s="446"/>
      <c r="J38" s="446"/>
      <c r="K38" s="446"/>
      <c r="L38" s="779"/>
      <c r="O38" s="800" t="s">
        <v>909</v>
      </c>
      <c r="P38" s="787"/>
      <c r="Q38" s="787"/>
      <c r="R38" s="788"/>
      <c r="S38" s="268"/>
      <c r="U38" s="709"/>
      <c r="V38" s="710"/>
      <c r="W38" s="710"/>
      <c r="X38" s="710"/>
      <c r="Y38" s="710"/>
      <c r="Z38" s="710"/>
      <c r="AA38" s="724"/>
      <c r="AB38" s="723"/>
      <c r="AF38" s="181"/>
      <c r="AG38" s="182"/>
      <c r="AH38" s="182"/>
      <c r="AI38" s="182"/>
      <c r="AJ38" s="182"/>
      <c r="AK38" s="182"/>
      <c r="AL38" s="182"/>
      <c r="AM38" s="182"/>
      <c r="AN38" s="182"/>
      <c r="AO38" s="183"/>
      <c r="AQ38" s="23"/>
      <c r="AR38" s="856"/>
      <c r="AS38" s="856"/>
      <c r="AT38" s="856"/>
      <c r="AU38" s="856"/>
      <c r="AV38" s="856"/>
      <c r="AW38" s="856"/>
      <c r="AX38" s="856"/>
      <c r="AY38" s="856"/>
      <c r="AZ38" s="177"/>
      <c r="BA38" s="177"/>
      <c r="BB38" s="23"/>
      <c r="BI38" s="161"/>
    </row>
    <row r="39" spans="2:75" s="158" customFormat="1" ht="48.75" customHeight="1" x14ac:dyDescent="0.25">
      <c r="B39" s="718"/>
      <c r="C39" s="446"/>
      <c r="D39" s="446"/>
      <c r="E39" s="446"/>
      <c r="F39" s="446"/>
      <c r="G39" s="446"/>
      <c r="H39" s="446"/>
      <c r="I39" s="446"/>
      <c r="J39" s="446"/>
      <c r="K39" s="446"/>
      <c r="L39" s="779"/>
      <c r="O39" s="181"/>
      <c r="P39" s="182"/>
      <c r="Q39" s="182"/>
      <c r="R39" s="182"/>
      <c r="S39" s="183"/>
      <c r="U39" s="178"/>
      <c r="V39" s="179"/>
      <c r="W39" s="179"/>
      <c r="X39" s="179"/>
      <c r="Y39" s="179"/>
      <c r="Z39" s="179"/>
      <c r="AA39" s="179"/>
      <c r="AB39" s="180"/>
      <c r="AF39" s="181"/>
      <c r="AG39" s="182"/>
      <c r="AH39" s="182"/>
      <c r="AI39" s="182"/>
      <c r="AJ39" s="182"/>
      <c r="AK39" s="182"/>
      <c r="AL39" s="182"/>
      <c r="AM39" s="182"/>
      <c r="AN39" s="182"/>
      <c r="AO39" s="183"/>
      <c r="AQ39" s="23"/>
      <c r="AR39" s="856"/>
      <c r="AS39" s="856"/>
      <c r="AT39" s="856"/>
      <c r="AU39" s="856"/>
      <c r="AV39" s="856"/>
      <c r="AW39" s="856"/>
      <c r="AX39" s="856"/>
      <c r="AY39" s="856"/>
      <c r="AZ39" s="177"/>
      <c r="BA39" s="177"/>
      <c r="BB39" s="23"/>
      <c r="BI39" s="161"/>
    </row>
    <row r="40" spans="2:75" s="158" customFormat="1" ht="48.75" customHeight="1" x14ac:dyDescent="0.25">
      <c r="B40" s="188" t="s">
        <v>590</v>
      </c>
      <c r="C40" s="188">
        <v>2</v>
      </c>
      <c r="D40" s="188">
        <v>4</v>
      </c>
      <c r="E40" s="188">
        <v>6</v>
      </c>
      <c r="F40" s="188" t="s">
        <v>591</v>
      </c>
      <c r="G40" s="779"/>
      <c r="H40" s="188" t="s">
        <v>590</v>
      </c>
      <c r="I40" s="188">
        <v>2</v>
      </c>
      <c r="J40" s="188">
        <v>4</v>
      </c>
      <c r="K40" s="188">
        <v>6</v>
      </c>
      <c r="L40" s="188" t="s">
        <v>591</v>
      </c>
      <c r="O40" s="181"/>
      <c r="P40" s="182"/>
      <c r="Q40" s="182"/>
      <c r="R40" s="182"/>
      <c r="S40" s="183"/>
      <c r="U40" s="181"/>
      <c r="V40" s="182"/>
      <c r="W40" s="182"/>
      <c r="X40" s="182"/>
      <c r="Y40" s="182"/>
      <c r="Z40" s="182"/>
      <c r="AA40" s="182"/>
      <c r="AB40" s="183"/>
      <c r="AF40" s="181"/>
      <c r="AG40" s="182"/>
      <c r="AH40" s="182"/>
      <c r="AI40" s="182"/>
      <c r="AJ40" s="182"/>
      <c r="AK40" s="182"/>
      <c r="AL40" s="182"/>
      <c r="AM40" s="182"/>
      <c r="AN40" s="182"/>
      <c r="AO40" s="183"/>
      <c r="AQ40" s="23"/>
      <c r="AR40" s="856"/>
      <c r="AS40" s="856"/>
      <c r="AT40" s="856"/>
      <c r="AU40" s="856"/>
      <c r="AV40" s="856"/>
      <c r="AW40" s="856"/>
      <c r="AX40" s="856"/>
      <c r="AY40" s="856"/>
      <c r="AZ40" s="177"/>
      <c r="BA40" s="177"/>
      <c r="BB40" s="23"/>
      <c r="BI40" s="161"/>
    </row>
    <row r="41" spans="2:75" s="158" customFormat="1" ht="48.75" customHeight="1" x14ac:dyDescent="0.25">
      <c r="B41" s="446" t="s">
        <v>592</v>
      </c>
      <c r="C41" s="160">
        <v>0.52</v>
      </c>
      <c r="D41" s="160">
        <v>0.64</v>
      </c>
      <c r="E41" s="160">
        <v>0.7</v>
      </c>
      <c r="F41" s="160">
        <v>0.74</v>
      </c>
      <c r="G41" s="779"/>
      <c r="H41" s="188" t="s">
        <v>592</v>
      </c>
      <c r="I41" s="188" t="s">
        <v>593</v>
      </c>
      <c r="J41" s="188" t="s">
        <v>594</v>
      </c>
      <c r="K41" s="188" t="s">
        <v>595</v>
      </c>
      <c r="L41" s="188" t="s">
        <v>596</v>
      </c>
      <c r="O41" s="181"/>
      <c r="P41" s="182"/>
      <c r="Q41" s="182"/>
      <c r="R41" s="182"/>
      <c r="S41" s="183"/>
      <c r="U41" s="181"/>
      <c r="V41" s="182"/>
      <c r="W41" s="182"/>
      <c r="X41" s="182"/>
      <c r="Y41" s="182"/>
      <c r="Z41" s="182"/>
      <c r="AA41" s="182"/>
      <c r="AB41" s="183"/>
      <c r="AF41" s="181"/>
      <c r="AG41" s="182"/>
      <c r="AH41" s="182"/>
      <c r="AI41" s="182"/>
      <c r="AJ41" s="182"/>
      <c r="AK41" s="182"/>
      <c r="AL41" s="182"/>
      <c r="AM41" s="182"/>
      <c r="AN41" s="182"/>
      <c r="AO41" s="183"/>
      <c r="AQ41" s="23"/>
      <c r="AR41" s="856"/>
      <c r="AS41" s="856"/>
      <c r="AT41" s="856"/>
      <c r="AU41" s="856"/>
      <c r="AV41" s="856"/>
      <c r="AW41" s="856"/>
      <c r="AX41" s="856"/>
      <c r="AY41" s="856"/>
      <c r="AZ41" s="177"/>
      <c r="BA41" s="177"/>
      <c r="BB41" s="23"/>
      <c r="BI41" s="161"/>
    </row>
    <row r="42" spans="2:75" s="158" customFormat="1" ht="48.75" customHeight="1" x14ac:dyDescent="0.25">
      <c r="B42" s="446"/>
      <c r="C42" s="160">
        <v>0.53</v>
      </c>
      <c r="D42" s="160">
        <v>0.65</v>
      </c>
      <c r="E42" s="160">
        <v>0.71</v>
      </c>
      <c r="F42" s="160">
        <v>0.75</v>
      </c>
      <c r="G42" s="779"/>
      <c r="H42" s="178"/>
      <c r="I42" s="179"/>
      <c r="J42" s="179"/>
      <c r="K42" s="179"/>
      <c r="L42" s="180"/>
      <c r="O42" s="181"/>
      <c r="P42" s="182"/>
      <c r="Q42" s="182"/>
      <c r="R42" s="182"/>
      <c r="S42" s="183"/>
      <c r="U42" s="181"/>
      <c r="V42" s="182"/>
      <c r="W42" s="182"/>
      <c r="X42" s="182"/>
      <c r="Y42" s="182"/>
      <c r="Z42" s="182"/>
      <c r="AA42" s="182"/>
      <c r="AB42" s="183"/>
      <c r="AF42" s="181"/>
      <c r="AG42" s="182"/>
      <c r="AH42" s="182"/>
      <c r="AI42" s="182"/>
      <c r="AJ42" s="182"/>
      <c r="AK42" s="182"/>
      <c r="AL42" s="182"/>
      <c r="AM42" s="182"/>
      <c r="AN42" s="182"/>
      <c r="AO42" s="183"/>
      <c r="AQ42" s="23"/>
      <c r="AS42" s="23"/>
      <c r="AT42" s="23"/>
      <c r="AU42" s="23"/>
      <c r="AV42" s="23"/>
      <c r="AW42" s="23"/>
      <c r="AX42" s="23"/>
      <c r="AY42" s="23"/>
      <c r="AZ42" s="177"/>
      <c r="BA42" s="177"/>
      <c r="BB42" s="23"/>
      <c r="BI42" s="161"/>
    </row>
    <row r="43" spans="2:75" s="158" customFormat="1" ht="48.75" customHeight="1" x14ac:dyDescent="0.25">
      <c r="B43" s="446"/>
      <c r="C43" s="160">
        <v>0.54</v>
      </c>
      <c r="D43" s="160">
        <v>0.66</v>
      </c>
      <c r="E43" s="160">
        <v>0.72</v>
      </c>
      <c r="F43" s="160">
        <v>0.76</v>
      </c>
      <c r="G43" s="779"/>
      <c r="H43" s="181"/>
      <c r="I43" s="182"/>
      <c r="J43" s="182"/>
      <c r="K43" s="182"/>
      <c r="L43" s="183"/>
      <c r="O43" s="181"/>
      <c r="P43" s="182"/>
      <c r="Q43" s="182"/>
      <c r="R43" s="182"/>
      <c r="S43" s="183"/>
      <c r="U43" s="181"/>
      <c r="V43" s="182"/>
      <c r="W43" s="182"/>
      <c r="X43" s="182"/>
      <c r="Y43" s="182"/>
      <c r="Z43" s="182"/>
      <c r="AA43" s="182"/>
      <c r="AB43" s="183"/>
      <c r="AF43" s="181"/>
      <c r="AG43" s="182"/>
      <c r="AH43" s="182"/>
      <c r="AI43" s="182"/>
      <c r="AJ43" s="182"/>
      <c r="AK43" s="182"/>
      <c r="AL43" s="182"/>
      <c r="AM43" s="182"/>
      <c r="AN43" s="182"/>
      <c r="AO43" s="183"/>
      <c r="AQ43" s="23"/>
      <c r="AS43" s="23"/>
      <c r="AT43" s="23"/>
      <c r="AU43" s="23"/>
      <c r="AV43" s="23"/>
      <c r="AW43" s="23"/>
      <c r="BI43" s="161"/>
    </row>
    <row r="44" spans="2:75" s="158" customFormat="1" ht="48.75" customHeight="1" x14ac:dyDescent="0.25">
      <c r="B44" s="446"/>
      <c r="C44" s="160">
        <v>0.55000000000000004</v>
      </c>
      <c r="D44" s="160">
        <v>0.67</v>
      </c>
      <c r="E44" s="160" t="s">
        <v>604</v>
      </c>
      <c r="F44" s="160">
        <v>0.77</v>
      </c>
      <c r="G44" s="779"/>
      <c r="H44" s="181"/>
      <c r="I44" s="182"/>
      <c r="J44" s="182"/>
      <c r="K44" s="182"/>
      <c r="L44" s="183"/>
      <c r="O44" s="184"/>
      <c r="P44" s="185"/>
      <c r="Q44" s="185"/>
      <c r="R44" s="185"/>
      <c r="S44" s="186"/>
      <c r="U44" s="181"/>
      <c r="V44" s="182"/>
      <c r="W44" s="182"/>
      <c r="X44" s="182"/>
      <c r="Y44" s="182"/>
      <c r="Z44" s="182"/>
      <c r="AA44" s="182"/>
      <c r="AB44" s="183"/>
      <c r="AF44" s="181"/>
      <c r="AG44" s="182"/>
      <c r="AH44" s="182"/>
      <c r="AI44" s="182"/>
      <c r="AJ44" s="182"/>
      <c r="AK44" s="182"/>
      <c r="AL44" s="182"/>
      <c r="AM44" s="182"/>
      <c r="AN44" s="182"/>
      <c r="AO44" s="183"/>
      <c r="AQ44" s="23"/>
      <c r="AS44" s="157"/>
      <c r="AT44" s="157"/>
      <c r="AU44" s="157"/>
      <c r="AV44" s="157"/>
      <c r="AW44" s="23"/>
      <c r="BI44" s="161"/>
    </row>
    <row r="45" spans="2:75" s="158" customFormat="1" ht="48.75" customHeight="1" x14ac:dyDescent="0.25">
      <c r="B45" s="446"/>
      <c r="C45" s="160">
        <v>0.56000000000000005</v>
      </c>
      <c r="D45" s="160">
        <v>0.68</v>
      </c>
      <c r="E45" s="160" t="s">
        <v>604</v>
      </c>
      <c r="F45" s="160" t="s">
        <v>604</v>
      </c>
      <c r="G45" s="779"/>
      <c r="H45" s="181"/>
      <c r="I45" s="182"/>
      <c r="J45" s="182"/>
      <c r="K45" s="182"/>
      <c r="L45" s="183"/>
      <c r="U45" s="181"/>
      <c r="V45" s="182"/>
      <c r="W45" s="182"/>
      <c r="X45" s="182"/>
      <c r="Y45" s="182"/>
      <c r="Z45" s="182"/>
      <c r="AA45" s="182"/>
      <c r="AB45" s="183"/>
      <c r="AF45" s="184"/>
      <c r="AG45" s="185"/>
      <c r="AH45" s="185"/>
      <c r="AI45" s="185"/>
      <c r="AJ45" s="185"/>
      <c r="AK45" s="185"/>
      <c r="AL45" s="185"/>
      <c r="AM45" s="185"/>
      <c r="AN45" s="185"/>
      <c r="AO45" s="186"/>
      <c r="AQ45" s="23"/>
      <c r="AS45" s="157"/>
      <c r="AT45" s="157"/>
      <c r="AU45" s="157"/>
      <c r="AV45" s="157"/>
      <c r="AW45" s="23"/>
      <c r="BI45" s="161"/>
    </row>
    <row r="46" spans="2:75" s="158" customFormat="1" ht="48.75" customHeight="1" x14ac:dyDescent="0.25">
      <c r="B46" s="446"/>
      <c r="C46" s="160">
        <v>0.56999999999999995</v>
      </c>
      <c r="D46" s="160" t="s">
        <v>604</v>
      </c>
      <c r="E46" s="160" t="s">
        <v>604</v>
      </c>
      <c r="F46" s="160" t="s">
        <v>604</v>
      </c>
      <c r="G46" s="779"/>
      <c r="H46" s="184"/>
      <c r="I46" s="185"/>
      <c r="J46" s="185"/>
      <c r="K46" s="185"/>
      <c r="L46" s="186"/>
      <c r="U46" s="181"/>
      <c r="V46" s="182"/>
      <c r="W46" s="182"/>
      <c r="X46" s="182"/>
      <c r="Y46" s="182"/>
      <c r="Z46" s="182"/>
      <c r="AA46" s="182"/>
      <c r="AB46" s="183"/>
      <c r="AQ46" s="23"/>
      <c r="AS46" s="210"/>
      <c r="AT46" s="210"/>
      <c r="AU46" s="157"/>
      <c r="AV46" s="157"/>
      <c r="AW46" s="23"/>
      <c r="BI46" s="161"/>
    </row>
    <row r="47" spans="2:75" s="158" customFormat="1" ht="48.75" customHeight="1" x14ac:dyDescent="0.25">
      <c r="U47" s="181"/>
      <c r="V47" s="182"/>
      <c r="W47" s="182"/>
      <c r="X47" s="182"/>
      <c r="Y47" s="182"/>
      <c r="Z47" s="182"/>
      <c r="AA47" s="182"/>
      <c r="AB47" s="183"/>
      <c r="AP47" s="23"/>
      <c r="AQ47" s="23"/>
      <c r="AS47" s="157"/>
      <c r="AT47" s="157"/>
      <c r="AU47" s="157"/>
      <c r="AV47" s="157"/>
      <c r="AW47" s="23"/>
      <c r="BI47" s="177"/>
      <c r="BJ47" s="177"/>
      <c r="BK47" s="177"/>
      <c r="BL47" s="177"/>
      <c r="BM47" s="177"/>
      <c r="BN47" s="177"/>
      <c r="BO47" s="177"/>
      <c r="BP47" s="177"/>
      <c r="BQ47" s="177"/>
      <c r="BR47" s="177"/>
      <c r="BS47" s="177"/>
      <c r="BT47" s="177"/>
      <c r="BU47" s="177"/>
      <c r="BV47" s="177"/>
      <c r="BW47" s="177"/>
    </row>
    <row r="48" spans="2:75" s="158" customFormat="1" ht="48.75" customHeight="1" x14ac:dyDescent="0.25">
      <c r="B48" s="727" t="s">
        <v>706</v>
      </c>
      <c r="C48" s="728"/>
      <c r="D48" s="728"/>
      <c r="E48" s="728"/>
      <c r="F48" s="728"/>
      <c r="G48" s="797"/>
      <c r="H48" s="174" t="s">
        <v>696</v>
      </c>
      <c r="U48" s="184"/>
      <c r="V48" s="185"/>
      <c r="W48" s="185"/>
      <c r="X48" s="185"/>
      <c r="Y48" s="185"/>
      <c r="Z48" s="185"/>
      <c r="AA48" s="185"/>
      <c r="AB48" s="186"/>
      <c r="AO48" s="23"/>
      <c r="AP48" s="23"/>
      <c r="AQ48" s="23"/>
      <c r="AS48" s="157"/>
      <c r="AT48" s="157"/>
      <c r="AU48" s="157"/>
      <c r="AV48" s="157"/>
      <c r="AW48" s="23"/>
      <c r="BI48" s="177"/>
      <c r="BJ48" s="177"/>
      <c r="BL48" s="177"/>
      <c r="BM48" s="177"/>
      <c r="BN48" s="177"/>
      <c r="BO48" s="177"/>
      <c r="BP48" s="177"/>
      <c r="BQ48" s="177"/>
      <c r="BR48" s="177"/>
    </row>
    <row r="49" spans="2:83" s="158" customFormat="1" ht="48.75" customHeight="1" x14ac:dyDescent="0.25">
      <c r="B49" s="285" t="s">
        <v>694</v>
      </c>
      <c r="C49" s="282">
        <v>2</v>
      </c>
      <c r="D49" s="282">
        <v>3</v>
      </c>
      <c r="E49" s="282">
        <v>4</v>
      </c>
      <c r="F49" s="282">
        <v>5</v>
      </c>
      <c r="G49" s="282">
        <v>6</v>
      </c>
      <c r="H49" s="282" t="s">
        <v>695</v>
      </c>
      <c r="Z49" s="267"/>
      <c r="AA49" s="267"/>
      <c r="AB49" s="267"/>
      <c r="AC49" s="267"/>
      <c r="AP49" s="446" t="s">
        <v>943</v>
      </c>
      <c r="AQ49" s="446"/>
      <c r="AR49" s="446"/>
      <c r="AS49" s="446"/>
      <c r="AT49" s="446"/>
      <c r="AU49" s="446"/>
      <c r="AV49" s="779"/>
      <c r="BI49" s="177"/>
      <c r="BJ49" s="177"/>
      <c r="BK49" s="177"/>
      <c r="BL49" s="177"/>
      <c r="BM49" s="177"/>
      <c r="BN49" s="177"/>
      <c r="BO49" s="177"/>
      <c r="BP49" s="177"/>
      <c r="BQ49" s="177"/>
      <c r="BR49" s="177"/>
      <c r="BZ49" s="177"/>
      <c r="CA49" s="177"/>
      <c r="CB49" s="177"/>
      <c r="CC49" s="177"/>
      <c r="CD49" s="177"/>
      <c r="CE49" s="177"/>
    </row>
    <row r="50" spans="2:83" s="158" customFormat="1" ht="48.75" customHeight="1" x14ac:dyDescent="0.25">
      <c r="B50" s="282">
        <v>1</v>
      </c>
      <c r="C50" s="282">
        <v>0.96599999999999997</v>
      </c>
      <c r="D50" s="282">
        <v>0.96</v>
      </c>
      <c r="E50" s="282">
        <v>0.95799999999999996</v>
      </c>
      <c r="F50" s="282">
        <v>0.95699999999999996</v>
      </c>
      <c r="G50" s="282">
        <v>0.95699999999999996</v>
      </c>
      <c r="H50" s="282">
        <v>0.95499999999999996</v>
      </c>
      <c r="Z50" s="267"/>
      <c r="AA50" s="267"/>
      <c r="AB50" s="267"/>
      <c r="AC50" s="267"/>
      <c r="AD50" s="800" t="s">
        <v>906</v>
      </c>
      <c r="AE50" s="787"/>
      <c r="AF50" s="787"/>
      <c r="AG50" s="787"/>
      <c r="AH50" s="787"/>
      <c r="AI50" s="788"/>
      <c r="AJ50" s="296"/>
      <c r="AP50" s="446"/>
      <c r="AQ50" s="446"/>
      <c r="AR50" s="446"/>
      <c r="AS50" s="446"/>
      <c r="AT50" s="446"/>
      <c r="AU50" s="446"/>
      <c r="AV50" s="779"/>
      <c r="BI50" s="177"/>
      <c r="BJ50" s="177"/>
      <c r="BK50" s="177"/>
      <c r="BL50" s="177"/>
      <c r="BM50" s="177"/>
      <c r="BN50" s="177"/>
      <c r="BO50" s="177"/>
      <c r="BP50" s="177"/>
      <c r="BQ50" s="177"/>
      <c r="BR50" s="177"/>
      <c r="BZ50" s="177"/>
      <c r="CA50" s="177"/>
      <c r="CB50" s="177"/>
      <c r="CC50" s="177"/>
      <c r="CD50" s="177"/>
      <c r="CE50" s="177"/>
    </row>
    <row r="51" spans="2:83" s="158" customFormat="1" ht="48.75" customHeight="1" x14ac:dyDescent="0.25">
      <c r="B51" s="282">
        <v>3</v>
      </c>
      <c r="C51" s="282">
        <v>0.70699999999999996</v>
      </c>
      <c r="D51" s="282">
        <v>0.66700000000000004</v>
      </c>
      <c r="E51" s="282">
        <v>0.65400000000000003</v>
      </c>
      <c r="F51" s="282">
        <v>0.64600000000000002</v>
      </c>
      <c r="G51" s="282">
        <v>0.64400000000000002</v>
      </c>
      <c r="H51" s="282">
        <v>0.63600000000000001</v>
      </c>
      <c r="W51" s="267"/>
      <c r="X51" s="267"/>
      <c r="Y51" s="271"/>
      <c r="Z51" s="267"/>
      <c r="AA51" s="267"/>
      <c r="AB51" s="267"/>
      <c r="AC51" s="267"/>
      <c r="AD51" s="446" t="s">
        <v>904</v>
      </c>
      <c r="AE51" s="446"/>
      <c r="AF51" s="294">
        <v>2</v>
      </c>
      <c r="AG51" s="294">
        <v>4</v>
      </c>
      <c r="AH51" s="294">
        <v>6</v>
      </c>
      <c r="AI51" s="294">
        <v>8</v>
      </c>
      <c r="AJ51" s="294">
        <v>10</v>
      </c>
      <c r="AP51" s="446"/>
      <c r="AQ51" s="446"/>
      <c r="AR51" s="446"/>
      <c r="AS51" s="446"/>
      <c r="AT51" s="446"/>
      <c r="AU51" s="446"/>
      <c r="AV51" s="779"/>
      <c r="BR51" s="177"/>
      <c r="BS51" s="177"/>
      <c r="BT51" s="177"/>
      <c r="BU51" s="177"/>
      <c r="BV51" s="177"/>
      <c r="BW51" s="177"/>
      <c r="BX51" s="177"/>
      <c r="BY51" s="177"/>
      <c r="BZ51" s="177"/>
      <c r="CA51" s="177"/>
      <c r="CB51" s="177"/>
      <c r="CC51" s="177"/>
      <c r="CD51" s="177"/>
      <c r="CE51" s="177"/>
    </row>
    <row r="52" spans="2:83" s="158" customFormat="1" ht="48.75" customHeight="1" x14ac:dyDescent="0.25">
      <c r="B52" s="282">
        <v>5</v>
      </c>
      <c r="C52" s="282">
        <v>0.25900000000000001</v>
      </c>
      <c r="D52" s="282">
        <v>0.217</v>
      </c>
      <c r="E52" s="282">
        <v>0.20499999999999999</v>
      </c>
      <c r="F52" s="282">
        <v>0.2</v>
      </c>
      <c r="G52" s="282">
        <v>0.19700000000000001</v>
      </c>
      <c r="H52" s="282">
        <v>0.191</v>
      </c>
      <c r="U52" s="727" t="s">
        <v>831</v>
      </c>
      <c r="V52" s="728"/>
      <c r="W52" s="728"/>
      <c r="X52" s="728"/>
      <c r="Y52" s="172" t="s">
        <v>630</v>
      </c>
      <c r="Z52" s="267"/>
      <c r="AA52" s="267"/>
      <c r="AB52" s="267"/>
      <c r="AC52" s="267"/>
      <c r="AD52" s="729" t="s">
        <v>189</v>
      </c>
      <c r="AE52" s="729"/>
      <c r="AF52" s="294">
        <v>1</v>
      </c>
      <c r="AG52" s="294" t="s">
        <v>960</v>
      </c>
      <c r="AH52" s="294" t="s">
        <v>961</v>
      </c>
      <c r="AI52" s="294" t="s">
        <v>962</v>
      </c>
      <c r="AJ52" s="294" t="s">
        <v>963</v>
      </c>
      <c r="AP52" s="856"/>
      <c r="AQ52" s="856"/>
      <c r="AR52" s="856"/>
      <c r="AS52" s="856"/>
      <c r="AT52" s="856"/>
      <c r="AU52" s="856"/>
      <c r="AV52" s="856"/>
      <c r="BI52" s="718" t="s">
        <v>980</v>
      </c>
      <c r="BJ52" s="718"/>
      <c r="BK52" s="718"/>
      <c r="BL52" s="718"/>
      <c r="BM52" s="718"/>
      <c r="BN52" s="718"/>
      <c r="BO52" s="718"/>
      <c r="BP52" s="718"/>
      <c r="BQ52" s="304"/>
      <c r="BR52" s="177"/>
      <c r="BS52" s="177"/>
      <c r="BT52" s="177"/>
      <c r="BU52" s="177"/>
      <c r="BV52" s="177"/>
      <c r="BW52" s="177"/>
      <c r="BX52" s="177"/>
      <c r="BY52" s="177"/>
      <c r="BZ52" s="177"/>
      <c r="CA52" s="177"/>
      <c r="CB52" s="177"/>
      <c r="CC52" s="177"/>
      <c r="CD52" s="177"/>
      <c r="CE52" s="177"/>
    </row>
    <row r="53" spans="2:83" s="158" customFormat="1" ht="48.75" customHeight="1" x14ac:dyDescent="0.25">
      <c r="B53" s="282">
        <v>7</v>
      </c>
      <c r="C53" s="282">
        <v>-0.25900000000000001</v>
      </c>
      <c r="D53" s="282">
        <v>-0.17699999999999999</v>
      </c>
      <c r="E53" s="282">
        <v>-0.158</v>
      </c>
      <c r="F53" s="282">
        <v>-0.14899999999999999</v>
      </c>
      <c r="G53" s="282">
        <v>-0.14499999999999999</v>
      </c>
      <c r="H53" s="282">
        <v>-0.13600000000000001</v>
      </c>
      <c r="U53" s="727" t="s">
        <v>831</v>
      </c>
      <c r="V53" s="728"/>
      <c r="W53" s="728"/>
      <c r="X53" s="728"/>
      <c r="Y53" s="172" t="s">
        <v>628</v>
      </c>
      <c r="Z53" s="267"/>
      <c r="AA53" s="267"/>
      <c r="AB53" s="267"/>
      <c r="AC53" s="267"/>
      <c r="AD53" s="446" t="s">
        <v>905</v>
      </c>
      <c r="AE53" s="446"/>
      <c r="AF53" s="294" t="s">
        <v>604</v>
      </c>
      <c r="AG53" s="294">
        <v>1</v>
      </c>
      <c r="AH53" s="294">
        <v>1</v>
      </c>
      <c r="AI53" s="294">
        <v>1</v>
      </c>
      <c r="AJ53" s="294">
        <v>1</v>
      </c>
      <c r="AP53" s="856"/>
      <c r="AQ53" s="856"/>
      <c r="AR53" s="856"/>
      <c r="AS53" s="856"/>
      <c r="AT53" s="856"/>
      <c r="AU53" s="856"/>
      <c r="AV53" s="856"/>
      <c r="BC53" s="177"/>
      <c r="BD53" s="177"/>
      <c r="BE53" s="177"/>
      <c r="BF53" s="177"/>
      <c r="BG53" s="177"/>
      <c r="BH53" s="177"/>
      <c r="BI53" s="305"/>
      <c r="BJ53" s="707" t="s">
        <v>978</v>
      </c>
      <c r="BK53" s="708"/>
      <c r="BL53" s="708"/>
      <c r="BM53" s="708"/>
      <c r="BN53" s="708"/>
      <c r="BO53" s="708"/>
      <c r="BP53" s="719"/>
      <c r="BQ53" s="305"/>
      <c r="BX53" s="177"/>
      <c r="BY53" s="177"/>
      <c r="BZ53" s="177"/>
      <c r="CA53" s="177"/>
      <c r="CB53" s="177"/>
      <c r="CC53" s="177"/>
      <c r="CD53" s="177"/>
      <c r="CE53" s="177"/>
    </row>
    <row r="54" spans="2:83" s="158" customFormat="1" ht="48.75" customHeight="1" x14ac:dyDescent="0.25">
      <c r="B54" s="282">
        <v>9</v>
      </c>
      <c r="C54" s="282">
        <v>-0.70699999999999996</v>
      </c>
      <c r="D54" s="282">
        <v>-0.33300000000000002</v>
      </c>
      <c r="E54" s="282">
        <v>-0.27</v>
      </c>
      <c r="F54" s="282">
        <v>-0.247</v>
      </c>
      <c r="G54" s="282">
        <v>-0.23599999999999999</v>
      </c>
      <c r="H54" s="282">
        <v>-0.21199999999999999</v>
      </c>
      <c r="U54" s="391" t="s">
        <v>925</v>
      </c>
      <c r="V54" s="486"/>
      <c r="W54" s="486"/>
      <c r="X54" s="487"/>
      <c r="Y54" s="172" t="s">
        <v>924</v>
      </c>
      <c r="Z54" s="267"/>
      <c r="AA54" s="267"/>
      <c r="AB54" s="267"/>
      <c r="AC54" s="267"/>
      <c r="AD54" s="446"/>
      <c r="AE54" s="446"/>
      <c r="AF54" s="294" t="s">
        <v>604</v>
      </c>
      <c r="AG54" s="294">
        <v>2</v>
      </c>
      <c r="AH54" s="294">
        <v>2</v>
      </c>
      <c r="AI54" s="294">
        <v>2</v>
      </c>
      <c r="AJ54" s="294">
        <v>2</v>
      </c>
      <c r="AP54" s="856"/>
      <c r="AQ54" s="856"/>
      <c r="AR54" s="856"/>
      <c r="AS54" s="856"/>
      <c r="AT54" s="856"/>
      <c r="AU54" s="856"/>
      <c r="AV54" s="856"/>
      <c r="BC54" s="177"/>
      <c r="BD54" s="177"/>
      <c r="BE54" s="177"/>
      <c r="BF54" s="177"/>
      <c r="BG54" s="177"/>
      <c r="BH54" s="177"/>
      <c r="BI54" s="305"/>
      <c r="BJ54" s="720"/>
      <c r="BK54" s="721"/>
      <c r="BL54" s="721"/>
      <c r="BM54" s="721"/>
      <c r="BN54" s="721"/>
      <c r="BO54" s="721"/>
      <c r="BP54" s="722"/>
      <c r="BQ54" s="305"/>
      <c r="BX54" s="177"/>
      <c r="BY54" s="177"/>
      <c r="BZ54" s="177"/>
      <c r="CA54" s="177"/>
      <c r="CB54" s="177"/>
      <c r="CC54" s="177"/>
      <c r="CD54" s="177"/>
      <c r="CE54" s="177"/>
    </row>
    <row r="55" spans="2:83" s="158" customFormat="1" ht="48.75" customHeight="1" x14ac:dyDescent="0.25">
      <c r="B55" s="282">
        <v>11</v>
      </c>
      <c r="C55" s="282">
        <v>-0.96599999999999997</v>
      </c>
      <c r="D55" s="282">
        <v>-0.17699999999999999</v>
      </c>
      <c r="E55" s="282">
        <v>-0.126</v>
      </c>
      <c r="F55" s="282">
        <v>-0.11</v>
      </c>
      <c r="G55" s="282">
        <v>-0.10199999999999999</v>
      </c>
      <c r="H55" s="282">
        <v>-8.6999999999999994E-2</v>
      </c>
      <c r="W55" s="269"/>
      <c r="X55" s="269"/>
      <c r="Y55" s="271"/>
      <c r="Z55" s="269"/>
      <c r="AA55" s="269"/>
      <c r="AB55" s="269"/>
      <c r="AC55" s="269"/>
      <c r="AD55" s="446"/>
      <c r="AE55" s="446"/>
      <c r="AF55" s="294" t="s">
        <v>604</v>
      </c>
      <c r="AG55" s="294" t="s">
        <v>604</v>
      </c>
      <c r="AH55" s="294">
        <v>3</v>
      </c>
      <c r="AI55" s="294">
        <v>4</v>
      </c>
      <c r="AJ55" s="294">
        <v>5</v>
      </c>
      <c r="AP55" s="856"/>
      <c r="AQ55" s="856"/>
      <c r="AR55" s="856"/>
      <c r="AS55" s="856"/>
      <c r="AT55" s="856"/>
      <c r="AU55" s="856"/>
      <c r="AV55" s="856"/>
      <c r="BC55" s="177"/>
      <c r="BD55" s="177"/>
      <c r="BE55" s="177"/>
      <c r="BF55" s="177"/>
      <c r="BG55" s="177"/>
      <c r="BH55" s="177"/>
      <c r="BI55" s="306"/>
      <c r="BJ55" s="720"/>
      <c r="BK55" s="721"/>
      <c r="BL55" s="721"/>
      <c r="BM55" s="721"/>
      <c r="BN55" s="721"/>
      <c r="BO55" s="721"/>
      <c r="BP55" s="722"/>
      <c r="BQ55" s="306"/>
      <c r="BX55" s="177"/>
      <c r="BY55" s="177"/>
      <c r="BZ55" s="177"/>
      <c r="CA55" s="177"/>
      <c r="CB55" s="177"/>
      <c r="CC55" s="177"/>
      <c r="CD55" s="177"/>
      <c r="CE55" s="177"/>
    </row>
    <row r="56" spans="2:83" s="158" customFormat="1" ht="48.75" customHeight="1" x14ac:dyDescent="0.25">
      <c r="W56" s="269"/>
      <c r="X56" s="269"/>
      <c r="Y56" s="271"/>
      <c r="Z56" s="269"/>
      <c r="AA56" s="269"/>
      <c r="AB56" s="269"/>
      <c r="AP56" s="856"/>
      <c r="AQ56" s="856"/>
      <c r="AR56" s="856"/>
      <c r="AS56" s="856"/>
      <c r="AT56" s="856"/>
      <c r="AU56" s="856"/>
      <c r="AV56" s="856"/>
      <c r="BC56" s="177"/>
      <c r="BD56" s="177"/>
      <c r="BE56" s="177"/>
      <c r="BF56" s="177"/>
      <c r="BG56" s="177"/>
      <c r="BH56" s="177"/>
      <c r="BI56" s="178"/>
      <c r="BJ56" s="179"/>
      <c r="BK56" s="179"/>
      <c r="BL56" s="179"/>
      <c r="BM56" s="179"/>
      <c r="BN56" s="179"/>
      <c r="BO56" s="179"/>
      <c r="BP56" s="179"/>
      <c r="BQ56" s="180"/>
      <c r="BX56" s="177"/>
      <c r="BY56" s="177"/>
      <c r="BZ56" s="177"/>
      <c r="CA56" s="177"/>
      <c r="CB56" s="177"/>
      <c r="CC56" s="177"/>
      <c r="CD56" s="177"/>
      <c r="CE56" s="177"/>
    </row>
    <row r="57" spans="2:83" s="158" customFormat="1" ht="48.75" customHeight="1" x14ac:dyDescent="0.25">
      <c r="W57" s="269"/>
      <c r="X57" s="269"/>
      <c r="Y57" s="271"/>
      <c r="Z57" s="269"/>
      <c r="AA57" s="269"/>
      <c r="AB57" s="269"/>
      <c r="AP57" s="856"/>
      <c r="AQ57" s="856"/>
      <c r="AR57" s="856"/>
      <c r="AS57" s="856"/>
      <c r="AT57" s="856"/>
      <c r="AU57" s="856"/>
      <c r="AV57" s="856"/>
      <c r="BC57" s="177"/>
      <c r="BD57" s="177"/>
      <c r="BE57" s="177"/>
      <c r="BF57" s="177"/>
      <c r="BG57" s="177"/>
      <c r="BH57" s="177"/>
      <c r="BI57" s="181"/>
      <c r="BJ57" s="182"/>
      <c r="BK57" s="182"/>
      <c r="BL57" s="182"/>
      <c r="BM57" s="182"/>
      <c r="BN57" s="182"/>
      <c r="BO57" s="182"/>
      <c r="BP57" s="182"/>
      <c r="BQ57" s="183"/>
      <c r="BX57" s="177"/>
      <c r="BY57" s="177"/>
      <c r="BZ57" s="177"/>
      <c r="CA57" s="177"/>
      <c r="CB57" s="177"/>
      <c r="CC57" s="177"/>
      <c r="CD57" s="177"/>
      <c r="CE57" s="177"/>
    </row>
    <row r="58" spans="2:83" s="158" customFormat="1" ht="48.75" customHeight="1" x14ac:dyDescent="0.25">
      <c r="W58" s="267"/>
      <c r="X58" s="267"/>
      <c r="Y58" s="271"/>
      <c r="Z58" s="267"/>
      <c r="AA58" s="267"/>
      <c r="AB58" s="267"/>
      <c r="AP58" s="856"/>
      <c r="AQ58" s="856"/>
      <c r="AR58" s="856"/>
      <c r="AS58" s="856"/>
      <c r="AT58" s="856"/>
      <c r="AU58" s="856"/>
      <c r="AV58" s="856"/>
      <c r="BC58" s="177"/>
      <c r="BD58" s="177"/>
      <c r="BE58" s="177"/>
      <c r="BF58" s="177"/>
      <c r="BG58" s="177"/>
      <c r="BH58" s="177"/>
      <c r="BI58" s="181"/>
      <c r="BJ58" s="182"/>
      <c r="BK58" s="182"/>
      <c r="BL58" s="182"/>
      <c r="BM58" s="182"/>
      <c r="BN58" s="182"/>
      <c r="BO58" s="182"/>
      <c r="BP58" s="182"/>
      <c r="BQ58" s="183"/>
      <c r="BX58" s="177"/>
      <c r="BY58" s="177"/>
      <c r="BZ58" s="177"/>
      <c r="CA58" s="177"/>
      <c r="CB58" s="177"/>
      <c r="CC58" s="177"/>
      <c r="CD58" s="177"/>
      <c r="CE58" s="177"/>
    </row>
    <row r="59" spans="2:83" s="158" customFormat="1" ht="48.75" customHeight="1" x14ac:dyDescent="0.25">
      <c r="AO59" s="23"/>
      <c r="AP59" s="23"/>
      <c r="AQ59" s="23"/>
      <c r="AS59" s="157"/>
      <c r="AT59" s="157"/>
      <c r="AU59" s="157"/>
      <c r="AV59" s="157"/>
      <c r="AW59" s="23"/>
      <c r="BC59" s="177"/>
      <c r="BD59" s="177"/>
      <c r="BE59" s="177"/>
      <c r="BF59" s="177"/>
      <c r="BG59" s="177"/>
      <c r="BH59" s="177"/>
      <c r="BI59" s="181"/>
      <c r="BJ59" s="182"/>
      <c r="BK59" s="182"/>
      <c r="BL59" s="182"/>
      <c r="BM59" s="182"/>
      <c r="BN59" s="182"/>
      <c r="BO59" s="182"/>
      <c r="BP59" s="182"/>
      <c r="BQ59" s="183"/>
      <c r="BX59" s="177"/>
      <c r="BY59" s="177"/>
      <c r="BZ59" s="177"/>
      <c r="CA59" s="177"/>
      <c r="CB59" s="177"/>
      <c r="CC59" s="177"/>
      <c r="CD59" s="177"/>
      <c r="CE59" s="177"/>
    </row>
    <row r="60" spans="2:83" s="158" customFormat="1" ht="48.75" customHeight="1" x14ac:dyDescent="0.25">
      <c r="B60" s="718" t="s">
        <v>703</v>
      </c>
      <c r="C60" s="718"/>
      <c r="D60" s="718"/>
      <c r="E60" s="718"/>
      <c r="F60" s="718"/>
      <c r="G60" s="718"/>
      <c r="H60" s="718"/>
      <c r="I60" s="718"/>
      <c r="J60" s="718"/>
      <c r="K60" s="718"/>
      <c r="L60" s="718"/>
      <c r="M60" s="718"/>
      <c r="N60" s="718"/>
      <c r="O60" s="718"/>
      <c r="P60" s="718"/>
      <c r="Q60" s="718"/>
      <c r="R60" s="718"/>
      <c r="S60" s="718"/>
      <c r="T60" s="718"/>
      <c r="U60" s="174"/>
      <c r="AO60" s="23"/>
      <c r="AP60" s="23"/>
      <c r="AQ60" s="23"/>
      <c r="AS60" s="157"/>
      <c r="AT60" s="157"/>
      <c r="AU60" s="157"/>
      <c r="AV60" s="157"/>
      <c r="AW60" s="23"/>
      <c r="BC60" s="177"/>
      <c r="BD60" s="177"/>
      <c r="BE60" s="177"/>
      <c r="BF60" s="177"/>
      <c r="BG60" s="177"/>
      <c r="BH60" s="177"/>
      <c r="BI60" s="181"/>
      <c r="BJ60" s="182"/>
      <c r="BK60" s="182"/>
      <c r="BL60" s="182"/>
      <c r="BM60" s="182"/>
      <c r="BN60" s="182"/>
      <c r="BO60" s="182"/>
      <c r="BP60" s="182"/>
      <c r="BQ60" s="183"/>
      <c r="BX60" s="177"/>
      <c r="BY60" s="177"/>
      <c r="BZ60" s="177"/>
      <c r="CA60" s="177"/>
      <c r="CB60" s="177"/>
      <c r="CC60" s="177"/>
      <c r="CD60" s="177"/>
      <c r="CE60" s="177"/>
    </row>
    <row r="61" spans="2:83" s="158" customFormat="1" ht="48.75" customHeight="1" x14ac:dyDescent="0.25">
      <c r="B61" s="714" t="s">
        <v>644</v>
      </c>
      <c r="C61" s="714" t="s">
        <v>645</v>
      </c>
      <c r="D61" s="714" t="s">
        <v>646</v>
      </c>
      <c r="E61" s="725"/>
      <c r="F61" s="714" t="s">
        <v>644</v>
      </c>
      <c r="G61" s="714" t="s">
        <v>645</v>
      </c>
      <c r="H61" s="714" t="s">
        <v>646</v>
      </c>
      <c r="I61" s="725"/>
      <c r="J61" s="714" t="s">
        <v>644</v>
      </c>
      <c r="K61" s="714" t="s">
        <v>645</v>
      </c>
      <c r="L61" s="714" t="s">
        <v>646</v>
      </c>
      <c r="M61" s="725"/>
      <c r="N61" s="714" t="s">
        <v>644</v>
      </c>
      <c r="O61" s="714" t="s">
        <v>645</v>
      </c>
      <c r="P61" s="714" t="s">
        <v>646</v>
      </c>
      <c r="Q61" s="725"/>
      <c r="R61" s="742" t="s">
        <v>704</v>
      </c>
      <c r="S61" s="743"/>
      <c r="T61" s="743"/>
      <c r="U61" s="744"/>
      <c r="AO61" s="23"/>
      <c r="AP61" s="23"/>
      <c r="AQ61" s="23"/>
      <c r="AS61" s="23"/>
      <c r="AT61" s="23"/>
      <c r="AU61" s="23"/>
      <c r="AV61" s="23"/>
      <c r="AW61" s="23"/>
      <c r="BI61" s="181"/>
      <c r="BJ61" s="182"/>
      <c r="BK61" s="182"/>
      <c r="BL61" s="182"/>
      <c r="BM61" s="182"/>
      <c r="BN61" s="182"/>
      <c r="BO61" s="182"/>
      <c r="BP61" s="182"/>
      <c r="BQ61" s="183"/>
      <c r="BX61" s="177"/>
      <c r="BY61" s="177"/>
      <c r="BZ61" s="177"/>
      <c r="CA61" s="177"/>
      <c r="CB61" s="177"/>
      <c r="CC61" s="177"/>
      <c r="CD61" s="177"/>
      <c r="CE61" s="177"/>
    </row>
    <row r="62" spans="2:83" s="158" customFormat="1" ht="48.75" customHeight="1" x14ac:dyDescent="0.25">
      <c r="B62" s="715"/>
      <c r="C62" s="715"/>
      <c r="D62" s="715"/>
      <c r="E62" s="726"/>
      <c r="F62" s="715"/>
      <c r="G62" s="715"/>
      <c r="H62" s="715"/>
      <c r="I62" s="726"/>
      <c r="J62" s="715"/>
      <c r="K62" s="715"/>
      <c r="L62" s="715"/>
      <c r="M62" s="726"/>
      <c r="N62" s="715"/>
      <c r="O62" s="715"/>
      <c r="P62" s="715"/>
      <c r="Q62" s="726"/>
      <c r="R62" s="745"/>
      <c r="S62" s="746"/>
      <c r="T62" s="746"/>
      <c r="U62" s="747"/>
      <c r="AO62" s="23"/>
      <c r="AP62" s="23"/>
      <c r="AQ62" s="23"/>
      <c r="AS62" s="23"/>
      <c r="BI62" s="181"/>
      <c r="BJ62" s="182"/>
      <c r="BK62" s="182"/>
      <c r="BL62" s="182"/>
      <c r="BM62" s="182"/>
      <c r="BN62" s="182"/>
      <c r="BO62" s="182"/>
      <c r="BP62" s="182"/>
      <c r="BQ62" s="183"/>
      <c r="BX62" s="177"/>
      <c r="BY62" s="177"/>
      <c r="BZ62" s="177"/>
      <c r="CA62" s="177"/>
      <c r="CB62" s="177"/>
      <c r="CC62" s="177"/>
      <c r="CD62" s="177"/>
      <c r="CE62" s="177"/>
    </row>
    <row r="63" spans="2:83" s="158" customFormat="1" ht="48.75" customHeight="1" x14ac:dyDescent="0.25">
      <c r="B63" s="715"/>
      <c r="C63" s="715"/>
      <c r="D63" s="715"/>
      <c r="E63" s="726"/>
      <c r="F63" s="715"/>
      <c r="G63" s="715"/>
      <c r="H63" s="715"/>
      <c r="I63" s="726"/>
      <c r="J63" s="715"/>
      <c r="K63" s="715"/>
      <c r="L63" s="715"/>
      <c r="M63" s="726"/>
      <c r="N63" s="715"/>
      <c r="O63" s="715"/>
      <c r="P63" s="715"/>
      <c r="Q63" s="726"/>
      <c r="R63" s="745"/>
      <c r="S63" s="746"/>
      <c r="T63" s="746"/>
      <c r="U63" s="747"/>
      <c r="AF63" s="210"/>
      <c r="AN63" s="210"/>
      <c r="AO63" s="210"/>
      <c r="AP63" s="210"/>
      <c r="AQ63" s="210"/>
      <c r="AS63" s="23"/>
      <c r="AT63" s="23"/>
      <c r="AU63" s="23"/>
      <c r="AV63" s="23"/>
      <c r="AW63" s="23"/>
      <c r="BI63" s="181"/>
      <c r="BJ63" s="182"/>
      <c r="BK63" s="182"/>
      <c r="BL63" s="182"/>
      <c r="BM63" s="182"/>
      <c r="BN63" s="182"/>
      <c r="BO63" s="182"/>
      <c r="BP63" s="182"/>
      <c r="BQ63" s="183"/>
      <c r="BX63" s="177"/>
      <c r="BY63" s="177"/>
      <c r="BZ63" s="177"/>
      <c r="CA63" s="177"/>
      <c r="CB63" s="177"/>
      <c r="CC63" s="177"/>
      <c r="CD63" s="177"/>
      <c r="CE63" s="177"/>
    </row>
    <row r="64" spans="2:83" s="158" customFormat="1" ht="48.75" customHeight="1" x14ac:dyDescent="0.25">
      <c r="B64" s="162">
        <v>0.08</v>
      </c>
      <c r="C64" s="162">
        <v>0.1</v>
      </c>
      <c r="D64" s="162">
        <v>5.0200000000000002E-3</v>
      </c>
      <c r="E64" s="356"/>
      <c r="F64" s="162">
        <v>0.28000000000000003</v>
      </c>
      <c r="G64" s="162">
        <v>0.315</v>
      </c>
      <c r="H64" s="162">
        <v>6.1600000000000002E-2</v>
      </c>
      <c r="I64" s="356"/>
      <c r="J64" s="162">
        <v>0.8</v>
      </c>
      <c r="K64" s="162">
        <v>0.86499999999999999</v>
      </c>
      <c r="L64" s="162">
        <v>0.503</v>
      </c>
      <c r="M64" s="356"/>
      <c r="N64" s="162">
        <v>2.2400000000000002</v>
      </c>
      <c r="O64" s="162">
        <v>2.34</v>
      </c>
      <c r="P64" s="162">
        <v>3.94</v>
      </c>
      <c r="Q64" s="356"/>
      <c r="R64" s="745"/>
      <c r="S64" s="746"/>
      <c r="T64" s="746"/>
      <c r="U64" s="747"/>
      <c r="AF64" s="210"/>
      <c r="AN64" s="210"/>
      <c r="AO64" s="210"/>
      <c r="AP64" s="210"/>
      <c r="AQ64" s="210"/>
      <c r="AS64" s="23"/>
      <c r="AT64" s="23"/>
      <c r="AU64" s="23"/>
      <c r="AV64" s="23"/>
      <c r="AW64" s="23"/>
      <c r="AX64" s="23"/>
      <c r="AY64" s="23"/>
      <c r="AZ64" s="23"/>
      <c r="BA64" s="23"/>
      <c r="BB64" s="23"/>
      <c r="BI64" s="181"/>
      <c r="BJ64" s="182"/>
      <c r="BK64" s="182"/>
      <c r="BL64" s="182"/>
      <c r="BM64" s="182"/>
      <c r="BN64" s="182"/>
      <c r="BO64" s="182"/>
      <c r="BP64" s="182"/>
      <c r="BQ64" s="183"/>
      <c r="BX64" s="177"/>
      <c r="BY64" s="177"/>
      <c r="BZ64" s="177"/>
      <c r="CA64" s="177"/>
      <c r="CB64" s="177"/>
      <c r="CC64" s="177"/>
      <c r="CD64" s="177"/>
      <c r="CE64" s="177"/>
    </row>
    <row r="65" spans="2:83" s="158" customFormat="1" ht="48.75" customHeight="1" x14ac:dyDescent="0.25">
      <c r="B65" s="162">
        <v>0.09</v>
      </c>
      <c r="C65" s="162">
        <v>0.11</v>
      </c>
      <c r="D65" s="162">
        <v>6.3600000000000002E-3</v>
      </c>
      <c r="E65" s="357"/>
      <c r="F65" s="162">
        <v>-0.3</v>
      </c>
      <c r="G65" s="162">
        <v>0.33500000000000002</v>
      </c>
      <c r="H65" s="162">
        <v>7.0699999999999999E-2</v>
      </c>
      <c r="I65" s="357"/>
      <c r="J65" s="162">
        <v>0.85</v>
      </c>
      <c r="K65" s="162">
        <v>0.91500000000000004</v>
      </c>
      <c r="L65" s="162">
        <v>0.56699999999999995</v>
      </c>
      <c r="M65" s="357"/>
      <c r="N65" s="162">
        <v>2.36</v>
      </c>
      <c r="O65" s="162">
        <v>2.46</v>
      </c>
      <c r="P65" s="162">
        <v>4.3600000000000003</v>
      </c>
      <c r="Q65" s="357"/>
      <c r="R65" s="745"/>
      <c r="S65" s="746"/>
      <c r="T65" s="746"/>
      <c r="U65" s="747"/>
      <c r="AF65" s="210"/>
      <c r="AN65" s="210"/>
      <c r="AO65" s="210"/>
      <c r="AP65" s="210"/>
      <c r="AQ65" s="210"/>
      <c r="AS65" s="23"/>
      <c r="AT65" s="23"/>
      <c r="AU65" s="23"/>
      <c r="AV65" s="23"/>
      <c r="AW65" s="23"/>
      <c r="AX65" s="23"/>
      <c r="AY65" s="23"/>
      <c r="AZ65" s="23"/>
      <c r="BA65" s="23"/>
      <c r="BB65" s="23"/>
      <c r="BI65" s="181"/>
      <c r="BJ65" s="182"/>
      <c r="BK65" s="182"/>
      <c r="BL65" s="182"/>
      <c r="BM65" s="182"/>
      <c r="BN65" s="182"/>
      <c r="BO65" s="182"/>
      <c r="BP65" s="182"/>
      <c r="BQ65" s="183"/>
      <c r="BX65" s="177"/>
      <c r="BY65" s="177"/>
      <c r="BZ65" s="177"/>
      <c r="CA65" s="177"/>
      <c r="CB65" s="177"/>
      <c r="CC65" s="177"/>
      <c r="CD65" s="177"/>
      <c r="CE65" s="177"/>
    </row>
    <row r="66" spans="2:83" s="158" customFormat="1" ht="48.75" customHeight="1" x14ac:dyDescent="0.25">
      <c r="B66" s="162">
        <v>0.1</v>
      </c>
      <c r="C66" s="162">
        <v>0.122</v>
      </c>
      <c r="D66" s="162">
        <v>7.8499999999999993E-3</v>
      </c>
      <c r="E66" s="357"/>
      <c r="F66" s="162">
        <v>0.315</v>
      </c>
      <c r="G66" s="162">
        <v>0.35</v>
      </c>
      <c r="H66" s="162">
        <v>7.7899999999999997E-2</v>
      </c>
      <c r="I66" s="357"/>
      <c r="J66" s="162">
        <v>0.9</v>
      </c>
      <c r="K66" s="162">
        <v>0.96499999999999997</v>
      </c>
      <c r="L66" s="162">
        <v>0.63600000000000001</v>
      </c>
      <c r="M66" s="357"/>
      <c r="N66" s="162">
        <v>2.5</v>
      </c>
      <c r="O66" s="162">
        <v>2.6</v>
      </c>
      <c r="P66" s="162">
        <v>4.91</v>
      </c>
      <c r="Q66" s="357"/>
      <c r="R66" s="178"/>
      <c r="S66" s="179"/>
      <c r="T66" s="179"/>
      <c r="U66" s="180"/>
      <c r="AF66" s="210"/>
      <c r="AN66" s="210"/>
      <c r="AO66" s="210"/>
      <c r="AP66" s="210"/>
      <c r="AQ66" s="210"/>
      <c r="AS66" s="23"/>
      <c r="BA66" s="23"/>
      <c r="BB66" s="23"/>
      <c r="BI66" s="181"/>
      <c r="BJ66" s="182"/>
      <c r="BK66" s="182"/>
      <c r="BL66" s="182"/>
      <c r="BM66" s="182"/>
      <c r="BN66" s="182"/>
      <c r="BO66" s="182"/>
      <c r="BP66" s="182"/>
      <c r="BQ66" s="183"/>
      <c r="BX66" s="177"/>
      <c r="BY66" s="177"/>
      <c r="BZ66" s="177"/>
      <c r="CA66" s="177"/>
      <c r="CB66" s="177"/>
      <c r="CC66" s="177"/>
      <c r="CD66" s="177"/>
      <c r="CE66" s="177"/>
    </row>
    <row r="67" spans="2:83" s="158" customFormat="1" ht="48.75" customHeight="1" x14ac:dyDescent="0.25">
      <c r="B67" s="162">
        <v>0.112</v>
      </c>
      <c r="C67" s="162">
        <v>0.13400000000000001</v>
      </c>
      <c r="D67" s="162">
        <v>9.8499999999999994E-3</v>
      </c>
      <c r="E67" s="357"/>
      <c r="F67" s="162">
        <v>0.33500000000000002</v>
      </c>
      <c r="G67" s="162">
        <v>0.37</v>
      </c>
      <c r="H67" s="162">
        <v>8.8099999999999998E-2</v>
      </c>
      <c r="I67" s="357"/>
      <c r="J67" s="162">
        <v>0.95</v>
      </c>
      <c r="K67" s="162">
        <v>1.0149999999999999</v>
      </c>
      <c r="L67" s="162">
        <v>0.70899999999999996</v>
      </c>
      <c r="M67" s="357"/>
      <c r="N67" s="178"/>
      <c r="O67" s="179"/>
      <c r="P67" s="179"/>
      <c r="Q67" s="338"/>
      <c r="R67" s="181"/>
      <c r="S67" s="182"/>
      <c r="T67" s="182"/>
      <c r="U67" s="183"/>
      <c r="AF67" s="210"/>
      <c r="AN67" s="210"/>
      <c r="AO67" s="210"/>
      <c r="AP67" s="210"/>
      <c r="AQ67" s="210"/>
      <c r="AR67" s="23"/>
      <c r="AS67" s="23"/>
      <c r="BA67" s="23"/>
      <c r="BB67" s="23"/>
      <c r="BI67" s="181"/>
      <c r="BJ67" s="182"/>
      <c r="BK67" s="182"/>
      <c r="BL67" s="182"/>
      <c r="BM67" s="182"/>
      <c r="BN67" s="182"/>
      <c r="BO67" s="182"/>
      <c r="BP67" s="182"/>
      <c r="BQ67" s="183"/>
      <c r="BX67" s="177"/>
      <c r="BY67" s="177"/>
      <c r="BZ67" s="177"/>
      <c r="CA67" s="177"/>
      <c r="CB67" s="177"/>
      <c r="CC67" s="177"/>
      <c r="CD67" s="177"/>
      <c r="CE67" s="177"/>
    </row>
    <row r="68" spans="2:83" s="158" customFormat="1" ht="48.75" customHeight="1" x14ac:dyDescent="0.25">
      <c r="B68" s="162">
        <v>0.125</v>
      </c>
      <c r="C68" s="162">
        <v>0.14699999999999999</v>
      </c>
      <c r="D68" s="162">
        <v>1.227E-2</v>
      </c>
      <c r="E68" s="357"/>
      <c r="F68" s="162">
        <v>0.35499999999999998</v>
      </c>
      <c r="G68" s="162">
        <v>0.39500000000000002</v>
      </c>
      <c r="H68" s="162">
        <v>9.9000000000000005E-2</v>
      </c>
      <c r="I68" s="357"/>
      <c r="J68" s="162">
        <v>1</v>
      </c>
      <c r="K68" s="162">
        <v>1.08</v>
      </c>
      <c r="L68" s="162">
        <v>0.78500000000000003</v>
      </c>
      <c r="M68" s="357"/>
      <c r="N68" s="181"/>
      <c r="O68" s="182"/>
      <c r="P68" s="182"/>
      <c r="Q68" s="338"/>
      <c r="R68" s="181"/>
      <c r="S68" s="182"/>
      <c r="T68" s="182"/>
      <c r="U68" s="183"/>
      <c r="AF68" s="210"/>
      <c r="AN68" s="210"/>
      <c r="AO68" s="210"/>
      <c r="AP68" s="210"/>
      <c r="AQ68" s="210"/>
      <c r="BI68" s="181"/>
      <c r="BJ68" s="182"/>
      <c r="BK68" s="182"/>
      <c r="BL68" s="182"/>
      <c r="BM68" s="182"/>
      <c r="BN68" s="182"/>
      <c r="BO68" s="182"/>
      <c r="BP68" s="182"/>
      <c r="BQ68" s="183"/>
      <c r="BX68" s="177"/>
      <c r="BY68" s="177"/>
      <c r="BZ68" s="177"/>
      <c r="CA68" s="177"/>
      <c r="CB68" s="177"/>
      <c r="CC68" s="177"/>
      <c r="CD68" s="177"/>
      <c r="CE68" s="177"/>
    </row>
    <row r="69" spans="2:83" s="158" customFormat="1" ht="48.75" customHeight="1" x14ac:dyDescent="0.25">
      <c r="B69" s="162">
        <v>-0.13200000000000001</v>
      </c>
      <c r="C69" s="162">
        <v>0.154</v>
      </c>
      <c r="D69" s="162">
        <v>1.3679999999999999E-2</v>
      </c>
      <c r="E69" s="357"/>
      <c r="F69" s="162">
        <v>0.375</v>
      </c>
      <c r="G69" s="162">
        <v>0.41499999999999998</v>
      </c>
      <c r="H69" s="162">
        <v>0.1104</v>
      </c>
      <c r="I69" s="357"/>
      <c r="J69" s="162">
        <v>1.06</v>
      </c>
      <c r="K69" s="162">
        <v>1.1399999999999999</v>
      </c>
      <c r="L69" s="162">
        <v>0.88300000000000001</v>
      </c>
      <c r="M69" s="357"/>
      <c r="N69" s="181"/>
      <c r="O69" s="182"/>
      <c r="P69" s="182"/>
      <c r="Q69" s="338"/>
      <c r="R69" s="181"/>
      <c r="S69" s="182"/>
      <c r="T69" s="182"/>
      <c r="U69" s="183"/>
      <c r="AF69" s="210"/>
      <c r="AN69" s="210"/>
      <c r="AO69" s="210"/>
      <c r="AP69" s="210"/>
      <c r="AQ69" s="210"/>
      <c r="BI69" s="181"/>
      <c r="BJ69" s="182"/>
      <c r="BK69" s="182"/>
      <c r="BL69" s="182"/>
      <c r="BM69" s="182"/>
      <c r="BN69" s="182"/>
      <c r="BO69" s="182"/>
      <c r="BP69" s="182"/>
      <c r="BQ69" s="183"/>
      <c r="BX69" s="177"/>
      <c r="BY69" s="177"/>
      <c r="BZ69" s="177"/>
      <c r="CA69" s="177"/>
      <c r="CB69" s="177"/>
      <c r="CC69" s="177"/>
      <c r="CD69" s="177"/>
      <c r="CE69" s="177"/>
    </row>
    <row r="70" spans="2:83" s="158" customFormat="1" ht="48.75" customHeight="1" x14ac:dyDescent="0.25">
      <c r="B70" s="162">
        <v>0.14000000000000001</v>
      </c>
      <c r="C70" s="162">
        <v>0.16200000000000001</v>
      </c>
      <c r="D70" s="162">
        <v>1.5389999999999999E-2</v>
      </c>
      <c r="E70" s="357"/>
      <c r="F70" s="162">
        <v>0.4</v>
      </c>
      <c r="G70" s="162">
        <v>0.44</v>
      </c>
      <c r="H70" s="162">
        <v>0.12570000000000001</v>
      </c>
      <c r="I70" s="357"/>
      <c r="J70" s="162">
        <v>1.1200000000000001</v>
      </c>
      <c r="K70" s="162">
        <v>1.2</v>
      </c>
      <c r="L70" s="162">
        <v>0.98499999999999999</v>
      </c>
      <c r="M70" s="357"/>
      <c r="N70" s="181"/>
      <c r="O70" s="182"/>
      <c r="P70" s="182"/>
      <c r="Q70" s="338"/>
      <c r="R70" s="181"/>
      <c r="S70" s="182"/>
      <c r="T70" s="182"/>
      <c r="U70" s="183"/>
      <c r="AF70" s="210"/>
      <c r="AN70" s="210"/>
      <c r="AO70" s="210"/>
      <c r="AP70" s="210"/>
      <c r="AQ70" s="210"/>
      <c r="BI70" s="181"/>
      <c r="BJ70" s="182"/>
      <c r="BK70" s="182"/>
      <c r="BL70" s="182"/>
      <c r="BM70" s="182"/>
      <c r="BN70" s="182"/>
      <c r="BO70" s="182"/>
      <c r="BP70" s="182"/>
      <c r="BQ70" s="183"/>
      <c r="BX70" s="177"/>
      <c r="BY70" s="177"/>
      <c r="BZ70" s="177"/>
      <c r="CA70" s="177"/>
      <c r="CB70" s="177"/>
      <c r="CC70" s="177"/>
      <c r="CD70" s="177"/>
      <c r="CE70" s="177"/>
    </row>
    <row r="71" spans="2:83" s="158" customFormat="1" ht="48.75" customHeight="1" x14ac:dyDescent="0.25">
      <c r="B71" s="162">
        <v>0.15</v>
      </c>
      <c r="C71" s="162">
        <v>0.18</v>
      </c>
      <c r="D71" s="162">
        <v>1.7670000000000002E-2</v>
      </c>
      <c r="E71" s="357"/>
      <c r="F71" s="162">
        <v>0.42499999999999999</v>
      </c>
      <c r="G71" s="162">
        <v>0.46500000000000002</v>
      </c>
      <c r="H71" s="162">
        <v>0.1419</v>
      </c>
      <c r="I71" s="357"/>
      <c r="J71" s="162">
        <v>1.18</v>
      </c>
      <c r="K71" s="162">
        <v>1.26</v>
      </c>
      <c r="L71" s="162">
        <v>1.0940000000000001</v>
      </c>
      <c r="M71" s="357"/>
      <c r="N71" s="181"/>
      <c r="O71" s="182"/>
      <c r="P71" s="182"/>
      <c r="Q71" s="338"/>
      <c r="R71" s="181"/>
      <c r="S71" s="182"/>
      <c r="T71" s="182"/>
      <c r="U71" s="183"/>
      <c r="AF71" s="210"/>
      <c r="AN71" s="210"/>
      <c r="AO71" s="210"/>
      <c r="AP71" s="210"/>
      <c r="AQ71" s="210"/>
      <c r="BI71" s="181"/>
      <c r="BJ71" s="182"/>
      <c r="BK71" s="182"/>
      <c r="BL71" s="182"/>
      <c r="BM71" s="182"/>
      <c r="BN71" s="182"/>
      <c r="BO71" s="182"/>
      <c r="BP71" s="182"/>
      <c r="BQ71" s="183"/>
      <c r="BX71" s="177"/>
      <c r="BY71" s="177"/>
      <c r="BZ71" s="177"/>
      <c r="CA71" s="177"/>
      <c r="CB71" s="177"/>
      <c r="CC71" s="177"/>
      <c r="CD71" s="177"/>
      <c r="CE71" s="177"/>
    </row>
    <row r="72" spans="2:83" s="158" customFormat="1" ht="48.75" customHeight="1" x14ac:dyDescent="0.25">
      <c r="B72" s="162">
        <v>0.16</v>
      </c>
      <c r="C72" s="162">
        <v>0.19</v>
      </c>
      <c r="D72" s="162">
        <v>2.01E-2</v>
      </c>
      <c r="E72" s="357"/>
      <c r="F72" s="162">
        <v>0.45</v>
      </c>
      <c r="G72" s="162">
        <v>0.49</v>
      </c>
      <c r="H72" s="162">
        <v>0.159</v>
      </c>
      <c r="I72" s="357"/>
      <c r="J72" s="162">
        <v>1.25</v>
      </c>
      <c r="K72" s="162">
        <v>1.33</v>
      </c>
      <c r="L72" s="162">
        <v>1.2270000000000001</v>
      </c>
      <c r="M72" s="357"/>
      <c r="N72" s="181"/>
      <c r="O72" s="182"/>
      <c r="P72" s="182"/>
      <c r="Q72" s="338"/>
      <c r="R72" s="181"/>
      <c r="S72" s="182"/>
      <c r="T72" s="182"/>
      <c r="U72" s="183"/>
      <c r="AF72" s="210"/>
      <c r="AN72" s="210"/>
      <c r="AO72" s="210"/>
      <c r="AP72" s="210"/>
      <c r="AQ72" s="210"/>
      <c r="BI72" s="181"/>
      <c r="BJ72" s="182"/>
      <c r="BK72" s="182"/>
      <c r="BL72" s="182"/>
      <c r="BM72" s="182"/>
      <c r="BN72" s="182"/>
      <c r="BO72" s="182"/>
      <c r="BP72" s="182"/>
      <c r="BQ72" s="183"/>
      <c r="BX72" s="177"/>
      <c r="BY72" s="177"/>
      <c r="BZ72" s="177"/>
      <c r="CA72" s="177"/>
      <c r="CB72" s="177"/>
      <c r="CC72" s="177"/>
      <c r="CD72" s="177"/>
      <c r="CE72" s="177"/>
    </row>
    <row r="73" spans="2:83" s="158" customFormat="1" ht="48.75" customHeight="1" x14ac:dyDescent="0.25">
      <c r="B73" s="162">
        <v>0.17</v>
      </c>
      <c r="C73" s="162">
        <v>0.2</v>
      </c>
      <c r="D73" s="162">
        <v>2.2700000000000001E-2</v>
      </c>
      <c r="E73" s="357"/>
      <c r="F73" s="162">
        <v>-0.47499999999999998</v>
      </c>
      <c r="G73" s="162">
        <v>0.51500000000000001</v>
      </c>
      <c r="H73" s="162">
        <v>0.1772</v>
      </c>
      <c r="I73" s="357"/>
      <c r="J73" s="162">
        <v>1.32</v>
      </c>
      <c r="K73" s="162">
        <v>1.405</v>
      </c>
      <c r="L73" s="162">
        <v>1.3680000000000001</v>
      </c>
      <c r="M73" s="357"/>
      <c r="N73" s="181"/>
      <c r="O73" s="182"/>
      <c r="P73" s="182"/>
      <c r="Q73" s="338"/>
      <c r="R73" s="181"/>
      <c r="S73" s="182"/>
      <c r="T73" s="182"/>
      <c r="U73" s="183"/>
      <c r="Y73" s="173" t="s">
        <v>627</v>
      </c>
      <c r="Z73" s="172" t="s">
        <v>628</v>
      </c>
      <c r="AA73" s="815" t="s">
        <v>722</v>
      </c>
      <c r="AB73" s="815"/>
      <c r="AC73" s="815"/>
      <c r="AF73" s="210"/>
      <c r="AN73" s="210"/>
      <c r="AO73" s="210"/>
      <c r="AP73" s="210"/>
      <c r="AQ73" s="210"/>
      <c r="BI73" s="181"/>
      <c r="BJ73" s="182"/>
      <c r="BK73" s="182"/>
      <c r="BL73" s="182"/>
      <c r="BM73" s="182"/>
      <c r="BN73" s="182"/>
      <c r="BO73" s="182"/>
      <c r="BP73" s="182"/>
      <c r="BQ73" s="183"/>
      <c r="BX73" s="177"/>
      <c r="BY73" s="177"/>
      <c r="BZ73" s="177"/>
      <c r="CA73" s="177"/>
      <c r="CB73" s="177"/>
      <c r="CC73" s="177"/>
      <c r="CD73" s="177"/>
      <c r="CE73" s="177"/>
    </row>
    <row r="74" spans="2:83" s="158" customFormat="1" ht="48.75" customHeight="1" x14ac:dyDescent="0.25">
      <c r="B74" s="162">
        <v>0.18</v>
      </c>
      <c r="C74" s="162">
        <v>0.21</v>
      </c>
      <c r="D74" s="162">
        <v>2.5499999999999998E-2</v>
      </c>
      <c r="E74" s="357"/>
      <c r="F74" s="162">
        <v>0.5</v>
      </c>
      <c r="G74" s="162">
        <v>0.54500000000000004</v>
      </c>
      <c r="H74" s="162">
        <v>0.1963</v>
      </c>
      <c r="I74" s="357"/>
      <c r="J74" s="162">
        <v>1.4</v>
      </c>
      <c r="K74" s="162">
        <v>1.4850000000000001</v>
      </c>
      <c r="L74" s="162">
        <v>1.5389999999999999</v>
      </c>
      <c r="M74" s="357"/>
      <c r="N74" s="181"/>
      <c r="O74" s="182"/>
      <c r="P74" s="182"/>
      <c r="Q74" s="338"/>
      <c r="R74" s="181"/>
      <c r="S74" s="182"/>
      <c r="T74" s="182"/>
      <c r="U74" s="183"/>
      <c r="Y74" s="173" t="s">
        <v>627</v>
      </c>
      <c r="Z74" s="172" t="s">
        <v>628</v>
      </c>
      <c r="AA74" s="815" t="s">
        <v>723</v>
      </c>
      <c r="AB74" s="815"/>
      <c r="AC74" s="815"/>
      <c r="AF74" s="210"/>
      <c r="AN74" s="210"/>
      <c r="AO74" s="210"/>
      <c r="AP74" s="210"/>
      <c r="AQ74" s="210"/>
      <c r="BI74" s="184"/>
      <c r="BJ74" s="185"/>
      <c r="BK74" s="185"/>
      <c r="BL74" s="185"/>
      <c r="BM74" s="185"/>
      <c r="BN74" s="185"/>
      <c r="BO74" s="185"/>
      <c r="BP74" s="185"/>
      <c r="BQ74" s="186"/>
    </row>
    <row r="75" spans="2:83" s="158" customFormat="1" ht="48.75" customHeight="1" x14ac:dyDescent="0.25">
      <c r="B75" s="162">
        <v>-0.19</v>
      </c>
      <c r="C75" s="162">
        <v>0.22</v>
      </c>
      <c r="D75" s="162">
        <v>0.28399999999999997</v>
      </c>
      <c r="E75" s="357"/>
      <c r="F75" s="162">
        <v>-0.53</v>
      </c>
      <c r="G75" s="162">
        <v>0.58499999999999996</v>
      </c>
      <c r="H75" s="162">
        <v>0.221</v>
      </c>
      <c r="I75" s="357"/>
      <c r="J75" s="162">
        <v>1.5</v>
      </c>
      <c r="K75" s="162">
        <v>1.585</v>
      </c>
      <c r="L75" s="162">
        <v>1.7669999999999999</v>
      </c>
      <c r="M75" s="357"/>
      <c r="N75" s="181"/>
      <c r="O75" s="182"/>
      <c r="P75" s="182"/>
      <c r="Q75" s="338"/>
      <c r="R75" s="181"/>
      <c r="S75" s="182"/>
      <c r="T75" s="182"/>
      <c r="U75" s="183"/>
      <c r="Y75" s="727" t="s">
        <v>831</v>
      </c>
      <c r="Z75" s="728"/>
      <c r="AA75" s="728"/>
      <c r="AB75" s="728"/>
      <c r="AC75" s="172" t="s">
        <v>630</v>
      </c>
      <c r="AF75" s="210"/>
      <c r="AN75" s="210"/>
      <c r="AO75" s="210"/>
      <c r="AP75" s="210"/>
      <c r="AQ75" s="210"/>
      <c r="BI75" s="161"/>
    </row>
    <row r="76" spans="2:83" s="158" customFormat="1" ht="48.75" customHeight="1" x14ac:dyDescent="0.25">
      <c r="B76" s="162">
        <v>0.2</v>
      </c>
      <c r="C76" s="162">
        <v>0.23</v>
      </c>
      <c r="D76" s="162">
        <v>3.1399999999999997E-2</v>
      </c>
      <c r="E76" s="357"/>
      <c r="F76" s="162">
        <v>0.56000000000000005</v>
      </c>
      <c r="G76" s="162">
        <v>0.61499999999999999</v>
      </c>
      <c r="H76" s="162">
        <v>0.246</v>
      </c>
      <c r="I76" s="357"/>
      <c r="J76" s="162">
        <v>1.6</v>
      </c>
      <c r="K76" s="162">
        <v>1.6850000000000001</v>
      </c>
      <c r="L76" s="162">
        <v>2.0110000000000001</v>
      </c>
      <c r="M76" s="357"/>
      <c r="N76" s="181"/>
      <c r="O76" s="182"/>
      <c r="P76" s="182"/>
      <c r="Q76" s="338"/>
      <c r="R76" s="181"/>
      <c r="S76" s="182"/>
      <c r="T76" s="182"/>
      <c r="U76" s="183"/>
      <c r="Y76" s="727" t="s">
        <v>831</v>
      </c>
      <c r="Z76" s="728"/>
      <c r="AA76" s="728"/>
      <c r="AB76" s="728"/>
      <c r="AC76" s="172" t="s">
        <v>628</v>
      </c>
      <c r="AF76" s="210"/>
      <c r="AN76" s="210"/>
      <c r="AO76" s="210"/>
      <c r="AP76" s="210"/>
      <c r="AQ76" s="210"/>
      <c r="BI76" s="161"/>
    </row>
    <row r="77" spans="2:83" s="158" customFormat="1" ht="48.75" customHeight="1" x14ac:dyDescent="0.25">
      <c r="B77" s="162">
        <v>-0.21199999999999999</v>
      </c>
      <c r="C77" s="162">
        <v>0.24199999999999999</v>
      </c>
      <c r="D77" s="162">
        <v>3.5299999999999998E-2</v>
      </c>
      <c r="E77" s="357"/>
      <c r="F77" s="162">
        <v>0.6</v>
      </c>
      <c r="G77" s="162">
        <v>0.65500000000000003</v>
      </c>
      <c r="H77" s="162">
        <v>0.28299999999999997</v>
      </c>
      <c r="I77" s="357"/>
      <c r="J77" s="162">
        <v>1.7</v>
      </c>
      <c r="K77" s="162">
        <v>1.7849999999999999</v>
      </c>
      <c r="L77" s="162">
        <v>2.27</v>
      </c>
      <c r="M77" s="357"/>
      <c r="N77" s="181"/>
      <c r="O77" s="182"/>
      <c r="P77" s="182"/>
      <c r="Q77" s="338"/>
      <c r="R77" s="181"/>
      <c r="S77" s="182"/>
      <c r="T77" s="182"/>
      <c r="U77" s="183"/>
      <c r="AF77" s="210"/>
      <c r="AG77" s="210"/>
      <c r="AH77" s="210"/>
      <c r="AI77" s="210"/>
      <c r="AJ77" s="210"/>
      <c r="AK77" s="210"/>
      <c r="AL77" s="210"/>
      <c r="AM77" s="210"/>
      <c r="AN77" s="210"/>
      <c r="AO77" s="210"/>
      <c r="AP77" s="210"/>
      <c r="AQ77" s="210"/>
      <c r="BI77" s="161"/>
    </row>
    <row r="78" spans="2:83" s="158" customFormat="1" ht="48.75" customHeight="1" x14ac:dyDescent="0.25">
      <c r="B78" s="162">
        <v>0.224</v>
      </c>
      <c r="C78" s="162">
        <v>0.25900000000000001</v>
      </c>
      <c r="D78" s="162">
        <v>3.9399999999999998E-2</v>
      </c>
      <c r="E78" s="357"/>
      <c r="F78" s="162">
        <v>0.63</v>
      </c>
      <c r="G78" s="162">
        <v>0.69</v>
      </c>
      <c r="H78" s="162">
        <v>0.312</v>
      </c>
      <c r="I78" s="357"/>
      <c r="J78" s="162">
        <v>1.8</v>
      </c>
      <c r="K78" s="162">
        <v>1.895</v>
      </c>
      <c r="L78" s="162">
        <v>2.54</v>
      </c>
      <c r="M78" s="357"/>
      <c r="N78" s="181"/>
      <c r="O78" s="182"/>
      <c r="P78" s="182"/>
      <c r="Q78" s="338"/>
      <c r="R78" s="181"/>
      <c r="S78" s="182"/>
      <c r="T78" s="182"/>
      <c r="U78" s="183"/>
      <c r="AF78" s="210"/>
      <c r="AG78" s="210"/>
      <c r="AH78" s="210"/>
      <c r="AI78" s="210"/>
      <c r="AJ78" s="210"/>
      <c r="AK78" s="210"/>
      <c r="AL78" s="210"/>
      <c r="AM78" s="210"/>
      <c r="AN78" s="210"/>
      <c r="AO78" s="210"/>
      <c r="AP78" s="210"/>
      <c r="AQ78" s="210"/>
      <c r="BI78" s="161"/>
    </row>
    <row r="79" spans="2:83" s="158" customFormat="1" ht="48.75" customHeight="1" x14ac:dyDescent="0.25">
      <c r="B79" s="162">
        <v>-0.23599999999999999</v>
      </c>
      <c r="C79" s="162">
        <v>0.27100000000000002</v>
      </c>
      <c r="D79" s="162">
        <v>4.3700000000000003E-2</v>
      </c>
      <c r="E79" s="357"/>
      <c r="F79" s="162">
        <v>-0.67</v>
      </c>
      <c r="G79" s="162">
        <v>0.73</v>
      </c>
      <c r="H79" s="162">
        <v>0.35299999999999998</v>
      </c>
      <c r="I79" s="357"/>
      <c r="J79" s="162">
        <v>1.9</v>
      </c>
      <c r="K79" s="162">
        <v>1.9950000000000001</v>
      </c>
      <c r="L79" s="162">
        <v>2.83</v>
      </c>
      <c r="M79" s="357"/>
      <c r="N79" s="181"/>
      <c r="O79" s="182"/>
      <c r="P79" s="182"/>
      <c r="Q79" s="338"/>
      <c r="R79" s="181"/>
      <c r="S79" s="182"/>
      <c r="T79" s="182"/>
      <c r="U79" s="183"/>
      <c r="X79" s="210"/>
      <c r="Y79" s="220"/>
      <c r="Z79" s="210"/>
      <c r="AF79" s="210"/>
      <c r="AG79" s="210"/>
      <c r="AH79" s="210"/>
      <c r="AI79" s="210"/>
      <c r="AJ79" s="210"/>
      <c r="AK79" s="210"/>
      <c r="AL79" s="210"/>
      <c r="AM79" s="210"/>
      <c r="AN79" s="210"/>
      <c r="AO79" s="210"/>
      <c r="AP79" s="210"/>
      <c r="AQ79" s="210"/>
      <c r="BI79" s="161"/>
    </row>
    <row r="80" spans="2:83" s="158" customFormat="1" ht="48.75" customHeight="1" x14ac:dyDescent="0.25">
      <c r="B80" s="162">
        <v>0.25</v>
      </c>
      <c r="C80" s="162">
        <v>0.28499999999999998</v>
      </c>
      <c r="D80" s="162">
        <v>4.9099999999999998E-2</v>
      </c>
      <c r="E80" s="357"/>
      <c r="F80" s="162">
        <v>0.71</v>
      </c>
      <c r="G80" s="162">
        <v>0.77</v>
      </c>
      <c r="H80" s="162">
        <v>0.39600000000000002</v>
      </c>
      <c r="I80" s="357"/>
      <c r="J80" s="162">
        <v>2</v>
      </c>
      <c r="K80" s="162">
        <v>2.0950000000000002</v>
      </c>
      <c r="L80" s="162">
        <v>3.14</v>
      </c>
      <c r="M80" s="357"/>
      <c r="N80" s="181"/>
      <c r="O80" s="182"/>
      <c r="P80" s="182"/>
      <c r="Q80" s="338"/>
      <c r="R80" s="181"/>
      <c r="S80" s="182"/>
      <c r="T80" s="182"/>
      <c r="U80" s="183"/>
      <c r="X80" s="210"/>
      <c r="Y80" s="210"/>
      <c r="Z80" s="210"/>
      <c r="AF80" s="210"/>
      <c r="AG80" s="210"/>
      <c r="AH80" s="210"/>
      <c r="AI80" s="210"/>
      <c r="AJ80" s="210"/>
      <c r="AK80" s="210"/>
      <c r="AL80" s="210"/>
      <c r="AM80" s="210"/>
      <c r="AN80" s="210"/>
      <c r="AO80" s="210"/>
      <c r="AP80" s="210"/>
      <c r="AQ80" s="210"/>
      <c r="BI80" s="161"/>
    </row>
    <row r="81" spans="2:63" ht="48.75" customHeight="1" x14ac:dyDescent="0.25">
      <c r="B81" s="162">
        <v>-0.26500000000000001</v>
      </c>
      <c r="C81" s="162">
        <v>0.3</v>
      </c>
      <c r="D81" s="162">
        <v>5.5199999999999999E-2</v>
      </c>
      <c r="E81" s="723"/>
      <c r="F81" s="162">
        <v>0.75</v>
      </c>
      <c r="G81" s="162">
        <v>0.81499999999999995</v>
      </c>
      <c r="H81" s="162">
        <v>0.442</v>
      </c>
      <c r="I81" s="723"/>
      <c r="J81" s="162">
        <v>2.12</v>
      </c>
      <c r="K81" s="162">
        <v>2.2200000000000002</v>
      </c>
      <c r="L81" s="162">
        <v>3.53</v>
      </c>
      <c r="M81" s="723"/>
      <c r="N81" s="184"/>
      <c r="O81" s="185"/>
      <c r="P81" s="185"/>
      <c r="Q81" s="816"/>
      <c r="R81" s="184"/>
      <c r="S81" s="185"/>
      <c r="T81" s="185"/>
      <c r="U81" s="186"/>
      <c r="X81" s="210"/>
      <c r="Y81" s="210"/>
      <c r="Z81" s="210"/>
      <c r="AF81" s="210"/>
      <c r="AG81" s="210"/>
      <c r="AH81" s="210"/>
      <c r="AI81" s="210"/>
      <c r="AJ81" s="210"/>
      <c r="AK81" s="210"/>
      <c r="AL81" s="210"/>
      <c r="AM81" s="210"/>
      <c r="AN81" s="210"/>
      <c r="AO81" s="210"/>
      <c r="AP81" s="210"/>
      <c r="AQ81" s="210"/>
    </row>
    <row r="83" spans="2:63" ht="48.75" customHeight="1" x14ac:dyDescent="0.25">
      <c r="V83" s="158"/>
    </row>
    <row r="84" spans="2:63" ht="48.75" customHeight="1" x14ac:dyDescent="0.25">
      <c r="R84" s="158"/>
      <c r="S84" s="158"/>
      <c r="T84" s="158"/>
      <c r="U84" s="158"/>
      <c r="V84" s="158"/>
      <c r="W84" s="158"/>
      <c r="X84" s="158"/>
      <c r="Y84" s="158"/>
      <c r="Z84" s="158"/>
      <c r="AA84" s="158"/>
      <c r="AB84" s="158"/>
      <c r="AC84" s="158"/>
      <c r="AD84" s="158"/>
      <c r="AE84" s="158"/>
      <c r="AF84" s="158"/>
      <c r="AG84" s="158"/>
      <c r="AH84" s="158"/>
      <c r="AI84" s="157"/>
      <c r="AJ84" s="158"/>
      <c r="AK84" s="158"/>
      <c r="AL84" s="158"/>
      <c r="AN84" s="158"/>
      <c r="AO84" s="158"/>
      <c r="AP84" s="158"/>
      <c r="AQ84" s="158"/>
      <c r="AR84" s="158"/>
      <c r="BF84" s="177"/>
      <c r="BG84" s="177"/>
      <c r="BH84" s="177"/>
      <c r="BI84" s="177"/>
    </row>
    <row r="85" spans="2:63" ht="48.75" customHeight="1" x14ac:dyDescent="0.25">
      <c r="C85" s="446" t="s">
        <v>705</v>
      </c>
      <c r="D85" s="446"/>
      <c r="E85" s="446"/>
      <c r="F85" s="446"/>
      <c r="G85" s="446"/>
      <c r="H85" s="446"/>
      <c r="I85" s="446"/>
      <c r="J85" s="446"/>
      <c r="K85" s="446"/>
      <c r="L85" s="446"/>
      <c r="M85" s="446"/>
      <c r="N85" s="446"/>
      <c r="O85" s="446"/>
      <c r="P85" s="446"/>
      <c r="Q85" s="220"/>
      <c r="S85" s="178"/>
      <c r="T85" s="180"/>
      <c r="U85" s="853" t="s">
        <v>705</v>
      </c>
      <c r="V85" s="854"/>
      <c r="W85" s="854"/>
      <c r="X85" s="854"/>
      <c r="Y85" s="854"/>
      <c r="Z85" s="854"/>
      <c r="AA85" s="854"/>
      <c r="AB85" s="854"/>
      <c r="AC85" s="854"/>
      <c r="AD85" s="854"/>
      <c r="AE85" s="854"/>
      <c r="AF85" s="854"/>
      <c r="AG85" s="854"/>
      <c r="AH85" s="854"/>
      <c r="AI85" s="854"/>
      <c r="AJ85" s="854"/>
      <c r="AK85" s="854"/>
      <c r="AL85" s="854"/>
      <c r="AM85" s="854"/>
      <c r="AN85" s="854"/>
      <c r="AO85" s="854"/>
      <c r="AP85" s="854"/>
      <c r="AQ85" s="854"/>
      <c r="AR85" s="854"/>
      <c r="AS85" s="854"/>
      <c r="AT85" s="854"/>
      <c r="AU85" s="854"/>
      <c r="AV85" s="854"/>
      <c r="AW85" s="854"/>
      <c r="AX85" s="855"/>
      <c r="AY85" s="220"/>
      <c r="BF85" s="177"/>
      <c r="BG85" s="177"/>
      <c r="BH85" s="177"/>
      <c r="BI85" s="177"/>
    </row>
    <row r="86" spans="2:63" ht="48.75" customHeight="1" x14ac:dyDescent="0.25">
      <c r="C86" s="446" t="s">
        <v>647</v>
      </c>
      <c r="D86" s="446"/>
      <c r="E86" s="446"/>
      <c r="F86" s="218" t="s">
        <v>648</v>
      </c>
      <c r="G86" s="716" t="s">
        <v>649</v>
      </c>
      <c r="H86" s="716"/>
      <c r="I86" s="716"/>
      <c r="J86" s="716"/>
      <c r="K86" s="716"/>
      <c r="L86" s="716" t="s">
        <v>650</v>
      </c>
      <c r="M86" s="716"/>
      <c r="N86" s="716"/>
      <c r="O86" s="716"/>
      <c r="P86" s="716"/>
      <c r="Q86" s="716"/>
      <c r="S86" s="181"/>
      <c r="T86" s="183"/>
      <c r="U86" s="106"/>
      <c r="V86" s="826" t="s">
        <v>649</v>
      </c>
      <c r="W86" s="826"/>
      <c r="X86" s="826"/>
      <c r="Y86" s="826"/>
      <c r="Z86" s="826"/>
      <c r="AA86" s="826"/>
      <c r="AB86" s="236"/>
      <c r="AC86" s="826" t="s">
        <v>650</v>
      </c>
      <c r="AD86" s="826"/>
      <c r="AE86" s="826"/>
      <c r="AF86" s="826"/>
      <c r="AG86" s="826"/>
      <c r="AH86" s="826"/>
      <c r="AI86" s="827"/>
      <c r="AJ86" s="181"/>
      <c r="AK86" s="182"/>
      <c r="AL86" s="260"/>
      <c r="AM86" s="826" t="s">
        <v>649</v>
      </c>
      <c r="AN86" s="826"/>
      <c r="AO86" s="826"/>
      <c r="AP86" s="826"/>
      <c r="AQ86" s="826"/>
      <c r="AR86" s="826"/>
      <c r="AS86" s="725"/>
      <c r="AT86" s="826" t="s">
        <v>650</v>
      </c>
      <c r="AU86" s="826"/>
      <c r="AV86" s="826"/>
      <c r="AW86" s="826"/>
      <c r="AX86" s="826"/>
      <c r="AY86" s="826"/>
      <c r="BF86" s="177"/>
      <c r="BG86" s="177"/>
      <c r="BH86" s="177"/>
      <c r="BI86" s="177"/>
    </row>
    <row r="87" spans="2:63" ht="48.75" customHeight="1" x14ac:dyDescent="0.25">
      <c r="C87" s="446"/>
      <c r="D87" s="446"/>
      <c r="E87" s="446"/>
      <c r="F87" s="218" t="s">
        <v>590</v>
      </c>
      <c r="G87" s="218" t="s">
        <v>547</v>
      </c>
      <c r="H87" s="218">
        <v>4</v>
      </c>
      <c r="I87" s="218">
        <v>6</v>
      </c>
      <c r="J87" s="218">
        <v>8</v>
      </c>
      <c r="K87" s="218" t="s">
        <v>651</v>
      </c>
      <c r="L87" s="218">
        <v>2</v>
      </c>
      <c r="M87" s="218">
        <v>4</v>
      </c>
      <c r="N87" s="218">
        <v>6</v>
      </c>
      <c r="O87" s="218">
        <v>8</v>
      </c>
      <c r="P87" s="218">
        <v>10</v>
      </c>
      <c r="Q87" s="218">
        <v>12</v>
      </c>
      <c r="S87" s="181"/>
      <c r="T87" s="822" t="s">
        <v>590</v>
      </c>
      <c r="U87" s="383"/>
      <c r="V87" s="218">
        <v>2</v>
      </c>
      <c r="W87" s="218">
        <v>4</v>
      </c>
      <c r="X87" s="218">
        <v>6</v>
      </c>
      <c r="Y87" s="218">
        <v>8</v>
      </c>
      <c r="Z87" s="218">
        <v>10</v>
      </c>
      <c r="AA87" s="218">
        <v>12</v>
      </c>
      <c r="AB87" s="236"/>
      <c r="AC87" s="218">
        <v>2</v>
      </c>
      <c r="AD87" s="218">
        <v>4</v>
      </c>
      <c r="AE87" s="218">
        <v>6</v>
      </c>
      <c r="AF87" s="218">
        <v>8</v>
      </c>
      <c r="AG87" s="218">
        <v>10</v>
      </c>
      <c r="AH87" s="218">
        <v>12</v>
      </c>
      <c r="AI87" s="827"/>
      <c r="AJ87" s="181"/>
      <c r="AK87" s="729" t="s">
        <v>890</v>
      </c>
      <c r="AL87" s="729"/>
      <c r="AM87" s="264" t="s">
        <v>604</v>
      </c>
      <c r="AN87" s="727" t="s">
        <v>667</v>
      </c>
      <c r="AO87" s="728"/>
      <c r="AP87" s="728"/>
      <c r="AQ87" s="797"/>
      <c r="AR87" s="264" t="s">
        <v>604</v>
      </c>
      <c r="AS87" s="726"/>
      <c r="AT87" s="264" t="s">
        <v>604</v>
      </c>
      <c r="AU87" s="727" t="s">
        <v>667</v>
      </c>
      <c r="AV87" s="728"/>
      <c r="AW87" s="728"/>
      <c r="AX87" s="797"/>
      <c r="AY87" s="264" t="s">
        <v>604</v>
      </c>
      <c r="BF87" s="177"/>
      <c r="BG87" s="177"/>
      <c r="BH87" s="177"/>
      <c r="BI87" s="177"/>
    </row>
    <row r="88" spans="2:63" ht="48.75" customHeight="1" x14ac:dyDescent="0.25">
      <c r="B88" s="266">
        <v>1</v>
      </c>
      <c r="C88" s="446" t="s">
        <v>652</v>
      </c>
      <c r="D88" s="446"/>
      <c r="E88" s="446"/>
      <c r="F88" s="218" t="s">
        <v>885</v>
      </c>
      <c r="G88" s="446" t="s">
        <v>653</v>
      </c>
      <c r="H88" s="446"/>
      <c r="I88" s="446"/>
      <c r="J88" s="218" t="s">
        <v>654</v>
      </c>
      <c r="K88" s="218" t="s">
        <v>655</v>
      </c>
      <c r="L88" s="446" t="s">
        <v>656</v>
      </c>
      <c r="M88" s="446"/>
      <c r="N88" s="446"/>
      <c r="O88" s="446" t="s">
        <v>657</v>
      </c>
      <c r="P88" s="446"/>
      <c r="Q88" s="218" t="s">
        <v>658</v>
      </c>
      <c r="S88" s="181"/>
      <c r="T88" s="822" t="s">
        <v>890</v>
      </c>
      <c r="U88" s="383"/>
      <c r="V88" s="264" t="s">
        <v>604</v>
      </c>
      <c r="W88" s="727" t="s">
        <v>652</v>
      </c>
      <c r="X88" s="728"/>
      <c r="Y88" s="728"/>
      <c r="Z88" s="797"/>
      <c r="AA88" s="264" t="s">
        <v>604</v>
      </c>
      <c r="AB88" s="236"/>
      <c r="AC88" s="264" t="s">
        <v>604</v>
      </c>
      <c r="AD88" s="727" t="s">
        <v>652</v>
      </c>
      <c r="AE88" s="728"/>
      <c r="AF88" s="728"/>
      <c r="AG88" s="797"/>
      <c r="AH88" s="264" t="s">
        <v>604</v>
      </c>
      <c r="AI88" s="827"/>
      <c r="AJ88" s="181"/>
      <c r="AK88" s="822" t="s">
        <v>891</v>
      </c>
      <c r="AL88" s="383"/>
      <c r="AM88" s="258"/>
      <c r="AN88" s="727" t="s">
        <v>902</v>
      </c>
      <c r="AO88" s="728"/>
      <c r="AP88" s="728"/>
      <c r="AQ88" s="797"/>
      <c r="AR88" s="258"/>
      <c r="AS88" s="726"/>
      <c r="AT88" s="258"/>
      <c r="AU88" s="727" t="s">
        <v>668</v>
      </c>
      <c r="AV88" s="728"/>
      <c r="AW88" s="728"/>
      <c r="AX88" s="797"/>
      <c r="AY88" s="258"/>
      <c r="BF88" s="177"/>
      <c r="BG88" s="177"/>
      <c r="BH88" s="177"/>
      <c r="BI88" s="177"/>
    </row>
    <row r="89" spans="2:63" ht="48.75" customHeight="1" x14ac:dyDescent="0.25">
      <c r="B89" s="266">
        <v>2</v>
      </c>
      <c r="C89" s="707" t="s">
        <v>895</v>
      </c>
      <c r="D89" s="708"/>
      <c r="E89" s="719"/>
      <c r="F89" s="711" t="s">
        <v>84</v>
      </c>
      <c r="G89" s="707" t="s">
        <v>659</v>
      </c>
      <c r="H89" s="708"/>
      <c r="I89" s="708"/>
      <c r="J89" s="719"/>
      <c r="K89" s="711" t="s">
        <v>660</v>
      </c>
      <c r="L89" s="711" t="s">
        <v>661</v>
      </c>
      <c r="M89" s="707" t="s">
        <v>662</v>
      </c>
      <c r="N89" s="708"/>
      <c r="O89" s="719"/>
      <c r="P89" s="707" t="s">
        <v>659</v>
      </c>
      <c r="Q89" s="719"/>
      <c r="S89" s="181"/>
      <c r="T89" s="822" t="s">
        <v>189</v>
      </c>
      <c r="U89" s="383"/>
      <c r="V89" s="718" t="s">
        <v>653</v>
      </c>
      <c r="W89" s="718"/>
      <c r="X89" s="718"/>
      <c r="Y89" s="218" t="s">
        <v>654</v>
      </c>
      <c r="Z89" s="800" t="s">
        <v>888</v>
      </c>
      <c r="AA89" s="788"/>
      <c r="AB89" s="237"/>
      <c r="AC89" s="727" t="s">
        <v>656</v>
      </c>
      <c r="AD89" s="728"/>
      <c r="AE89" s="797"/>
      <c r="AF89" s="727" t="s">
        <v>657</v>
      </c>
      <c r="AG89" s="797"/>
      <c r="AH89" s="226" t="s">
        <v>658</v>
      </c>
      <c r="AI89" s="725"/>
      <c r="AJ89" s="181"/>
      <c r="AK89" s="822" t="s">
        <v>590</v>
      </c>
      <c r="AL89" s="383"/>
      <c r="AM89" s="218">
        <v>2</v>
      </c>
      <c r="AN89" s="218">
        <v>4</v>
      </c>
      <c r="AO89" s="218">
        <v>6</v>
      </c>
      <c r="AP89" s="218">
        <v>8</v>
      </c>
      <c r="AQ89" s="218">
        <v>10</v>
      </c>
      <c r="AR89" s="218">
        <v>12</v>
      </c>
      <c r="AS89" s="726"/>
      <c r="AT89" s="218">
        <v>2</v>
      </c>
      <c r="AU89" s="218">
        <v>4</v>
      </c>
      <c r="AV89" s="218">
        <v>6</v>
      </c>
      <c r="AW89" s="218">
        <v>8</v>
      </c>
      <c r="AX89" s="218">
        <v>10</v>
      </c>
      <c r="AY89" s="218">
        <v>12</v>
      </c>
      <c r="BF89" s="177"/>
      <c r="BG89" s="177"/>
      <c r="BH89" s="177"/>
      <c r="BI89" s="177"/>
    </row>
    <row r="90" spans="2:63" ht="48.75" customHeight="1" x14ac:dyDescent="0.25">
      <c r="B90" s="266">
        <v>3</v>
      </c>
      <c r="C90" s="709"/>
      <c r="D90" s="710"/>
      <c r="E90" s="724"/>
      <c r="F90" s="802"/>
      <c r="G90" s="709"/>
      <c r="H90" s="710"/>
      <c r="I90" s="710"/>
      <c r="J90" s="724"/>
      <c r="K90" s="802"/>
      <c r="L90" s="802"/>
      <c r="M90" s="709"/>
      <c r="N90" s="710"/>
      <c r="O90" s="724"/>
      <c r="P90" s="709"/>
      <c r="Q90" s="724"/>
      <c r="S90" s="181"/>
      <c r="T90" s="242"/>
      <c r="U90" s="848" t="s">
        <v>889</v>
      </c>
      <c r="V90" s="224">
        <v>1.4</v>
      </c>
      <c r="W90" s="224">
        <v>1.4</v>
      </c>
      <c r="X90" s="224">
        <v>1.4</v>
      </c>
      <c r="Y90" s="222">
        <v>1.1499999999999999</v>
      </c>
      <c r="Z90" s="222">
        <v>1.1000000000000001</v>
      </c>
      <c r="AA90" s="222">
        <v>1.1000000000000001</v>
      </c>
      <c r="AB90" s="242"/>
      <c r="AC90" s="222"/>
      <c r="AD90" s="222"/>
      <c r="AE90" s="222"/>
      <c r="AF90" s="222"/>
      <c r="AG90" s="222"/>
      <c r="AH90" s="222"/>
      <c r="AI90" s="239"/>
      <c r="AJ90" s="181"/>
      <c r="AK90" s="729" t="s">
        <v>189</v>
      </c>
      <c r="AL90" s="729"/>
      <c r="AM90" s="21"/>
      <c r="AN90" s="21"/>
      <c r="AO90" s="21"/>
      <c r="AP90" s="21"/>
      <c r="AQ90" s="21"/>
      <c r="AR90" s="21"/>
      <c r="AS90" s="239"/>
      <c r="AT90" s="21"/>
      <c r="AU90" s="21"/>
      <c r="AV90" s="21"/>
      <c r="AW90" s="21"/>
      <c r="AX90" s="21"/>
      <c r="AY90" s="21"/>
      <c r="BF90" s="177"/>
      <c r="BG90" s="177"/>
      <c r="BH90" s="177"/>
      <c r="BI90" s="177"/>
    </row>
    <row r="91" spans="2:63" ht="48.75" customHeight="1" x14ac:dyDescent="0.25">
      <c r="B91" s="844">
        <v>4</v>
      </c>
      <c r="C91" s="717" t="s">
        <v>663</v>
      </c>
      <c r="D91" s="446" t="s">
        <v>664</v>
      </c>
      <c r="E91" s="446"/>
      <c r="F91" s="446" t="s">
        <v>697</v>
      </c>
      <c r="G91" s="446" t="s">
        <v>665</v>
      </c>
      <c r="H91" s="446"/>
      <c r="I91" s="446"/>
      <c r="J91" s="446"/>
      <c r="K91" s="446"/>
      <c r="L91" s="711" t="s">
        <v>661</v>
      </c>
      <c r="M91" s="707" t="s">
        <v>662</v>
      </c>
      <c r="N91" s="708"/>
      <c r="O91" s="708"/>
      <c r="P91" s="708"/>
      <c r="Q91" s="719"/>
      <c r="S91" s="181"/>
      <c r="T91" s="239"/>
      <c r="U91" s="849"/>
      <c r="V91" s="224">
        <v>1.41</v>
      </c>
      <c r="W91" s="224">
        <v>1.41</v>
      </c>
      <c r="X91" s="224">
        <v>1.41</v>
      </c>
      <c r="Y91" s="222">
        <v>1.1599999999999999</v>
      </c>
      <c r="Z91" s="222">
        <v>1.1100000000000001</v>
      </c>
      <c r="AA91" s="222">
        <v>1.1100000000000001</v>
      </c>
      <c r="AB91" s="239"/>
      <c r="AC91" s="222"/>
      <c r="AD91" s="222"/>
      <c r="AE91" s="222"/>
      <c r="AF91" s="222"/>
      <c r="AG91" s="222"/>
      <c r="AH91" s="222"/>
      <c r="AI91" s="239"/>
      <c r="AJ91" s="181"/>
      <c r="AK91" s="239"/>
      <c r="AL91" s="845" t="s">
        <v>898</v>
      </c>
      <c r="AM91" s="21"/>
      <c r="AN91" s="21"/>
      <c r="AO91" s="21"/>
      <c r="AP91" s="21"/>
      <c r="AQ91" s="21"/>
      <c r="AR91" s="21"/>
      <c r="AS91" s="239"/>
      <c r="AT91" s="21"/>
      <c r="AU91" s="21"/>
      <c r="AV91" s="21"/>
      <c r="AW91" s="21"/>
      <c r="AX91" s="21"/>
      <c r="AY91" s="21"/>
      <c r="BF91" s="177"/>
      <c r="BG91" s="177"/>
      <c r="BH91" s="177"/>
      <c r="BI91" s="177"/>
    </row>
    <row r="92" spans="2:63" ht="48.75" customHeight="1" x14ac:dyDescent="0.25">
      <c r="B92" s="844"/>
      <c r="C92" s="717"/>
      <c r="D92" s="446"/>
      <c r="E92" s="446"/>
      <c r="F92" s="446"/>
      <c r="G92" s="446"/>
      <c r="H92" s="446"/>
      <c r="I92" s="446"/>
      <c r="J92" s="446"/>
      <c r="K92" s="446"/>
      <c r="L92" s="802"/>
      <c r="M92" s="709"/>
      <c r="N92" s="710"/>
      <c r="O92" s="710"/>
      <c r="P92" s="710"/>
      <c r="Q92" s="724"/>
      <c r="S92" s="181"/>
      <c r="T92" s="239"/>
      <c r="U92" s="849"/>
      <c r="V92" s="224">
        <v>1.42</v>
      </c>
      <c r="W92" s="224">
        <v>1.42</v>
      </c>
      <c r="X92" s="224">
        <v>1.42</v>
      </c>
      <c r="Y92" s="222">
        <v>1.17</v>
      </c>
      <c r="Z92" s="222">
        <v>1.1200000000000001</v>
      </c>
      <c r="AA92" s="222">
        <v>1.1200000000000001</v>
      </c>
      <c r="AB92" s="239"/>
      <c r="AC92" s="222"/>
      <c r="AD92" s="222"/>
      <c r="AE92" s="222"/>
      <c r="AF92" s="222"/>
      <c r="AG92" s="222"/>
      <c r="AH92" s="222"/>
      <c r="AI92" s="239"/>
      <c r="AJ92" s="181"/>
      <c r="AK92" s="239"/>
      <c r="AL92" s="846"/>
      <c r="AM92" s="21"/>
      <c r="AN92" s="21"/>
      <c r="AO92" s="21"/>
      <c r="AP92" s="21"/>
      <c r="AQ92" s="21"/>
      <c r="AR92" s="21"/>
      <c r="AS92" s="239"/>
      <c r="AT92" s="21"/>
      <c r="AU92" s="21"/>
      <c r="AV92" s="21"/>
      <c r="AW92" s="21"/>
      <c r="AX92" s="21"/>
      <c r="AY92" s="21"/>
      <c r="BF92" s="177"/>
      <c r="BG92" s="177"/>
      <c r="BH92" s="177"/>
      <c r="BI92" s="177"/>
    </row>
    <row r="93" spans="2:63" ht="48.75" customHeight="1" x14ac:dyDescent="0.25">
      <c r="B93" s="844">
        <v>5</v>
      </c>
      <c r="C93" s="717"/>
      <c r="D93" s="446" t="s">
        <v>666</v>
      </c>
      <c r="E93" s="446"/>
      <c r="F93" s="446" t="s">
        <v>697</v>
      </c>
      <c r="G93" s="446" t="s">
        <v>660</v>
      </c>
      <c r="H93" s="446"/>
      <c r="I93" s="446"/>
      <c r="J93" s="446"/>
      <c r="K93" s="446"/>
      <c r="L93" s="707" t="s">
        <v>659</v>
      </c>
      <c r="M93" s="708"/>
      <c r="N93" s="708"/>
      <c r="O93" s="708"/>
      <c r="P93" s="708"/>
      <c r="Q93" s="719"/>
      <c r="S93" s="181"/>
      <c r="T93" s="239"/>
      <c r="U93" s="849"/>
      <c r="V93" s="224">
        <v>1.43</v>
      </c>
      <c r="W93" s="224">
        <v>1.43</v>
      </c>
      <c r="X93" s="224">
        <v>1.43</v>
      </c>
      <c r="Y93" s="222">
        <v>1.18</v>
      </c>
      <c r="Z93" s="222">
        <v>1.1299999999999999</v>
      </c>
      <c r="AA93" s="222">
        <v>1.1299999999999999</v>
      </c>
      <c r="AB93" s="239"/>
      <c r="AC93" s="222"/>
      <c r="AD93" s="222"/>
      <c r="AE93" s="222"/>
      <c r="AF93" s="222"/>
      <c r="AG93" s="222"/>
      <c r="AH93" s="222"/>
      <c r="AI93" s="239"/>
      <c r="AJ93" s="181"/>
      <c r="AK93" s="239"/>
      <c r="AL93" s="846"/>
      <c r="AM93" s="21"/>
      <c r="AN93" s="21"/>
      <c r="AO93" s="21"/>
      <c r="AP93" s="21"/>
      <c r="AQ93" s="21"/>
      <c r="AR93" s="21"/>
      <c r="AS93" s="239"/>
      <c r="AT93" s="21"/>
      <c r="AU93" s="21"/>
      <c r="AV93" s="21"/>
      <c r="AW93" s="21"/>
      <c r="AX93" s="21"/>
      <c r="AY93" s="21"/>
      <c r="BF93" s="177"/>
      <c r="BG93" s="177"/>
      <c r="BH93" s="177"/>
      <c r="BI93" s="177"/>
    </row>
    <row r="94" spans="2:63" ht="48.75" customHeight="1" x14ac:dyDescent="0.25">
      <c r="B94" s="844"/>
      <c r="C94" s="717"/>
      <c r="D94" s="446"/>
      <c r="E94" s="446"/>
      <c r="F94" s="446"/>
      <c r="G94" s="446"/>
      <c r="H94" s="446"/>
      <c r="I94" s="446"/>
      <c r="J94" s="446"/>
      <c r="K94" s="446"/>
      <c r="L94" s="709"/>
      <c r="M94" s="710"/>
      <c r="N94" s="710"/>
      <c r="O94" s="710"/>
      <c r="P94" s="710"/>
      <c r="Q94" s="724"/>
      <c r="S94" s="181"/>
      <c r="T94" s="239"/>
      <c r="U94" s="849"/>
      <c r="V94" s="224">
        <v>1.44</v>
      </c>
      <c r="W94" s="224">
        <v>1.44</v>
      </c>
      <c r="X94" s="224">
        <v>1.44</v>
      </c>
      <c r="Y94" s="222">
        <v>1.19</v>
      </c>
      <c r="Z94" s="222">
        <v>1.1399999999999999</v>
      </c>
      <c r="AA94" s="222">
        <v>1.1399999999999999</v>
      </c>
      <c r="AB94" s="239"/>
      <c r="AC94" s="222"/>
      <c r="AD94" s="222"/>
      <c r="AE94" s="222"/>
      <c r="AF94" s="222"/>
      <c r="AG94" s="222"/>
      <c r="AH94" s="222"/>
      <c r="AI94" s="239"/>
      <c r="AJ94" s="181"/>
      <c r="AK94" s="239"/>
      <c r="AL94" s="846"/>
      <c r="AM94" s="21"/>
      <c r="AN94" s="21"/>
      <c r="AO94" s="21"/>
      <c r="AP94" s="21"/>
      <c r="AQ94" s="21"/>
      <c r="AR94" s="21"/>
      <c r="AS94" s="239"/>
      <c r="AT94" s="21"/>
      <c r="AU94" s="21"/>
      <c r="AV94" s="21"/>
      <c r="AW94" s="21"/>
      <c r="AX94" s="21"/>
      <c r="AY94" s="21"/>
      <c r="BF94" s="177"/>
      <c r="BG94" s="177"/>
      <c r="BH94" s="177"/>
      <c r="BI94" s="177"/>
    </row>
    <row r="95" spans="2:63" ht="48.75" customHeight="1" x14ac:dyDescent="0.25">
      <c r="B95" s="266">
        <v>6</v>
      </c>
      <c r="C95" s="711" t="s">
        <v>667</v>
      </c>
      <c r="D95" s="446" t="s">
        <v>668</v>
      </c>
      <c r="E95" s="446"/>
      <c r="F95" s="218" t="s">
        <v>886</v>
      </c>
      <c r="G95" s="218" t="s">
        <v>669</v>
      </c>
      <c r="H95" s="218" t="s">
        <v>670</v>
      </c>
      <c r="I95" s="218" t="s">
        <v>671</v>
      </c>
      <c r="J95" s="446" t="s">
        <v>672</v>
      </c>
      <c r="K95" s="446"/>
      <c r="L95" s="218" t="s">
        <v>673</v>
      </c>
      <c r="M95" s="218" t="s">
        <v>674</v>
      </c>
      <c r="N95" s="218" t="s">
        <v>670</v>
      </c>
      <c r="O95" s="446" t="s">
        <v>675</v>
      </c>
      <c r="P95" s="446"/>
      <c r="Q95" s="446"/>
      <c r="S95" s="181"/>
      <c r="T95" s="239"/>
      <c r="U95" s="849"/>
      <c r="V95" s="224">
        <v>1.45</v>
      </c>
      <c r="W95" s="224">
        <v>1.45</v>
      </c>
      <c r="X95" s="224">
        <v>1.45</v>
      </c>
      <c r="Y95" s="222">
        <v>1.2</v>
      </c>
      <c r="Z95" s="222">
        <v>1.1499999999999999</v>
      </c>
      <c r="AA95" s="222">
        <v>1.1499999999999999</v>
      </c>
      <c r="AB95" s="239"/>
      <c r="AC95" s="222"/>
      <c r="AD95" s="222"/>
      <c r="AE95" s="222"/>
      <c r="AF95" s="222"/>
      <c r="AG95" s="222"/>
      <c r="AH95" s="222"/>
      <c r="AI95" s="239"/>
      <c r="AJ95" s="181"/>
      <c r="AK95" s="239"/>
      <c r="AL95" s="846"/>
      <c r="AM95" s="21"/>
      <c r="AN95" s="21"/>
      <c r="AO95" s="21"/>
      <c r="AP95" s="21"/>
      <c r="AQ95" s="21"/>
      <c r="AR95" s="21"/>
      <c r="AS95" s="239"/>
      <c r="AT95" s="21"/>
      <c r="AU95" s="21"/>
      <c r="AV95" s="21"/>
      <c r="AW95" s="21"/>
      <c r="AX95" s="21"/>
      <c r="AY95" s="21"/>
      <c r="BF95" s="177"/>
      <c r="BG95" s="177"/>
      <c r="BH95" s="177"/>
      <c r="BI95" s="177"/>
    </row>
    <row r="96" spans="2:63" ht="48.75" customHeight="1" x14ac:dyDescent="0.25">
      <c r="B96" s="266">
        <v>7</v>
      </c>
      <c r="C96" s="712"/>
      <c r="D96" s="446" t="s">
        <v>676</v>
      </c>
      <c r="E96" s="446"/>
      <c r="F96" s="218" t="s">
        <v>886</v>
      </c>
      <c r="G96" s="218" t="s">
        <v>339</v>
      </c>
      <c r="H96" s="218" t="s">
        <v>670</v>
      </c>
      <c r="I96" s="218" t="s">
        <v>677</v>
      </c>
      <c r="J96" s="446" t="s">
        <v>678</v>
      </c>
      <c r="K96" s="446"/>
      <c r="L96" s="218" t="s">
        <v>339</v>
      </c>
      <c r="M96" s="218" t="s">
        <v>674</v>
      </c>
      <c r="N96" s="218" t="s">
        <v>671</v>
      </c>
      <c r="O96" s="446" t="s">
        <v>672</v>
      </c>
      <c r="P96" s="446"/>
      <c r="Q96" s="446"/>
      <c r="S96" s="181"/>
      <c r="T96" s="239"/>
      <c r="U96" s="849"/>
      <c r="V96" s="224">
        <v>1.46</v>
      </c>
      <c r="W96" s="224">
        <v>1.46</v>
      </c>
      <c r="X96" s="224">
        <v>1.46</v>
      </c>
      <c r="Y96" s="222">
        <v>1.21</v>
      </c>
      <c r="Z96" s="222">
        <v>1.1599999999999999</v>
      </c>
      <c r="AA96" s="222">
        <v>1.1599999999999999</v>
      </c>
      <c r="AB96" s="239"/>
      <c r="AC96" s="222"/>
      <c r="AD96" s="222"/>
      <c r="AE96" s="222"/>
      <c r="AF96" s="222"/>
      <c r="AG96" s="222"/>
      <c r="AH96" s="222"/>
      <c r="AI96" s="239"/>
      <c r="AJ96" s="181"/>
      <c r="AK96" s="239"/>
      <c r="AL96" s="846"/>
      <c r="AM96" s="21"/>
      <c r="AN96" s="21"/>
      <c r="AO96" s="21"/>
      <c r="AP96" s="21"/>
      <c r="AQ96" s="21"/>
      <c r="AR96" s="21"/>
      <c r="AS96" s="239"/>
      <c r="AT96" s="21"/>
      <c r="AU96" s="21"/>
      <c r="AV96" s="21"/>
      <c r="AW96" s="21"/>
      <c r="AX96" s="21"/>
      <c r="AY96" s="21"/>
      <c r="BC96" s="158"/>
      <c r="BD96" s="158"/>
      <c r="BE96" s="158"/>
      <c r="BF96" s="177"/>
      <c r="BG96" s="177"/>
      <c r="BH96" s="177"/>
      <c r="BI96" s="177"/>
      <c r="BJ96" s="158"/>
      <c r="BK96" s="158"/>
    </row>
    <row r="97" spans="2:120" ht="48.75" customHeight="1" x14ac:dyDescent="0.25">
      <c r="B97" s="266">
        <v>8</v>
      </c>
      <c r="C97" s="712"/>
      <c r="D97" s="446" t="s">
        <v>679</v>
      </c>
      <c r="E97" s="446"/>
      <c r="F97" s="218" t="s">
        <v>886</v>
      </c>
      <c r="G97" s="218" t="s">
        <v>339</v>
      </c>
      <c r="H97" s="218" t="s">
        <v>673</v>
      </c>
      <c r="I97" s="218" t="s">
        <v>680</v>
      </c>
      <c r="J97" s="446" t="s">
        <v>681</v>
      </c>
      <c r="K97" s="446"/>
      <c r="L97" s="218" t="s">
        <v>339</v>
      </c>
      <c r="M97" s="218" t="s">
        <v>669</v>
      </c>
      <c r="N97" s="218" t="s">
        <v>682</v>
      </c>
      <c r="O97" s="446" t="s">
        <v>683</v>
      </c>
      <c r="P97" s="446"/>
      <c r="Q97" s="446"/>
      <c r="S97" s="181"/>
      <c r="T97" s="239"/>
      <c r="U97" s="849"/>
      <c r="V97" s="224">
        <v>1.47</v>
      </c>
      <c r="W97" s="224">
        <v>1.47</v>
      </c>
      <c r="X97" s="224">
        <v>1.47</v>
      </c>
      <c r="Y97" s="222">
        <v>1.22</v>
      </c>
      <c r="Z97" s="222">
        <v>1.17</v>
      </c>
      <c r="AA97" s="222">
        <v>1.17</v>
      </c>
      <c r="AB97" s="239"/>
      <c r="AC97" s="222"/>
      <c r="AD97" s="222"/>
      <c r="AE97" s="222"/>
      <c r="AF97" s="222"/>
      <c r="AG97" s="222"/>
      <c r="AH97" s="222"/>
      <c r="AI97" s="239"/>
      <c r="AJ97" s="181"/>
      <c r="AK97" s="239"/>
      <c r="AL97" s="846"/>
      <c r="AM97" s="21"/>
      <c r="AN97" s="21"/>
      <c r="AO97" s="21"/>
      <c r="AP97" s="21"/>
      <c r="AQ97" s="21"/>
      <c r="AR97" s="21"/>
      <c r="AS97" s="239"/>
      <c r="AT97" s="21"/>
      <c r="AU97" s="21"/>
      <c r="AV97" s="21"/>
      <c r="AW97" s="21"/>
      <c r="AX97" s="21"/>
      <c r="AY97" s="21"/>
      <c r="BC97" s="158"/>
      <c r="BD97" s="158"/>
      <c r="BE97" s="158"/>
      <c r="BF97" s="177"/>
      <c r="BG97" s="177"/>
      <c r="BH97" s="177"/>
      <c r="BI97" s="177"/>
      <c r="BJ97" s="158"/>
      <c r="BK97" s="158"/>
    </row>
    <row r="98" spans="2:120" ht="48.75" customHeight="1" x14ac:dyDescent="0.25">
      <c r="B98" s="844">
        <v>9</v>
      </c>
      <c r="C98" s="707" t="s">
        <v>896</v>
      </c>
      <c r="D98" s="708"/>
      <c r="E98" s="719"/>
      <c r="F98" s="711" t="s">
        <v>85</v>
      </c>
      <c r="G98" s="707" t="s">
        <v>684</v>
      </c>
      <c r="H98" s="708"/>
      <c r="I98" s="708"/>
      <c r="J98" s="708"/>
      <c r="K98" s="719"/>
      <c r="L98" s="707" t="s">
        <v>685</v>
      </c>
      <c r="M98" s="708"/>
      <c r="N98" s="708"/>
      <c r="O98" s="708"/>
      <c r="P98" s="708"/>
      <c r="Q98" s="719"/>
      <c r="S98" s="181"/>
      <c r="T98" s="239"/>
      <c r="U98" s="849"/>
      <c r="V98" s="224">
        <v>1.48</v>
      </c>
      <c r="W98" s="224">
        <v>1.48</v>
      </c>
      <c r="X98" s="224">
        <v>1.48</v>
      </c>
      <c r="Y98" s="222">
        <v>1.23</v>
      </c>
      <c r="Z98" s="222">
        <v>1.18</v>
      </c>
      <c r="AA98" s="222">
        <v>1.18</v>
      </c>
      <c r="AB98" s="239"/>
      <c r="AC98" s="222"/>
      <c r="AD98" s="222"/>
      <c r="AE98" s="222"/>
      <c r="AF98" s="222"/>
      <c r="AG98" s="222"/>
      <c r="AH98" s="222"/>
      <c r="AI98" s="239"/>
      <c r="AJ98" s="181"/>
      <c r="AK98" s="239"/>
      <c r="AL98" s="846"/>
      <c r="AM98" s="21"/>
      <c r="AN98" s="21"/>
      <c r="AO98" s="21"/>
      <c r="AP98" s="21"/>
      <c r="AQ98" s="21"/>
      <c r="AR98" s="21"/>
      <c r="AS98" s="239"/>
      <c r="AT98" s="21"/>
      <c r="AU98" s="21"/>
      <c r="AV98" s="21"/>
      <c r="AW98" s="21"/>
      <c r="AX98" s="21"/>
      <c r="AY98" s="21"/>
      <c r="BC98" s="158"/>
      <c r="BD98" s="158"/>
      <c r="BE98" s="158"/>
      <c r="BF98" s="177"/>
      <c r="BG98" s="177"/>
      <c r="BH98" s="177"/>
      <c r="BI98" s="177"/>
      <c r="BJ98" s="158"/>
      <c r="BK98" s="158"/>
      <c r="CH98" s="129"/>
      <c r="CI98" s="129"/>
      <c r="CJ98" s="129"/>
      <c r="CK98" s="126"/>
      <c r="CL98" s="126"/>
      <c r="CM98" s="127"/>
      <c r="CN98" s="127"/>
      <c r="CO98" s="126"/>
      <c r="CP98" s="126"/>
      <c r="CQ98" s="127"/>
      <c r="CR98" s="127"/>
      <c r="CS98" s="126"/>
      <c r="CT98" s="126"/>
      <c r="CU98" s="127"/>
      <c r="CV98" s="127"/>
      <c r="CW98" s="126"/>
      <c r="CX98" s="126"/>
    </row>
    <row r="99" spans="2:120" ht="48.75" customHeight="1" x14ac:dyDescent="0.25">
      <c r="B99" s="844"/>
      <c r="C99" s="709"/>
      <c r="D99" s="710"/>
      <c r="E99" s="724"/>
      <c r="F99" s="802"/>
      <c r="G99" s="709"/>
      <c r="H99" s="710"/>
      <c r="I99" s="710"/>
      <c r="J99" s="710"/>
      <c r="K99" s="724"/>
      <c r="L99" s="709"/>
      <c r="M99" s="710"/>
      <c r="N99" s="710"/>
      <c r="O99" s="710"/>
      <c r="P99" s="710"/>
      <c r="Q99" s="724"/>
      <c r="S99" s="181"/>
      <c r="T99" s="239"/>
      <c r="U99" s="849"/>
      <c r="V99" s="224">
        <v>1.49</v>
      </c>
      <c r="W99" s="224">
        <v>1.49</v>
      </c>
      <c r="X99" s="224">
        <v>1.49</v>
      </c>
      <c r="Y99" s="222">
        <v>1.24</v>
      </c>
      <c r="Z99" s="222">
        <v>1.19</v>
      </c>
      <c r="AA99" s="222">
        <v>1.19</v>
      </c>
      <c r="AB99" s="239"/>
      <c r="AC99" s="222"/>
      <c r="AD99" s="222"/>
      <c r="AE99" s="222"/>
      <c r="AF99" s="222"/>
      <c r="AG99" s="222"/>
      <c r="AH99" s="222"/>
      <c r="AI99" s="239"/>
      <c r="AJ99" s="181"/>
      <c r="AK99" s="239"/>
      <c r="AL99" s="846"/>
      <c r="AM99" s="21"/>
      <c r="AN99" s="21"/>
      <c r="AO99" s="21"/>
      <c r="AP99" s="21"/>
      <c r="AQ99" s="21"/>
      <c r="AR99" s="21"/>
      <c r="AS99" s="239"/>
      <c r="AT99" s="21"/>
      <c r="AU99" s="21"/>
      <c r="AV99" s="21"/>
      <c r="AW99" s="21"/>
      <c r="AX99" s="21"/>
      <c r="AY99" s="21"/>
      <c r="BC99" s="158"/>
      <c r="BD99" s="158"/>
      <c r="BE99" s="158"/>
      <c r="BF99" s="177"/>
      <c r="BG99" s="177"/>
      <c r="BH99" s="177"/>
      <c r="BI99" s="177"/>
      <c r="BJ99" s="158"/>
      <c r="BK99" s="158"/>
      <c r="CH99" s="129"/>
      <c r="CI99" s="129"/>
      <c r="CJ99" s="126"/>
      <c r="CK99" s="126"/>
      <c r="CL99" s="127"/>
      <c r="CM99" s="127"/>
      <c r="CN99" s="126"/>
      <c r="CO99" s="126"/>
      <c r="CP99" s="127"/>
      <c r="CQ99" s="127"/>
      <c r="CR99" s="126"/>
      <c r="CS99" s="126"/>
      <c r="CT99" s="127"/>
      <c r="CU99" s="127"/>
      <c r="CV99" s="126"/>
      <c r="CW99" s="126"/>
      <c r="CX99" s="22"/>
    </row>
    <row r="100" spans="2:120" ht="48.75" customHeight="1" x14ac:dyDescent="0.25">
      <c r="B100" s="844">
        <v>10</v>
      </c>
      <c r="C100" s="717" t="s">
        <v>686</v>
      </c>
      <c r="D100" s="717"/>
      <c r="E100" s="446" t="s">
        <v>687</v>
      </c>
      <c r="F100" s="711" t="s">
        <v>698</v>
      </c>
      <c r="G100" s="711" t="s">
        <v>339</v>
      </c>
      <c r="H100" s="711" t="s">
        <v>688</v>
      </c>
      <c r="I100" s="707" t="s">
        <v>689</v>
      </c>
      <c r="J100" s="708"/>
      <c r="K100" s="719"/>
      <c r="L100" s="711" t="s">
        <v>339</v>
      </c>
      <c r="M100" s="711" t="s">
        <v>660</v>
      </c>
      <c r="N100" s="707" t="s">
        <v>690</v>
      </c>
      <c r="O100" s="708"/>
      <c r="P100" s="708"/>
      <c r="Q100" s="719"/>
      <c r="S100" s="181"/>
      <c r="T100" s="239"/>
      <c r="U100" s="849"/>
      <c r="V100" s="224">
        <v>1.5</v>
      </c>
      <c r="W100" s="224">
        <v>1.5</v>
      </c>
      <c r="X100" s="224">
        <v>1.5</v>
      </c>
      <c r="Y100" s="222">
        <v>1.25</v>
      </c>
      <c r="Z100" s="222">
        <v>1.2</v>
      </c>
      <c r="AA100" s="222">
        <v>1.2</v>
      </c>
      <c r="AB100" s="239"/>
      <c r="AC100" s="222"/>
      <c r="AD100" s="222"/>
      <c r="AE100" s="222"/>
      <c r="AF100" s="222"/>
      <c r="AG100" s="222"/>
      <c r="AH100" s="222"/>
      <c r="AI100" s="239"/>
      <c r="AJ100" s="181"/>
      <c r="AK100" s="239"/>
      <c r="AL100" s="847"/>
      <c r="AM100" s="21"/>
      <c r="AN100" s="21"/>
      <c r="AO100" s="21"/>
      <c r="AP100" s="21"/>
      <c r="AQ100" s="21"/>
      <c r="AR100" s="21"/>
      <c r="AS100" s="239"/>
      <c r="AT100" s="21"/>
      <c r="AU100" s="21"/>
      <c r="AV100" s="21"/>
      <c r="AW100" s="21"/>
      <c r="AX100" s="21"/>
      <c r="AY100" s="21"/>
      <c r="BC100" s="158"/>
      <c r="BD100" s="158"/>
      <c r="BE100" s="158"/>
      <c r="BF100" s="177"/>
      <c r="BG100" s="177"/>
      <c r="BH100" s="177"/>
      <c r="BI100" s="177"/>
      <c r="BJ100" s="158"/>
      <c r="BK100" s="158"/>
      <c r="CH100" s="129"/>
      <c r="CI100" s="126"/>
      <c r="CJ100" s="126"/>
      <c r="CK100" s="127"/>
      <c r="CL100" s="127"/>
      <c r="CM100" s="126"/>
      <c r="CN100" s="126"/>
      <c r="CO100" s="127"/>
      <c r="CP100" s="127"/>
      <c r="CQ100" s="126"/>
      <c r="CR100" s="126"/>
      <c r="CS100" s="127"/>
      <c r="CT100" s="127"/>
      <c r="CU100" s="126"/>
      <c r="CV100" s="126"/>
      <c r="CW100" s="22"/>
      <c r="CX100" s="22"/>
    </row>
    <row r="101" spans="2:120" ht="48.75" customHeight="1" x14ac:dyDescent="0.25">
      <c r="B101" s="844"/>
      <c r="C101" s="717"/>
      <c r="D101" s="717"/>
      <c r="E101" s="446"/>
      <c r="F101" s="802"/>
      <c r="G101" s="802"/>
      <c r="H101" s="802"/>
      <c r="I101" s="709"/>
      <c r="J101" s="710"/>
      <c r="K101" s="724"/>
      <c r="L101" s="802"/>
      <c r="M101" s="802"/>
      <c r="N101" s="709"/>
      <c r="O101" s="710"/>
      <c r="P101" s="710"/>
      <c r="Q101" s="724"/>
      <c r="S101" s="181"/>
      <c r="T101" s="239"/>
      <c r="U101" s="849"/>
      <c r="V101" s="224">
        <v>1.51</v>
      </c>
      <c r="W101" s="224">
        <v>1.51</v>
      </c>
      <c r="X101" s="224">
        <v>1.51</v>
      </c>
      <c r="Y101" s="222">
        <v>1.26</v>
      </c>
      <c r="Z101" s="222" t="s">
        <v>604</v>
      </c>
      <c r="AA101" s="222" t="s">
        <v>604</v>
      </c>
      <c r="AB101" s="239"/>
      <c r="AC101" s="222"/>
      <c r="AD101" s="222"/>
      <c r="AE101" s="222"/>
      <c r="AF101" s="222"/>
      <c r="AG101" s="222"/>
      <c r="AH101" s="222"/>
      <c r="AI101" s="239"/>
      <c r="AJ101" s="181"/>
      <c r="AK101" s="239"/>
      <c r="AL101" s="262"/>
      <c r="AM101" s="262"/>
      <c r="AN101" s="262"/>
      <c r="AO101" s="262"/>
      <c r="AP101" s="262"/>
      <c r="AQ101" s="262"/>
      <c r="AR101" s="262"/>
      <c r="AS101" s="239"/>
      <c r="AT101" s="262"/>
      <c r="AU101" s="262"/>
      <c r="AV101" s="262"/>
      <c r="AW101" s="262"/>
      <c r="AX101" s="262"/>
      <c r="AY101" s="262"/>
      <c r="BC101" s="158"/>
      <c r="BD101" s="158"/>
      <c r="BE101" s="158"/>
      <c r="BF101" s="177"/>
      <c r="BG101" s="177"/>
      <c r="BH101" s="177"/>
      <c r="BI101" s="177"/>
      <c r="BK101" s="158"/>
      <c r="CH101" s="126"/>
      <c r="CI101" s="126"/>
      <c r="CJ101" s="127"/>
      <c r="CK101" s="127"/>
      <c r="CL101" s="126"/>
      <c r="CM101" s="126"/>
      <c r="CN101" s="127"/>
      <c r="CO101" s="127"/>
      <c r="CP101" s="126"/>
      <c r="CQ101" s="126"/>
      <c r="CR101" s="127"/>
      <c r="CS101" s="127"/>
      <c r="CT101" s="126"/>
      <c r="CU101" s="126"/>
      <c r="CV101" s="22"/>
      <c r="CW101" s="22"/>
      <c r="CX101" s="22"/>
    </row>
    <row r="102" spans="2:120" ht="48.75" customHeight="1" x14ac:dyDescent="0.25">
      <c r="B102" s="844">
        <v>11</v>
      </c>
      <c r="C102" s="717"/>
      <c r="D102" s="717"/>
      <c r="E102" s="446" t="s">
        <v>676</v>
      </c>
      <c r="F102" s="446" t="s">
        <v>698</v>
      </c>
      <c r="G102" s="446" t="s">
        <v>339</v>
      </c>
      <c r="H102" s="711" t="s">
        <v>899</v>
      </c>
      <c r="I102" s="446" t="s">
        <v>691</v>
      </c>
      <c r="J102" s="446"/>
      <c r="K102" s="446"/>
      <c r="L102" s="446" t="s">
        <v>339</v>
      </c>
      <c r="M102" s="446" t="s">
        <v>692</v>
      </c>
      <c r="N102" s="446" t="s">
        <v>693</v>
      </c>
      <c r="O102" s="446"/>
      <c r="P102" s="446"/>
      <c r="Q102" s="446"/>
      <c r="S102" s="181"/>
      <c r="T102" s="239"/>
      <c r="U102" s="849"/>
      <c r="V102" s="224">
        <v>1.52</v>
      </c>
      <c r="W102" s="224">
        <v>1.52</v>
      </c>
      <c r="X102" s="224">
        <v>1.52</v>
      </c>
      <c r="Y102" s="222">
        <v>1.27</v>
      </c>
      <c r="Z102" s="222" t="s">
        <v>604</v>
      </c>
      <c r="AA102" s="222" t="s">
        <v>604</v>
      </c>
      <c r="AB102" s="239"/>
      <c r="AC102" s="222"/>
      <c r="AD102" s="222"/>
      <c r="AE102" s="222"/>
      <c r="AF102" s="222"/>
      <c r="AG102" s="222"/>
      <c r="AH102" s="222"/>
      <c r="AI102" s="239"/>
      <c r="AJ102" s="181"/>
      <c r="AK102" s="729" t="s">
        <v>891</v>
      </c>
      <c r="AL102" s="729"/>
      <c r="AM102" s="258"/>
      <c r="AN102" s="727" t="s">
        <v>676</v>
      </c>
      <c r="AO102" s="728"/>
      <c r="AP102" s="728"/>
      <c r="AQ102" s="797"/>
      <c r="AR102" s="258"/>
      <c r="AS102" s="239"/>
      <c r="AT102" s="258"/>
      <c r="AU102" s="727" t="s">
        <v>676</v>
      </c>
      <c r="AV102" s="728"/>
      <c r="AW102" s="728"/>
      <c r="AX102" s="797"/>
      <c r="AY102" s="258"/>
      <c r="BC102" s="158"/>
      <c r="BD102" s="158"/>
      <c r="BE102" s="158"/>
      <c r="BF102" s="177"/>
      <c r="BG102" s="177"/>
      <c r="BH102" s="177"/>
      <c r="BI102" s="177"/>
      <c r="BJ102" s="158"/>
      <c r="BK102" s="158"/>
    </row>
    <row r="103" spans="2:120" ht="48.75" customHeight="1" x14ac:dyDescent="0.25">
      <c r="B103" s="844"/>
      <c r="C103" s="717"/>
      <c r="D103" s="717"/>
      <c r="E103" s="446"/>
      <c r="F103" s="446"/>
      <c r="G103" s="446"/>
      <c r="H103" s="802"/>
      <c r="I103" s="446"/>
      <c r="J103" s="446"/>
      <c r="K103" s="446"/>
      <c r="L103" s="446"/>
      <c r="M103" s="446"/>
      <c r="N103" s="446"/>
      <c r="O103" s="446"/>
      <c r="P103" s="446"/>
      <c r="Q103" s="446"/>
      <c r="S103" s="181"/>
      <c r="T103" s="239"/>
      <c r="U103" s="849"/>
      <c r="V103" s="224">
        <v>1.53</v>
      </c>
      <c r="W103" s="224">
        <v>1.53</v>
      </c>
      <c r="X103" s="224">
        <v>1.53</v>
      </c>
      <c r="Y103" s="222">
        <v>1.28</v>
      </c>
      <c r="Z103" s="222" t="s">
        <v>604</v>
      </c>
      <c r="AA103" s="222" t="s">
        <v>604</v>
      </c>
      <c r="AB103" s="239"/>
      <c r="AC103" s="222"/>
      <c r="AD103" s="222"/>
      <c r="AE103" s="222"/>
      <c r="AF103" s="222"/>
      <c r="AG103" s="222"/>
      <c r="AH103" s="222"/>
      <c r="AI103" s="239"/>
      <c r="AJ103" s="181"/>
      <c r="AK103" s="822" t="s">
        <v>590</v>
      </c>
      <c r="AL103" s="383"/>
      <c r="AM103" s="218">
        <v>2</v>
      </c>
      <c r="AN103" s="218">
        <v>4</v>
      </c>
      <c r="AO103" s="218">
        <v>6</v>
      </c>
      <c r="AP103" s="218">
        <v>8</v>
      </c>
      <c r="AQ103" s="218">
        <v>10</v>
      </c>
      <c r="AR103" s="218">
        <v>12</v>
      </c>
      <c r="AS103" s="239"/>
      <c r="AT103" s="218">
        <v>2</v>
      </c>
      <c r="AU103" s="218">
        <v>4</v>
      </c>
      <c r="AV103" s="218">
        <v>6</v>
      </c>
      <c r="AW103" s="218">
        <v>8</v>
      </c>
      <c r="AX103" s="218">
        <v>10</v>
      </c>
      <c r="AY103" s="218">
        <v>12</v>
      </c>
      <c r="BC103" s="158"/>
      <c r="BD103" s="158"/>
      <c r="BE103" s="158"/>
      <c r="BF103" s="177"/>
      <c r="BG103" s="177"/>
      <c r="BH103" s="177"/>
      <c r="BI103" s="177"/>
      <c r="BJ103" s="158"/>
      <c r="BK103" s="158"/>
    </row>
    <row r="104" spans="2:120" ht="48.75" customHeight="1" x14ac:dyDescent="0.25">
      <c r="S104" s="181"/>
      <c r="T104" s="239"/>
      <c r="U104" s="849"/>
      <c r="V104" s="224">
        <v>1.54</v>
      </c>
      <c r="W104" s="224">
        <v>1.54</v>
      </c>
      <c r="X104" s="224">
        <v>1.54</v>
      </c>
      <c r="Y104" s="222">
        <v>1.29</v>
      </c>
      <c r="Z104" s="222" t="s">
        <v>604</v>
      </c>
      <c r="AA104" s="222" t="s">
        <v>604</v>
      </c>
      <c r="AB104" s="239"/>
      <c r="AC104" s="222"/>
      <c r="AD104" s="222"/>
      <c r="AE104" s="222"/>
      <c r="AF104" s="222"/>
      <c r="AG104" s="222"/>
      <c r="AH104" s="222"/>
      <c r="AI104" s="239"/>
      <c r="AJ104" s="181"/>
      <c r="AK104" s="729" t="s">
        <v>189</v>
      </c>
      <c r="AL104" s="729"/>
      <c r="AM104" s="21"/>
      <c r="AN104" s="21"/>
      <c r="AO104" s="21"/>
      <c r="AP104" s="21"/>
      <c r="AQ104" s="21"/>
      <c r="AR104" s="21"/>
      <c r="AS104" s="239"/>
      <c r="AT104" s="21"/>
      <c r="AU104" s="21"/>
      <c r="AV104" s="21"/>
      <c r="AW104" s="21"/>
      <c r="AX104" s="21"/>
      <c r="AY104" s="21"/>
      <c r="BC104" s="158"/>
      <c r="BD104" s="158"/>
      <c r="BE104" s="158"/>
      <c r="BF104" s="177"/>
      <c r="BG104" s="177"/>
      <c r="BH104" s="177"/>
      <c r="BI104" s="177"/>
      <c r="BJ104" s="158"/>
      <c r="BK104" s="158"/>
      <c r="CM104" s="157"/>
      <c r="CN104" s="157"/>
      <c r="CO104" s="157"/>
      <c r="CP104" s="157"/>
      <c r="CQ104" s="157"/>
      <c r="CR104" s="157"/>
      <c r="CS104" s="157"/>
      <c r="CT104" s="157"/>
      <c r="CU104" s="157"/>
      <c r="CV104" s="157"/>
      <c r="CW104" s="157"/>
      <c r="CX104" s="157"/>
      <c r="CY104" s="157"/>
      <c r="CZ104" s="157"/>
      <c r="DA104" s="157"/>
      <c r="DB104" s="157"/>
      <c r="DC104" s="157"/>
      <c r="DD104" s="157"/>
      <c r="DE104" s="157"/>
      <c r="DF104" s="157"/>
      <c r="DG104" s="157"/>
      <c r="DH104" s="157"/>
      <c r="DI104" s="157"/>
      <c r="DJ104" s="157"/>
      <c r="DK104" s="157"/>
      <c r="DL104" s="157"/>
      <c r="DM104" s="157"/>
      <c r="DN104" s="157"/>
      <c r="DO104" s="157"/>
      <c r="DP104" s="157"/>
    </row>
    <row r="105" spans="2:120" ht="48.75" customHeight="1" x14ac:dyDescent="0.25">
      <c r="S105" s="181"/>
      <c r="T105" s="239"/>
      <c r="U105" s="849"/>
      <c r="V105" s="224">
        <v>1.55</v>
      </c>
      <c r="W105" s="224">
        <v>1.55</v>
      </c>
      <c r="X105" s="224">
        <v>1.55</v>
      </c>
      <c r="Y105" s="222">
        <v>1.3</v>
      </c>
      <c r="Z105" s="222" t="s">
        <v>604</v>
      </c>
      <c r="AA105" s="222" t="s">
        <v>604</v>
      </c>
      <c r="AB105" s="239"/>
      <c r="AC105" s="222"/>
      <c r="AD105" s="222"/>
      <c r="AE105" s="222"/>
      <c r="AF105" s="222"/>
      <c r="AG105" s="222"/>
      <c r="AH105" s="222"/>
      <c r="AI105" s="239"/>
      <c r="AJ105" s="181"/>
      <c r="AK105" s="239"/>
      <c r="AL105" s="845" t="s">
        <v>898</v>
      </c>
      <c r="AM105" s="21"/>
      <c r="AN105" s="21"/>
      <c r="AO105" s="21"/>
      <c r="AP105" s="21"/>
      <c r="AQ105" s="21"/>
      <c r="AR105" s="21"/>
      <c r="AS105" s="239"/>
      <c r="AT105" s="21"/>
      <c r="AU105" s="21"/>
      <c r="AV105" s="21"/>
      <c r="AW105" s="21"/>
      <c r="AX105" s="21"/>
      <c r="AY105" s="21"/>
      <c r="BC105" s="158"/>
      <c r="BD105" s="158"/>
      <c r="BE105" s="158"/>
      <c r="BF105" s="177"/>
      <c r="BG105" s="177"/>
      <c r="BH105" s="177"/>
      <c r="BI105" s="177"/>
      <c r="BJ105" s="158"/>
      <c r="BK105" s="158"/>
      <c r="CM105" s="157"/>
      <c r="CN105" s="166"/>
      <c r="CO105" s="166"/>
      <c r="CP105" s="167"/>
      <c r="CQ105" s="167"/>
      <c r="CR105" s="166"/>
      <c r="CS105" s="166"/>
      <c r="CT105" s="167"/>
      <c r="CU105" s="167"/>
      <c r="CV105" s="166"/>
      <c r="CW105" s="166"/>
      <c r="CX105" s="167"/>
      <c r="CY105" s="167"/>
      <c r="CZ105" s="166"/>
      <c r="DA105" s="166"/>
      <c r="DB105" s="167"/>
      <c r="DC105" s="167"/>
      <c r="DD105" s="166"/>
      <c r="DE105" s="166"/>
      <c r="DF105" s="167"/>
      <c r="DG105" s="167"/>
      <c r="DH105" s="166"/>
      <c r="DI105" s="166"/>
      <c r="DJ105" s="167"/>
      <c r="DK105" s="167"/>
      <c r="DL105" s="157"/>
      <c r="DM105" s="157"/>
      <c r="DN105" s="157"/>
      <c r="DO105" s="157"/>
      <c r="DP105" s="157"/>
    </row>
    <row r="106" spans="2:120" ht="48.75" customHeight="1" x14ac:dyDescent="0.25">
      <c r="S106" s="181"/>
      <c r="T106" s="239"/>
      <c r="U106" s="849"/>
      <c r="V106" s="224">
        <v>1.56</v>
      </c>
      <c r="W106" s="224">
        <v>1.56</v>
      </c>
      <c r="X106" s="224">
        <v>1.56</v>
      </c>
      <c r="Y106" s="222">
        <v>1.31</v>
      </c>
      <c r="Z106" s="222" t="s">
        <v>604</v>
      </c>
      <c r="AA106" s="222" t="s">
        <v>604</v>
      </c>
      <c r="AB106" s="239"/>
      <c r="AC106" s="222"/>
      <c r="AD106" s="222"/>
      <c r="AE106" s="222"/>
      <c r="AF106" s="222"/>
      <c r="AG106" s="222"/>
      <c r="AH106" s="222"/>
      <c r="AI106" s="239"/>
      <c r="AJ106" s="181"/>
      <c r="AK106" s="239"/>
      <c r="AL106" s="846"/>
      <c r="AM106" s="21"/>
      <c r="AN106" s="21"/>
      <c r="AO106" s="21"/>
      <c r="AP106" s="21"/>
      <c r="AQ106" s="21"/>
      <c r="AR106" s="21"/>
      <c r="AS106" s="239"/>
      <c r="AT106" s="21"/>
      <c r="AU106" s="21"/>
      <c r="AV106" s="21"/>
      <c r="AW106" s="21"/>
      <c r="AX106" s="21"/>
      <c r="AY106" s="21"/>
      <c r="BA106" s="158"/>
      <c r="BF106" s="177"/>
      <c r="BG106" s="177"/>
      <c r="BH106" s="177"/>
      <c r="BI106" s="177"/>
      <c r="CM106" s="157"/>
      <c r="CN106" s="166"/>
      <c r="CO106" s="167"/>
      <c r="CP106" s="167"/>
      <c r="CQ106" s="166"/>
      <c r="CR106" s="166"/>
      <c r="CS106" s="167"/>
      <c r="CT106" s="167"/>
      <c r="CU106" s="166"/>
      <c r="CV106" s="166"/>
      <c r="CW106" s="167"/>
      <c r="CX106" s="167"/>
      <c r="CY106" s="166"/>
      <c r="CZ106" s="166"/>
      <c r="DA106" s="167"/>
      <c r="DB106" s="167"/>
      <c r="DC106" s="166"/>
      <c r="DD106" s="166"/>
      <c r="DE106" s="167"/>
      <c r="DF106" s="167"/>
      <c r="DG106" s="166"/>
      <c r="DH106" s="166"/>
      <c r="DI106" s="167"/>
      <c r="DJ106" s="167"/>
      <c r="DK106" s="166"/>
      <c r="DL106" s="157"/>
      <c r="DM106" s="157"/>
      <c r="DN106" s="157"/>
      <c r="DO106" s="157"/>
      <c r="DP106" s="157"/>
    </row>
    <row r="107" spans="2:120" ht="48.75" customHeight="1" x14ac:dyDescent="0.25">
      <c r="S107" s="181"/>
      <c r="T107" s="239"/>
      <c r="U107" s="849"/>
      <c r="V107" s="224">
        <v>1.57</v>
      </c>
      <c r="W107" s="224">
        <v>1.57</v>
      </c>
      <c r="X107" s="224">
        <v>1.57</v>
      </c>
      <c r="Y107" s="222">
        <v>1.32</v>
      </c>
      <c r="Z107" s="222" t="s">
        <v>604</v>
      </c>
      <c r="AA107" s="222" t="s">
        <v>604</v>
      </c>
      <c r="AB107" s="239"/>
      <c r="AC107" s="222"/>
      <c r="AD107" s="222"/>
      <c r="AE107" s="222"/>
      <c r="AF107" s="222"/>
      <c r="AG107" s="222"/>
      <c r="AH107" s="222"/>
      <c r="AI107" s="239"/>
      <c r="AJ107" s="181"/>
      <c r="AK107" s="239"/>
      <c r="AL107" s="846"/>
      <c r="AM107" s="21"/>
      <c r="AN107" s="21"/>
      <c r="AO107" s="21"/>
      <c r="AP107" s="21"/>
      <c r="AQ107" s="21"/>
      <c r="AR107" s="21"/>
      <c r="AS107" s="239"/>
      <c r="AT107" s="21"/>
      <c r="AU107" s="21"/>
      <c r="AV107" s="21"/>
      <c r="AW107" s="21"/>
      <c r="AX107" s="254"/>
      <c r="AY107" s="21"/>
      <c r="BA107" s="158"/>
      <c r="BF107" s="177"/>
      <c r="BG107" s="177"/>
      <c r="BH107" s="177"/>
      <c r="BI107" s="177"/>
      <c r="CM107" s="157"/>
      <c r="CN107" s="167"/>
      <c r="CO107" s="167"/>
      <c r="CP107" s="166"/>
      <c r="CQ107" s="166"/>
      <c r="CR107" s="167"/>
      <c r="CS107" s="167"/>
      <c r="CT107" s="166"/>
      <c r="CU107" s="166"/>
      <c r="CV107" s="167"/>
      <c r="CW107" s="167"/>
      <c r="CX107" s="166"/>
      <c r="CY107" s="166"/>
      <c r="CZ107" s="167"/>
      <c r="DA107" s="167"/>
      <c r="DB107" s="166"/>
      <c r="DC107" s="166"/>
      <c r="DD107" s="167"/>
      <c r="DE107" s="167"/>
      <c r="DF107" s="166"/>
      <c r="DG107" s="166"/>
      <c r="DH107" s="167"/>
      <c r="DI107" s="167"/>
      <c r="DJ107" s="166"/>
      <c r="DK107" s="166"/>
      <c r="DL107" s="157"/>
      <c r="DM107" s="157"/>
      <c r="DN107" s="157"/>
      <c r="DO107" s="157"/>
      <c r="DP107" s="157"/>
    </row>
    <row r="108" spans="2:120" ht="48.75" customHeight="1" x14ac:dyDescent="0.25">
      <c r="S108" s="181"/>
      <c r="T108" s="239"/>
      <c r="U108" s="849"/>
      <c r="V108" s="224">
        <v>1.58</v>
      </c>
      <c r="W108" s="224">
        <v>1.58</v>
      </c>
      <c r="X108" s="224">
        <v>1.58</v>
      </c>
      <c r="Y108" s="222">
        <v>1.33</v>
      </c>
      <c r="Z108" s="222" t="s">
        <v>604</v>
      </c>
      <c r="AA108" s="265" t="s">
        <v>604</v>
      </c>
      <c r="AB108" s="239"/>
      <c r="AC108" s="222"/>
      <c r="AD108" s="222"/>
      <c r="AE108" s="222"/>
      <c r="AF108" s="222"/>
      <c r="AG108" s="222"/>
      <c r="AH108" s="222"/>
      <c r="AI108" s="239"/>
      <c r="AJ108" s="181"/>
      <c r="AK108" s="239"/>
      <c r="AL108" s="846"/>
      <c r="AM108" s="21"/>
      <c r="AN108" s="21"/>
      <c r="AO108" s="21"/>
      <c r="AP108" s="21"/>
      <c r="AQ108" s="21"/>
      <c r="AR108" s="21"/>
      <c r="AS108" s="239"/>
      <c r="AT108" s="21"/>
      <c r="AU108" s="21"/>
      <c r="AV108" s="21"/>
      <c r="AW108" s="21"/>
      <c r="AX108" s="254"/>
      <c r="AY108" s="21"/>
      <c r="BA108" s="158"/>
      <c r="BF108" s="177"/>
      <c r="BG108" s="177"/>
      <c r="BH108" s="177"/>
      <c r="BI108" s="177"/>
      <c r="CM108" s="157"/>
      <c r="CN108" s="157"/>
      <c r="CO108" s="157"/>
      <c r="CP108" s="157"/>
      <c r="CQ108" s="157"/>
      <c r="CR108" s="157"/>
      <c r="CS108" s="157"/>
      <c r="CT108" s="157"/>
      <c r="CU108" s="157"/>
      <c r="CV108" s="157"/>
      <c r="CW108" s="157"/>
      <c r="CX108" s="157"/>
      <c r="CY108" s="157"/>
      <c r="CZ108" s="157"/>
      <c r="DA108" s="157"/>
      <c r="DB108" s="157"/>
      <c r="DC108" s="157"/>
      <c r="DD108" s="157"/>
      <c r="DE108" s="157"/>
      <c r="DF108" s="157"/>
      <c r="DG108" s="157"/>
      <c r="DH108" s="157"/>
      <c r="DI108" s="157"/>
      <c r="DJ108" s="157"/>
      <c r="DK108" s="157"/>
      <c r="DL108" s="157"/>
      <c r="DM108" s="157"/>
      <c r="DN108" s="157"/>
      <c r="DO108" s="157"/>
      <c r="DP108" s="157"/>
    </row>
    <row r="109" spans="2:120" ht="48.75" customHeight="1" x14ac:dyDescent="0.25">
      <c r="S109" s="181"/>
      <c r="T109" s="239"/>
      <c r="U109" s="849"/>
      <c r="V109" s="224">
        <v>1.59</v>
      </c>
      <c r="W109" s="224">
        <v>1.59</v>
      </c>
      <c r="X109" s="224">
        <v>1.59</v>
      </c>
      <c r="Y109" s="222">
        <v>1.34</v>
      </c>
      <c r="Z109" s="222" t="s">
        <v>604</v>
      </c>
      <c r="AA109" s="222" t="s">
        <v>604</v>
      </c>
      <c r="AB109" s="239"/>
      <c r="AC109" s="222"/>
      <c r="AD109" s="222"/>
      <c r="AE109" s="222"/>
      <c r="AF109" s="222"/>
      <c r="AG109" s="222"/>
      <c r="AH109" s="222"/>
      <c r="AI109" s="239"/>
      <c r="AJ109" s="181"/>
      <c r="AK109" s="239"/>
      <c r="AL109" s="846"/>
      <c r="AM109" s="21"/>
      <c r="AN109" s="21"/>
      <c r="AO109" s="21"/>
      <c r="AP109" s="21"/>
      <c r="AQ109" s="21"/>
      <c r="AR109" s="21"/>
      <c r="AS109" s="239"/>
      <c r="AT109" s="21"/>
      <c r="AU109" s="21"/>
      <c r="AV109" s="21"/>
      <c r="AW109" s="21"/>
      <c r="AX109" s="254"/>
      <c r="AY109" s="21"/>
      <c r="BA109" s="158"/>
      <c r="BF109" s="177"/>
      <c r="BG109" s="177"/>
      <c r="BH109" s="177"/>
      <c r="BI109" s="177"/>
      <c r="CM109" s="157"/>
      <c r="CN109" s="157"/>
      <c r="CO109" s="157"/>
      <c r="CP109" s="157"/>
      <c r="CQ109" s="157"/>
      <c r="CR109" s="157"/>
      <c r="CS109" s="157"/>
      <c r="CT109" s="157"/>
      <c r="CU109" s="157"/>
      <c r="CV109" s="157"/>
      <c r="CW109" s="157"/>
      <c r="CX109" s="157"/>
      <c r="CY109" s="157"/>
      <c r="CZ109" s="157"/>
      <c r="DA109" s="157"/>
      <c r="DB109" s="157"/>
      <c r="DC109" s="157"/>
      <c r="DD109" s="157"/>
      <c r="DE109" s="157"/>
      <c r="DF109" s="157"/>
      <c r="DG109" s="157"/>
      <c r="DH109" s="157"/>
      <c r="DI109" s="157"/>
      <c r="DJ109" s="157"/>
      <c r="DK109" s="157"/>
      <c r="DL109" s="157"/>
      <c r="DM109" s="157"/>
      <c r="DN109" s="157"/>
      <c r="DO109" s="157"/>
      <c r="DP109" s="157"/>
    </row>
    <row r="110" spans="2:120" s="158" customFormat="1" ht="48.75" customHeight="1" x14ac:dyDescent="0.25">
      <c r="Q110" s="168"/>
      <c r="R110" s="168"/>
      <c r="S110" s="184"/>
      <c r="T110" s="243"/>
      <c r="U110" s="850"/>
      <c r="V110" s="224">
        <v>1.6</v>
      </c>
      <c r="W110" s="224">
        <v>1.6</v>
      </c>
      <c r="X110" s="224">
        <v>1.6</v>
      </c>
      <c r="Y110" s="222">
        <v>1.35</v>
      </c>
      <c r="Z110" s="222" t="s">
        <v>604</v>
      </c>
      <c r="AA110" s="222" t="s">
        <v>604</v>
      </c>
      <c r="AB110" s="243"/>
      <c r="AC110" s="222"/>
      <c r="AD110" s="222"/>
      <c r="AE110" s="222"/>
      <c r="AF110" s="222"/>
      <c r="AG110" s="222"/>
      <c r="AH110" s="222"/>
      <c r="AI110" s="239"/>
      <c r="AJ110" s="181"/>
      <c r="AK110" s="239"/>
      <c r="AL110" s="847"/>
      <c r="AM110" s="21"/>
      <c r="AN110" s="21"/>
      <c r="AO110" s="21"/>
      <c r="AP110" s="21"/>
      <c r="AQ110" s="21"/>
      <c r="AR110" s="21"/>
      <c r="AS110" s="239"/>
      <c r="AT110" s="21"/>
      <c r="AU110" s="21"/>
      <c r="AV110" s="21"/>
      <c r="AW110" s="21"/>
      <c r="AX110" s="254"/>
      <c r="AY110" s="21"/>
      <c r="BF110" s="177"/>
      <c r="BG110" s="177"/>
      <c r="BH110" s="177"/>
      <c r="BI110" s="177"/>
      <c r="CM110" s="157"/>
      <c r="CN110" s="157"/>
      <c r="CO110" s="157"/>
      <c r="CP110" s="157"/>
      <c r="CQ110" s="157"/>
      <c r="CR110" s="157"/>
      <c r="CS110" s="157"/>
      <c r="CT110" s="157"/>
      <c r="CU110" s="157"/>
      <c r="CV110" s="157"/>
      <c r="CW110" s="157"/>
      <c r="CX110" s="157"/>
      <c r="CY110" s="157"/>
      <c r="CZ110" s="157"/>
      <c r="DA110" s="157"/>
      <c r="DB110" s="157"/>
      <c r="DC110" s="157"/>
      <c r="DD110" s="157"/>
      <c r="DE110" s="157"/>
      <c r="DF110" s="157"/>
      <c r="DG110" s="157"/>
      <c r="DH110" s="157"/>
      <c r="DI110" s="157"/>
      <c r="DJ110" s="157"/>
      <c r="DK110" s="157"/>
      <c r="DL110" s="157"/>
      <c r="DM110" s="157"/>
      <c r="DN110" s="157"/>
      <c r="DO110" s="157"/>
      <c r="DP110" s="157"/>
    </row>
    <row r="111" spans="2:120" ht="48.75" customHeight="1" x14ac:dyDescent="0.25">
      <c r="S111" s="253"/>
      <c r="T111" s="175"/>
      <c r="U111" s="175"/>
      <c r="V111" s="175"/>
      <c r="W111" s="175"/>
      <c r="X111" s="175"/>
      <c r="Y111" s="175"/>
      <c r="Z111" s="175"/>
      <c r="AA111" s="175"/>
      <c r="AB111" s="175"/>
      <c r="AC111" s="175"/>
      <c r="AD111" s="175"/>
      <c r="AE111" s="175"/>
      <c r="AF111" s="175"/>
      <c r="AG111" s="175"/>
      <c r="AH111" s="150"/>
      <c r="AI111" s="239"/>
      <c r="AJ111" s="181"/>
      <c r="AK111" s="239"/>
      <c r="AL111" s="262"/>
      <c r="AM111" s="262"/>
      <c r="AN111" s="262"/>
      <c r="AO111" s="262"/>
      <c r="AP111" s="262"/>
      <c r="AQ111" s="262"/>
      <c r="AR111" s="262"/>
      <c r="AS111" s="239"/>
      <c r="AT111" s="262"/>
      <c r="AU111" s="262"/>
      <c r="AV111" s="262"/>
      <c r="AW111" s="262"/>
      <c r="AX111" s="262"/>
      <c r="AY111" s="263"/>
      <c r="BA111" s="158"/>
      <c r="BF111" s="177"/>
      <c r="BG111" s="177"/>
      <c r="BH111" s="177"/>
      <c r="BI111" s="177"/>
      <c r="CM111" s="157"/>
      <c r="CN111" s="157"/>
      <c r="CO111" s="157"/>
      <c r="CP111" s="157"/>
      <c r="CQ111" s="157"/>
      <c r="CR111" s="157"/>
      <c r="CS111" s="157"/>
      <c r="CT111" s="157"/>
      <c r="CU111" s="157"/>
      <c r="CV111" s="157"/>
      <c r="CW111" s="157"/>
      <c r="CX111" s="157"/>
      <c r="CY111" s="157"/>
      <c r="CZ111" s="157"/>
      <c r="DA111" s="157"/>
      <c r="DB111" s="157"/>
      <c r="DC111" s="157"/>
      <c r="DD111" s="157"/>
      <c r="DE111" s="157"/>
      <c r="DF111" s="157"/>
      <c r="DG111" s="157"/>
      <c r="DH111" s="157"/>
      <c r="DI111" s="157"/>
      <c r="DJ111" s="157"/>
      <c r="DK111" s="157"/>
      <c r="DL111" s="157"/>
      <c r="DM111" s="157"/>
      <c r="DN111" s="157"/>
      <c r="DO111" s="157"/>
      <c r="DP111" s="157"/>
    </row>
    <row r="112" spans="2:120" ht="48.75" customHeight="1" x14ac:dyDescent="0.25">
      <c r="S112" s="181"/>
      <c r="T112" s="729" t="s">
        <v>890</v>
      </c>
      <c r="U112" s="729"/>
      <c r="V112" s="264" t="s">
        <v>604</v>
      </c>
      <c r="W112" s="727" t="s">
        <v>894</v>
      </c>
      <c r="X112" s="728"/>
      <c r="Y112" s="728"/>
      <c r="Z112" s="797"/>
      <c r="AA112" s="264" t="s">
        <v>604</v>
      </c>
      <c r="AB112" s="828"/>
      <c r="AC112" s="264" t="s">
        <v>604</v>
      </c>
      <c r="AD112" s="727" t="s">
        <v>894</v>
      </c>
      <c r="AE112" s="728"/>
      <c r="AF112" s="728"/>
      <c r="AG112" s="797"/>
      <c r="AH112" s="264" t="s">
        <v>604</v>
      </c>
      <c r="AI112" s="239"/>
      <c r="AJ112" s="181"/>
      <c r="AK112" s="729" t="s">
        <v>891</v>
      </c>
      <c r="AL112" s="729"/>
      <c r="AM112" s="258"/>
      <c r="AN112" s="727" t="s">
        <v>679</v>
      </c>
      <c r="AO112" s="728"/>
      <c r="AP112" s="728"/>
      <c r="AQ112" s="797"/>
      <c r="AR112" s="258"/>
      <c r="AS112" s="239"/>
      <c r="AT112" s="258"/>
      <c r="AU112" s="727" t="s">
        <v>679</v>
      </c>
      <c r="AV112" s="728"/>
      <c r="AW112" s="728"/>
      <c r="AX112" s="797"/>
      <c r="AY112" s="258"/>
      <c r="BA112" s="158"/>
      <c r="BF112" s="177"/>
      <c r="BG112" s="177"/>
      <c r="BH112" s="177"/>
      <c r="BI112" s="177"/>
    </row>
    <row r="113" spans="19:61" ht="48.75" customHeight="1" x14ac:dyDescent="0.25">
      <c r="S113" s="181"/>
      <c r="T113" s="822" t="s">
        <v>590</v>
      </c>
      <c r="U113" s="383"/>
      <c r="V113" s="218">
        <v>2</v>
      </c>
      <c r="W113" s="218">
        <v>4</v>
      </c>
      <c r="X113" s="218">
        <v>6</v>
      </c>
      <c r="Y113" s="218">
        <v>8</v>
      </c>
      <c r="Z113" s="218">
        <v>10</v>
      </c>
      <c r="AA113" s="218">
        <v>12</v>
      </c>
      <c r="AB113" s="827"/>
      <c r="AC113" s="218">
        <v>2</v>
      </c>
      <c r="AD113" s="218">
        <v>4</v>
      </c>
      <c r="AE113" s="218">
        <v>6</v>
      </c>
      <c r="AF113" s="218">
        <v>8</v>
      </c>
      <c r="AG113" s="218">
        <v>10</v>
      </c>
      <c r="AH113" s="218">
        <v>12</v>
      </c>
      <c r="AI113" s="239"/>
      <c r="AJ113" s="181"/>
      <c r="AK113" s="822" t="s">
        <v>590</v>
      </c>
      <c r="AL113" s="383"/>
      <c r="AM113" s="218">
        <v>2</v>
      </c>
      <c r="AN113" s="218">
        <v>4</v>
      </c>
      <c r="AO113" s="218">
        <v>6</v>
      </c>
      <c r="AP113" s="218">
        <v>8</v>
      </c>
      <c r="AQ113" s="218">
        <v>10</v>
      </c>
      <c r="AR113" s="218">
        <v>12</v>
      </c>
      <c r="AS113" s="239"/>
      <c r="AT113" s="218">
        <v>2</v>
      </c>
      <c r="AU113" s="218">
        <v>4</v>
      </c>
      <c r="AV113" s="218">
        <v>6</v>
      </c>
      <c r="AW113" s="218">
        <v>8</v>
      </c>
      <c r="AX113" s="218">
        <v>10</v>
      </c>
      <c r="AY113" s="218">
        <v>12</v>
      </c>
      <c r="BA113" s="158"/>
      <c r="BF113" s="177"/>
      <c r="BG113" s="177"/>
      <c r="BH113" s="177"/>
      <c r="BI113" s="177"/>
    </row>
    <row r="114" spans="19:61" ht="48.75" customHeight="1" x14ac:dyDescent="0.25">
      <c r="S114" s="181"/>
      <c r="T114" s="829" t="s">
        <v>189</v>
      </c>
      <c r="U114" s="362"/>
      <c r="V114" s="718" t="s">
        <v>653</v>
      </c>
      <c r="W114" s="718"/>
      <c r="X114" s="718"/>
      <c r="Y114" s="218" t="s">
        <v>654</v>
      </c>
      <c r="Z114" s="718" t="s">
        <v>888</v>
      </c>
      <c r="AA114" s="718"/>
      <c r="AB114" s="725"/>
      <c r="AC114" s="21"/>
      <c r="AD114" s="21"/>
      <c r="AE114" s="21"/>
      <c r="AF114" s="21"/>
      <c r="AG114" s="21"/>
      <c r="AH114" s="21"/>
      <c r="AI114" s="239"/>
      <c r="AJ114" s="181"/>
      <c r="AK114" s="729" t="s">
        <v>189</v>
      </c>
      <c r="AL114" s="729"/>
      <c r="AM114" s="21"/>
      <c r="AN114" s="21"/>
      <c r="AO114" s="21"/>
      <c r="AP114" s="21"/>
      <c r="AQ114" s="21"/>
      <c r="AR114" s="21"/>
      <c r="AS114" s="239"/>
      <c r="AT114" s="21"/>
      <c r="AU114" s="21"/>
      <c r="AV114" s="21"/>
      <c r="AW114" s="21"/>
      <c r="AX114" s="254"/>
      <c r="AY114" s="21"/>
      <c r="BA114" s="158"/>
      <c r="BF114" s="177"/>
      <c r="BG114" s="177"/>
      <c r="BH114" s="177"/>
      <c r="BI114" s="177"/>
    </row>
    <row r="115" spans="19:61" s="158" customFormat="1" ht="48.75" customHeight="1" x14ac:dyDescent="0.25">
      <c r="S115" s="181"/>
      <c r="T115" s="239"/>
      <c r="U115" s="845" t="s">
        <v>893</v>
      </c>
      <c r="V115" s="21"/>
      <c r="W115" s="21"/>
      <c r="X115" s="21"/>
      <c r="Y115" s="232"/>
      <c r="Z115" s="232"/>
      <c r="AA115" s="21"/>
      <c r="AB115" s="239"/>
      <c r="AC115" s="21"/>
      <c r="AD115" s="21"/>
      <c r="AE115" s="21"/>
      <c r="AF115" s="21"/>
      <c r="AG115" s="21"/>
      <c r="AH115" s="21"/>
      <c r="AI115" s="239"/>
      <c r="AJ115" s="181"/>
      <c r="AK115" s="239"/>
      <c r="AL115" s="845" t="s">
        <v>898</v>
      </c>
      <c r="AM115" s="21"/>
      <c r="AN115" s="21"/>
      <c r="AO115" s="21"/>
      <c r="AP115" s="21"/>
      <c r="AQ115" s="21"/>
      <c r="AR115" s="21"/>
      <c r="AS115" s="239"/>
      <c r="AT115" s="21"/>
      <c r="AU115" s="21"/>
      <c r="AV115" s="21"/>
      <c r="AW115" s="21"/>
      <c r="AX115" s="254"/>
      <c r="AY115" s="21"/>
      <c r="BF115" s="177"/>
      <c r="BG115" s="177"/>
      <c r="BH115" s="177"/>
      <c r="BI115" s="177"/>
    </row>
    <row r="116" spans="19:61" s="158" customFormat="1" ht="48.75" customHeight="1" x14ac:dyDescent="0.25">
      <c r="S116" s="181"/>
      <c r="T116" s="239"/>
      <c r="U116" s="846"/>
      <c r="V116" s="21"/>
      <c r="W116" s="21"/>
      <c r="X116" s="21"/>
      <c r="Y116" s="21"/>
      <c r="Z116" s="21"/>
      <c r="AA116" s="21"/>
      <c r="AB116" s="239"/>
      <c r="AC116" s="21"/>
      <c r="AD116" s="21"/>
      <c r="AE116" s="21"/>
      <c r="AF116" s="21"/>
      <c r="AG116" s="21"/>
      <c r="AH116" s="21"/>
      <c r="AI116" s="239"/>
      <c r="AJ116" s="181"/>
      <c r="AK116" s="239"/>
      <c r="AL116" s="846"/>
      <c r="AM116" s="21"/>
      <c r="AN116" s="21"/>
      <c r="AO116" s="21"/>
      <c r="AP116" s="21"/>
      <c r="AQ116" s="21"/>
      <c r="AR116" s="21"/>
      <c r="AS116" s="239"/>
      <c r="AT116" s="21"/>
      <c r="AU116" s="21"/>
      <c r="AV116" s="21"/>
      <c r="AW116" s="21"/>
      <c r="AX116" s="254"/>
      <c r="AY116" s="21"/>
      <c r="BF116" s="177"/>
      <c r="BG116" s="177"/>
      <c r="BH116" s="177"/>
      <c r="BI116" s="177"/>
    </row>
    <row r="117" spans="19:61" s="158" customFormat="1" ht="48.75" customHeight="1" x14ac:dyDescent="0.25">
      <c r="S117" s="181"/>
      <c r="T117" s="239"/>
      <c r="U117" s="846"/>
      <c r="V117" s="21"/>
      <c r="W117" s="21"/>
      <c r="X117" s="21"/>
      <c r="Y117" s="21"/>
      <c r="Z117" s="21"/>
      <c r="AA117" s="21"/>
      <c r="AB117" s="239"/>
      <c r="AC117" s="21"/>
      <c r="AD117" s="21"/>
      <c r="AE117" s="21"/>
      <c r="AF117" s="21"/>
      <c r="AG117" s="21"/>
      <c r="AH117" s="21"/>
      <c r="AI117" s="239"/>
      <c r="AJ117" s="181"/>
      <c r="AK117" s="239"/>
      <c r="AL117" s="846"/>
      <c r="AM117" s="21"/>
      <c r="AN117" s="21"/>
      <c r="AO117" s="21"/>
      <c r="AP117" s="21"/>
      <c r="AQ117" s="21"/>
      <c r="AR117" s="21"/>
      <c r="AS117" s="239"/>
      <c r="AT117" s="21"/>
      <c r="AU117" s="21"/>
      <c r="AV117" s="21"/>
      <c r="AW117" s="21"/>
      <c r="AX117" s="254"/>
      <c r="AY117" s="21"/>
      <c r="BF117" s="177"/>
      <c r="BG117" s="177"/>
      <c r="BH117" s="177"/>
      <c r="BI117" s="177"/>
    </row>
    <row r="118" spans="19:61" s="158" customFormat="1" ht="48.75" customHeight="1" x14ac:dyDescent="0.25">
      <c r="S118" s="181"/>
      <c r="T118" s="239"/>
      <c r="U118" s="846"/>
      <c r="V118" s="21"/>
      <c r="W118" s="21"/>
      <c r="X118" s="21"/>
      <c r="Y118" s="21"/>
      <c r="Z118" s="21"/>
      <c r="AA118" s="21"/>
      <c r="AB118" s="239"/>
      <c r="AC118" s="21"/>
      <c r="AD118" s="21"/>
      <c r="AE118" s="21"/>
      <c r="AF118" s="21"/>
      <c r="AG118" s="21"/>
      <c r="AH118" s="21"/>
      <c r="AI118" s="239"/>
      <c r="AJ118" s="181"/>
      <c r="AK118" s="239"/>
      <c r="AL118" s="846"/>
      <c r="AM118" s="21"/>
      <c r="AN118" s="21"/>
      <c r="AO118" s="21"/>
      <c r="AP118" s="21"/>
      <c r="AQ118" s="21"/>
      <c r="AR118" s="21"/>
      <c r="AS118" s="239"/>
      <c r="AT118" s="21"/>
      <c r="AU118" s="21"/>
      <c r="AV118" s="21"/>
      <c r="AW118" s="21"/>
      <c r="AX118" s="254"/>
      <c r="AY118" s="21"/>
      <c r="BF118" s="177"/>
      <c r="BG118" s="177"/>
      <c r="BH118" s="177"/>
      <c r="BI118" s="177"/>
    </row>
    <row r="119" spans="19:61" s="158" customFormat="1" ht="48.75" customHeight="1" x14ac:dyDescent="0.25">
      <c r="S119" s="181"/>
      <c r="T119" s="239"/>
      <c r="U119" s="846"/>
      <c r="V119" s="21"/>
      <c r="W119" s="21"/>
      <c r="X119" s="21"/>
      <c r="Y119" s="21"/>
      <c r="Z119" s="21"/>
      <c r="AA119" s="21"/>
      <c r="AB119" s="239"/>
      <c r="AC119" s="21"/>
      <c r="AD119" s="21"/>
      <c r="AE119" s="21"/>
      <c r="AF119" s="21"/>
      <c r="AG119" s="21"/>
      <c r="AH119" s="21"/>
      <c r="AI119" s="239"/>
      <c r="AJ119" s="181"/>
      <c r="AK119" s="239"/>
      <c r="AL119" s="847"/>
      <c r="AM119" s="21"/>
      <c r="AN119" s="21"/>
      <c r="AO119" s="21"/>
      <c r="AP119" s="21"/>
      <c r="AQ119" s="21"/>
      <c r="AR119" s="21"/>
      <c r="AS119" s="239"/>
      <c r="AT119" s="21"/>
      <c r="AU119" s="21"/>
      <c r="AV119" s="21"/>
      <c r="AW119" s="21"/>
      <c r="AX119" s="254"/>
      <c r="AY119" s="21"/>
      <c r="BF119" s="177"/>
      <c r="BG119" s="177"/>
      <c r="BH119" s="177"/>
      <c r="BI119" s="177"/>
    </row>
    <row r="120" spans="19:61" s="158" customFormat="1" ht="48.75" customHeight="1" x14ac:dyDescent="0.25">
      <c r="S120" s="181"/>
      <c r="T120" s="239"/>
      <c r="U120" s="846"/>
      <c r="V120" s="21"/>
      <c r="W120" s="21"/>
      <c r="X120" s="21"/>
      <c r="Y120" s="21"/>
      <c r="Z120" s="21"/>
      <c r="AA120" s="21"/>
      <c r="AB120" s="239"/>
      <c r="AC120" s="21"/>
      <c r="AD120" s="21"/>
      <c r="AE120" s="21"/>
      <c r="AF120" s="21"/>
      <c r="AG120" s="21"/>
      <c r="AH120" s="21"/>
      <c r="AI120" s="239"/>
      <c r="AJ120" s="175"/>
      <c r="AK120" s="175"/>
      <c r="AL120" s="175"/>
      <c r="AM120" s="175"/>
      <c r="AN120" s="175"/>
      <c r="AO120" s="175"/>
      <c r="AP120" s="175"/>
      <c r="AQ120" s="175"/>
      <c r="AR120" s="175"/>
      <c r="AS120" s="175"/>
      <c r="AT120" s="175"/>
      <c r="AU120" s="175"/>
      <c r="AV120" s="175"/>
      <c r="AW120" s="175"/>
      <c r="AX120" s="175"/>
      <c r="AY120" s="261"/>
      <c r="BF120" s="177"/>
      <c r="BG120" s="177"/>
      <c r="BH120" s="177"/>
      <c r="BI120" s="177"/>
    </row>
    <row r="121" spans="19:61" s="158" customFormat="1" ht="48.75" customHeight="1" x14ac:dyDescent="0.25">
      <c r="S121" s="181"/>
      <c r="T121" s="239"/>
      <c r="U121" s="846"/>
      <c r="V121" s="21"/>
      <c r="W121" s="21"/>
      <c r="X121" s="21"/>
      <c r="Y121" s="21"/>
      <c r="Z121" s="21"/>
      <c r="AA121" s="21"/>
      <c r="AB121" s="239"/>
      <c r="AC121" s="21"/>
      <c r="AD121" s="21"/>
      <c r="AE121" s="21"/>
      <c r="AF121" s="21"/>
      <c r="AG121" s="21"/>
      <c r="AH121" s="21"/>
      <c r="AI121" s="239"/>
      <c r="AJ121" s="181"/>
      <c r="AK121" s="729" t="s">
        <v>890</v>
      </c>
      <c r="AL121" s="729"/>
      <c r="AM121" s="258"/>
      <c r="AN121" s="727" t="s">
        <v>896</v>
      </c>
      <c r="AO121" s="728"/>
      <c r="AP121" s="728"/>
      <c r="AQ121" s="797"/>
      <c r="AR121" s="258"/>
      <c r="AS121" s="239"/>
      <c r="AT121" s="258"/>
      <c r="AU121" s="857"/>
      <c r="AV121" s="857"/>
      <c r="AW121" s="857"/>
      <c r="AX121" s="857"/>
      <c r="AY121" s="258"/>
      <c r="BF121" s="177"/>
      <c r="BG121" s="177"/>
      <c r="BH121" s="177"/>
      <c r="BI121" s="177"/>
    </row>
    <row r="122" spans="19:61" s="158" customFormat="1" ht="48.75" customHeight="1" x14ac:dyDescent="0.25">
      <c r="S122" s="181"/>
      <c r="T122" s="239"/>
      <c r="U122" s="846"/>
      <c r="V122" s="21"/>
      <c r="W122" s="21"/>
      <c r="X122" s="21"/>
      <c r="Y122" s="21"/>
      <c r="Z122" s="21"/>
      <c r="AA122" s="21"/>
      <c r="AB122" s="239"/>
      <c r="AC122" s="21"/>
      <c r="AD122" s="21"/>
      <c r="AE122" s="21"/>
      <c r="AF122" s="21"/>
      <c r="AG122" s="21"/>
      <c r="AH122" s="21"/>
      <c r="AI122" s="239"/>
      <c r="AJ122" s="181"/>
      <c r="AK122" s="822" t="s">
        <v>590</v>
      </c>
      <c r="AL122" s="383"/>
      <c r="AM122" s="218">
        <v>2</v>
      </c>
      <c r="AN122" s="218">
        <v>4</v>
      </c>
      <c r="AO122" s="218">
        <v>6</v>
      </c>
      <c r="AP122" s="218">
        <v>8</v>
      </c>
      <c r="AQ122" s="218">
        <v>10</v>
      </c>
      <c r="AR122" s="218">
        <v>12</v>
      </c>
      <c r="AS122" s="239"/>
      <c r="AT122" s="218">
        <v>2</v>
      </c>
      <c r="AU122" s="218">
        <v>4</v>
      </c>
      <c r="AV122" s="218">
        <v>6</v>
      </c>
      <c r="AW122" s="218">
        <v>8</v>
      </c>
      <c r="AX122" s="218">
        <v>10</v>
      </c>
      <c r="AY122" s="218">
        <v>12</v>
      </c>
      <c r="BF122" s="177"/>
      <c r="BG122" s="177"/>
      <c r="BH122" s="177"/>
      <c r="BI122" s="177"/>
    </row>
    <row r="123" spans="19:61" s="158" customFormat="1" ht="48.75" customHeight="1" x14ac:dyDescent="0.25">
      <c r="S123" s="181"/>
      <c r="T123" s="239"/>
      <c r="U123" s="846"/>
      <c r="V123" s="21"/>
      <c r="W123" s="21"/>
      <c r="X123" s="21"/>
      <c r="Y123" s="21"/>
      <c r="Z123" s="21"/>
      <c r="AA123" s="21"/>
      <c r="AB123" s="239"/>
      <c r="AC123" s="21"/>
      <c r="AD123" s="21"/>
      <c r="AE123" s="21"/>
      <c r="AF123" s="21"/>
      <c r="AG123" s="21"/>
      <c r="AH123" s="21"/>
      <c r="AI123" s="239"/>
      <c r="AJ123" s="181"/>
      <c r="AK123" s="729" t="s">
        <v>189</v>
      </c>
      <c r="AL123" s="729"/>
      <c r="AM123" s="707" t="s">
        <v>684</v>
      </c>
      <c r="AN123" s="708"/>
      <c r="AO123" s="708"/>
      <c r="AP123" s="708"/>
      <c r="AQ123" s="708"/>
      <c r="AR123" s="719"/>
      <c r="AS123" s="239"/>
      <c r="AT123" s="707" t="s">
        <v>685</v>
      </c>
      <c r="AU123" s="708"/>
      <c r="AV123" s="708"/>
      <c r="AW123" s="708"/>
      <c r="AX123" s="708"/>
      <c r="AY123" s="719"/>
      <c r="BF123" s="177"/>
      <c r="BG123" s="177"/>
      <c r="BH123" s="177"/>
      <c r="BI123" s="177"/>
    </row>
    <row r="124" spans="19:61" s="158" customFormat="1" ht="48.75" customHeight="1" x14ac:dyDescent="0.25">
      <c r="S124" s="181"/>
      <c r="T124" s="239"/>
      <c r="U124" s="846"/>
      <c r="V124" s="21"/>
      <c r="W124" s="21"/>
      <c r="X124" s="21"/>
      <c r="Y124" s="21"/>
      <c r="Z124" s="21"/>
      <c r="AA124" s="21"/>
      <c r="AB124" s="239"/>
      <c r="AC124" s="21"/>
      <c r="AD124" s="21"/>
      <c r="AE124" s="21"/>
      <c r="AF124" s="21"/>
      <c r="AG124" s="21"/>
      <c r="AH124" s="21"/>
      <c r="AI124" s="239"/>
      <c r="AJ124" s="181"/>
      <c r="AK124" s="239"/>
      <c r="AL124" s="851" t="s">
        <v>900</v>
      </c>
      <c r="AM124" s="218">
        <v>1.75</v>
      </c>
      <c r="AN124" s="218">
        <v>1.75</v>
      </c>
      <c r="AO124" s="218">
        <v>1.75</v>
      </c>
      <c r="AP124" s="218">
        <v>1.75</v>
      </c>
      <c r="AQ124" s="218">
        <v>1.75</v>
      </c>
      <c r="AR124" s="218">
        <v>1.75</v>
      </c>
      <c r="AS124" s="239"/>
      <c r="AT124" s="218">
        <v>1.8</v>
      </c>
      <c r="AU124" s="218">
        <v>1.8</v>
      </c>
      <c r="AV124" s="218">
        <v>1.8</v>
      </c>
      <c r="AW124" s="218">
        <v>1.8</v>
      </c>
      <c r="AX124" s="218">
        <v>1.8</v>
      </c>
      <c r="AY124" s="218">
        <v>1.8</v>
      </c>
      <c r="BF124" s="177"/>
      <c r="BG124" s="177"/>
      <c r="BH124" s="177"/>
      <c r="BI124" s="177"/>
    </row>
    <row r="125" spans="19:61" s="158" customFormat="1" ht="48.75" customHeight="1" x14ac:dyDescent="0.25">
      <c r="S125" s="255"/>
      <c r="T125" s="239"/>
      <c r="U125" s="846"/>
      <c r="V125" s="21"/>
      <c r="W125" s="21"/>
      <c r="X125" s="21"/>
      <c r="Y125" s="21"/>
      <c r="Z125" s="21"/>
      <c r="AA125" s="21"/>
      <c r="AB125" s="239"/>
      <c r="AC125" s="21"/>
      <c r="AD125" s="21"/>
      <c r="AE125" s="21"/>
      <c r="AF125" s="21"/>
      <c r="AG125" s="21"/>
      <c r="AH125" s="21"/>
      <c r="AI125" s="239"/>
      <c r="AJ125" s="181"/>
      <c r="AK125" s="239"/>
      <c r="AL125" s="851"/>
      <c r="AM125" s="218">
        <v>1.76</v>
      </c>
      <c r="AN125" s="218">
        <v>1.76</v>
      </c>
      <c r="AO125" s="218">
        <v>1.76</v>
      </c>
      <c r="AP125" s="218">
        <v>1.76</v>
      </c>
      <c r="AQ125" s="218">
        <v>1.76</v>
      </c>
      <c r="AR125" s="218">
        <v>1.76</v>
      </c>
      <c r="AS125" s="239"/>
      <c r="AT125" s="218">
        <v>1.81</v>
      </c>
      <c r="AU125" s="218">
        <v>1.81</v>
      </c>
      <c r="AV125" s="218">
        <v>1.81</v>
      </c>
      <c r="AW125" s="218">
        <v>1.81</v>
      </c>
      <c r="AX125" s="218">
        <v>1.81</v>
      </c>
      <c r="AY125" s="218">
        <v>1.81</v>
      </c>
      <c r="BF125" s="177"/>
      <c r="BG125" s="177"/>
      <c r="BH125" s="177"/>
      <c r="BI125" s="177"/>
    </row>
    <row r="126" spans="19:61" s="158" customFormat="1" ht="48.75" customHeight="1" x14ac:dyDescent="0.25">
      <c r="S126" s="181"/>
      <c r="T126" s="239"/>
      <c r="U126" s="846"/>
      <c r="V126" s="21"/>
      <c r="W126" s="21"/>
      <c r="X126" s="21"/>
      <c r="Y126" s="21"/>
      <c r="Z126" s="21"/>
      <c r="AA126" s="21"/>
      <c r="AB126" s="239"/>
      <c r="AC126" s="21"/>
      <c r="AD126" s="21"/>
      <c r="AE126" s="21"/>
      <c r="AF126" s="21"/>
      <c r="AG126" s="21"/>
      <c r="AH126" s="21"/>
      <c r="AI126" s="239"/>
      <c r="AJ126" s="181"/>
      <c r="AK126" s="239"/>
      <c r="AL126" s="851"/>
      <c r="AM126" s="218">
        <v>1.77</v>
      </c>
      <c r="AN126" s="218">
        <v>1.77</v>
      </c>
      <c r="AO126" s="218">
        <v>1.77</v>
      </c>
      <c r="AP126" s="218">
        <v>1.77</v>
      </c>
      <c r="AQ126" s="218">
        <v>1.77</v>
      </c>
      <c r="AR126" s="218">
        <v>1.77</v>
      </c>
      <c r="AS126" s="239"/>
      <c r="AT126" s="218">
        <v>1.82</v>
      </c>
      <c r="AU126" s="218">
        <v>1.82</v>
      </c>
      <c r="AV126" s="218">
        <v>1.82</v>
      </c>
      <c r="AW126" s="218">
        <v>1.82</v>
      </c>
      <c r="AX126" s="218">
        <v>1.82</v>
      </c>
      <c r="AY126" s="218">
        <v>1.82</v>
      </c>
      <c r="BF126" s="177"/>
      <c r="BG126" s="177"/>
      <c r="BH126" s="177"/>
      <c r="BI126" s="177"/>
    </row>
    <row r="127" spans="19:61" s="158" customFormat="1" ht="48.75" customHeight="1" x14ac:dyDescent="0.25">
      <c r="S127" s="181"/>
      <c r="T127" s="239"/>
      <c r="U127" s="846"/>
      <c r="V127" s="21"/>
      <c r="W127" s="21"/>
      <c r="X127" s="21"/>
      <c r="Y127" s="21"/>
      <c r="Z127" s="21"/>
      <c r="AA127" s="21"/>
      <c r="AB127" s="239"/>
      <c r="AC127" s="21"/>
      <c r="AD127" s="21"/>
      <c r="AE127" s="21"/>
      <c r="AF127" s="21"/>
      <c r="AG127" s="21"/>
      <c r="AH127" s="21"/>
      <c r="AI127" s="239"/>
      <c r="AJ127" s="181"/>
      <c r="AK127" s="239"/>
      <c r="AL127" s="851"/>
      <c r="AM127" s="218">
        <v>1.78</v>
      </c>
      <c r="AN127" s="218">
        <v>1.78</v>
      </c>
      <c r="AO127" s="218">
        <v>1.78</v>
      </c>
      <c r="AP127" s="218">
        <v>1.78</v>
      </c>
      <c r="AQ127" s="218">
        <v>1.78</v>
      </c>
      <c r="AR127" s="218">
        <v>1.78</v>
      </c>
      <c r="AS127" s="239"/>
      <c r="AT127" s="218">
        <v>1.83</v>
      </c>
      <c r="AU127" s="218">
        <v>1.83</v>
      </c>
      <c r="AV127" s="218">
        <v>1.83</v>
      </c>
      <c r="AW127" s="218">
        <v>1.83</v>
      </c>
      <c r="AX127" s="218">
        <v>1.83</v>
      </c>
      <c r="AY127" s="218">
        <v>1.83</v>
      </c>
      <c r="BF127" s="177"/>
      <c r="BG127" s="177"/>
      <c r="BH127" s="177"/>
      <c r="BI127" s="177"/>
    </row>
    <row r="128" spans="19:61" s="158" customFormat="1" ht="48.75" customHeight="1" x14ac:dyDescent="0.25">
      <c r="S128" s="181"/>
      <c r="T128" s="239"/>
      <c r="U128" s="846"/>
      <c r="V128" s="21"/>
      <c r="W128" s="21"/>
      <c r="X128" s="21"/>
      <c r="Y128" s="21"/>
      <c r="Z128" s="21"/>
      <c r="AA128" s="21"/>
      <c r="AB128" s="239"/>
      <c r="AC128" s="21"/>
      <c r="AD128" s="21"/>
      <c r="AE128" s="21"/>
      <c r="AF128" s="21"/>
      <c r="AG128" s="21"/>
      <c r="AH128" s="21"/>
      <c r="AI128" s="239"/>
      <c r="AJ128" s="181"/>
      <c r="AK128" s="239"/>
      <c r="AL128" s="851"/>
      <c r="AM128" s="218">
        <v>1.79</v>
      </c>
      <c r="AN128" s="218">
        <v>1.79</v>
      </c>
      <c r="AO128" s="218">
        <v>1.79</v>
      </c>
      <c r="AP128" s="218">
        <v>1.79</v>
      </c>
      <c r="AQ128" s="218">
        <v>1.79</v>
      </c>
      <c r="AR128" s="218">
        <v>1.79</v>
      </c>
      <c r="AS128" s="239"/>
      <c r="AT128" s="218">
        <v>1.84</v>
      </c>
      <c r="AU128" s="218">
        <v>1.84</v>
      </c>
      <c r="AV128" s="218">
        <v>1.84</v>
      </c>
      <c r="AW128" s="218">
        <v>1.84</v>
      </c>
      <c r="AX128" s="218">
        <v>1.84</v>
      </c>
      <c r="AY128" s="218">
        <v>1.84</v>
      </c>
      <c r="BF128" s="177"/>
      <c r="BG128" s="177"/>
      <c r="BH128" s="177"/>
      <c r="BI128" s="177"/>
    </row>
    <row r="129" spans="2:61" s="158" customFormat="1" ht="48.75" customHeight="1" x14ac:dyDescent="0.25">
      <c r="S129" s="181"/>
      <c r="T129" s="239"/>
      <c r="U129" s="846"/>
      <c r="V129" s="21"/>
      <c r="W129" s="21"/>
      <c r="X129" s="21"/>
      <c r="Y129" s="21"/>
      <c r="Z129" s="21"/>
      <c r="AA129" s="21"/>
      <c r="AB129" s="239"/>
      <c r="AC129" s="21"/>
      <c r="AD129" s="21"/>
      <c r="AE129" s="21"/>
      <c r="AF129" s="21"/>
      <c r="AG129" s="21"/>
      <c r="AH129" s="21"/>
      <c r="AI129" s="239"/>
      <c r="AJ129" s="181"/>
      <c r="AK129" s="239"/>
      <c r="AL129" s="851"/>
      <c r="AM129" s="218">
        <v>1.8</v>
      </c>
      <c r="AN129" s="218">
        <v>1.8</v>
      </c>
      <c r="AO129" s="218">
        <v>1.8</v>
      </c>
      <c r="AP129" s="218">
        <v>1.8</v>
      </c>
      <c r="AQ129" s="218">
        <v>1.8</v>
      </c>
      <c r="AR129" s="218">
        <v>1.8</v>
      </c>
      <c r="AS129" s="239"/>
      <c r="AT129" s="218">
        <v>1.85</v>
      </c>
      <c r="AU129" s="218">
        <v>1.85</v>
      </c>
      <c r="AV129" s="218">
        <v>1.85</v>
      </c>
      <c r="AW129" s="218">
        <v>1.85</v>
      </c>
      <c r="AX129" s="218">
        <v>1.85</v>
      </c>
      <c r="AY129" s="218">
        <v>1.85</v>
      </c>
      <c r="BF129" s="177"/>
      <c r="BG129" s="177"/>
      <c r="BH129" s="177"/>
      <c r="BI129" s="177"/>
    </row>
    <row r="130" spans="2:61" s="158" customFormat="1" ht="48.75" customHeight="1" x14ac:dyDescent="0.25">
      <c r="P130" s="177"/>
      <c r="Q130" s="177"/>
      <c r="S130" s="181"/>
      <c r="T130" s="239"/>
      <c r="U130" s="847"/>
      <c r="V130" s="21"/>
      <c r="W130" s="21"/>
      <c r="X130" s="21"/>
      <c r="Y130" s="21"/>
      <c r="Z130" s="21"/>
      <c r="AA130" s="21"/>
      <c r="AB130" s="239"/>
      <c r="AC130" s="21"/>
      <c r="AD130" s="21"/>
      <c r="AE130" s="21"/>
      <c r="AF130" s="21"/>
      <c r="AG130" s="21"/>
      <c r="AH130" s="21"/>
      <c r="AI130" s="239"/>
      <c r="AJ130" s="181"/>
      <c r="AK130" s="239"/>
      <c r="AL130" s="851"/>
      <c r="AM130" s="218">
        <v>1.81</v>
      </c>
      <c r="AN130" s="218">
        <v>1.81</v>
      </c>
      <c r="AO130" s="218">
        <v>1.81</v>
      </c>
      <c r="AP130" s="218">
        <v>1.81</v>
      </c>
      <c r="AQ130" s="218">
        <v>1.81</v>
      </c>
      <c r="AR130" s="218">
        <v>1.81</v>
      </c>
      <c r="AS130" s="239"/>
      <c r="AT130" s="218">
        <v>1.86</v>
      </c>
      <c r="AU130" s="218">
        <v>1.86</v>
      </c>
      <c r="AV130" s="218">
        <v>1.86</v>
      </c>
      <c r="AW130" s="218">
        <v>1.86</v>
      </c>
      <c r="AX130" s="218">
        <v>1.86</v>
      </c>
      <c r="AY130" s="218">
        <v>1.86</v>
      </c>
      <c r="BF130" s="177"/>
      <c r="BG130" s="177"/>
      <c r="BH130" s="177"/>
      <c r="BI130" s="177"/>
    </row>
    <row r="131" spans="2:61" s="158" customFormat="1" ht="48.75" customHeight="1" x14ac:dyDescent="0.25">
      <c r="P131" s="177"/>
      <c r="Q131" s="177"/>
      <c r="S131" s="253"/>
      <c r="T131" s="175"/>
      <c r="U131" s="175"/>
      <c r="V131" s="175"/>
      <c r="W131" s="175"/>
      <c r="X131" s="175"/>
      <c r="Y131" s="175"/>
      <c r="Z131" s="175"/>
      <c r="AA131" s="175"/>
      <c r="AB131" s="175"/>
      <c r="AC131" s="175"/>
      <c r="AD131" s="175"/>
      <c r="AE131" s="175"/>
      <c r="AF131" s="175"/>
      <c r="AG131" s="175"/>
      <c r="AH131" s="150"/>
      <c r="AI131" s="239"/>
      <c r="AJ131" s="181"/>
      <c r="AK131" s="239"/>
      <c r="AL131" s="851"/>
      <c r="AM131" s="218">
        <v>1.82</v>
      </c>
      <c r="AN131" s="218">
        <v>1.82</v>
      </c>
      <c r="AO131" s="218">
        <v>1.82</v>
      </c>
      <c r="AP131" s="218">
        <v>1.82</v>
      </c>
      <c r="AQ131" s="218">
        <v>1.82</v>
      </c>
      <c r="AR131" s="218">
        <v>1.82</v>
      </c>
      <c r="AS131" s="239"/>
      <c r="AT131" s="218">
        <v>1.87</v>
      </c>
      <c r="AU131" s="218">
        <v>1.87</v>
      </c>
      <c r="AV131" s="218">
        <v>1.87</v>
      </c>
      <c r="AW131" s="218">
        <v>1.87</v>
      </c>
      <c r="AX131" s="218">
        <v>1.87</v>
      </c>
      <c r="AY131" s="218">
        <v>1.87</v>
      </c>
      <c r="BF131" s="177"/>
      <c r="BG131" s="177"/>
      <c r="BH131" s="177"/>
      <c r="BI131" s="177"/>
    </row>
    <row r="132" spans="2:61" s="158" customFormat="1" ht="48.75" customHeight="1" x14ac:dyDescent="0.25">
      <c r="P132" s="177"/>
      <c r="Q132" s="177"/>
      <c r="S132" s="255"/>
      <c r="T132" s="729" t="s">
        <v>890</v>
      </c>
      <c r="U132" s="729"/>
      <c r="V132" s="264" t="s">
        <v>604</v>
      </c>
      <c r="W132" s="800" t="s">
        <v>663</v>
      </c>
      <c r="X132" s="787"/>
      <c r="Y132" s="787"/>
      <c r="Z132" s="788"/>
      <c r="AA132" s="264" t="s">
        <v>604</v>
      </c>
      <c r="AB132" s="726"/>
      <c r="AC132" s="264" t="s">
        <v>604</v>
      </c>
      <c r="AD132" s="800" t="s">
        <v>663</v>
      </c>
      <c r="AE132" s="787"/>
      <c r="AF132" s="787"/>
      <c r="AG132" s="788"/>
      <c r="AH132" s="264" t="s">
        <v>604</v>
      </c>
      <c r="AI132" s="239"/>
      <c r="AJ132" s="181"/>
      <c r="AK132" s="239"/>
      <c r="AL132" s="851"/>
      <c r="AM132" s="218">
        <v>1.83</v>
      </c>
      <c r="AN132" s="218">
        <v>1.83</v>
      </c>
      <c r="AO132" s="218">
        <v>1.83</v>
      </c>
      <c r="AP132" s="218">
        <v>1.83</v>
      </c>
      <c r="AQ132" s="218">
        <v>1.83</v>
      </c>
      <c r="AR132" s="218">
        <v>1.83</v>
      </c>
      <c r="AS132" s="239"/>
      <c r="AT132" s="218">
        <v>1.88</v>
      </c>
      <c r="AU132" s="218">
        <v>1.88</v>
      </c>
      <c r="AV132" s="218">
        <v>1.88</v>
      </c>
      <c r="AW132" s="218">
        <v>1.88</v>
      </c>
      <c r="AX132" s="218">
        <v>1.88</v>
      </c>
      <c r="AY132" s="218">
        <v>1.88</v>
      </c>
      <c r="BF132" s="177"/>
      <c r="BG132" s="177"/>
      <c r="BH132" s="177"/>
      <c r="BI132" s="177"/>
    </row>
    <row r="133" spans="2:61" s="158" customFormat="1" ht="48.75" customHeight="1" x14ac:dyDescent="0.25">
      <c r="B133" s="707" t="s">
        <v>721</v>
      </c>
      <c r="C133" s="708"/>
      <c r="D133" s="708"/>
      <c r="E133" s="708"/>
      <c r="F133" s="708"/>
      <c r="G133" s="708"/>
      <c r="H133" s="708"/>
      <c r="I133" s="708"/>
      <c r="J133" s="708"/>
      <c r="K133" s="708"/>
      <c r="L133" s="719"/>
      <c r="M133" s="804"/>
      <c r="P133" s="177"/>
      <c r="Q133" s="177"/>
      <c r="S133" s="255"/>
      <c r="T133" s="822" t="s">
        <v>891</v>
      </c>
      <c r="U133" s="383"/>
      <c r="V133" s="259"/>
      <c r="W133" s="800" t="s">
        <v>897</v>
      </c>
      <c r="X133" s="787"/>
      <c r="Y133" s="787"/>
      <c r="Z133" s="788"/>
      <c r="AA133" s="259"/>
      <c r="AB133" s="726"/>
      <c r="AC133" s="256"/>
      <c r="AD133" s="800" t="s">
        <v>666</v>
      </c>
      <c r="AE133" s="787"/>
      <c r="AF133" s="787"/>
      <c r="AG133" s="788"/>
      <c r="AH133" s="257"/>
      <c r="AI133" s="239"/>
      <c r="AJ133" s="181"/>
      <c r="AK133" s="239"/>
      <c r="AL133" s="851"/>
      <c r="AM133" s="218">
        <v>1.84</v>
      </c>
      <c r="AN133" s="218">
        <v>1.84</v>
      </c>
      <c r="AO133" s="218">
        <v>1.84</v>
      </c>
      <c r="AP133" s="218">
        <v>1.84</v>
      </c>
      <c r="AQ133" s="218">
        <v>1.84</v>
      </c>
      <c r="AR133" s="218">
        <v>1.84</v>
      </c>
      <c r="AS133" s="239"/>
      <c r="AT133" s="218">
        <v>1.89</v>
      </c>
      <c r="AU133" s="218">
        <v>1.89</v>
      </c>
      <c r="AV133" s="218">
        <v>1.89</v>
      </c>
      <c r="AW133" s="218">
        <v>1.89</v>
      </c>
      <c r="AX133" s="218">
        <v>1.89</v>
      </c>
      <c r="AY133" s="218">
        <v>1.89</v>
      </c>
      <c r="BF133" s="177"/>
      <c r="BG133" s="177"/>
      <c r="BH133" s="177"/>
      <c r="BI133" s="177"/>
    </row>
    <row r="134" spans="2:61" s="158" customFormat="1" ht="48.75" customHeight="1" x14ac:dyDescent="0.25">
      <c r="B134" s="709"/>
      <c r="C134" s="710"/>
      <c r="D134" s="710"/>
      <c r="E134" s="710"/>
      <c r="F134" s="710"/>
      <c r="G134" s="710"/>
      <c r="H134" s="710"/>
      <c r="I134" s="710"/>
      <c r="J134" s="710"/>
      <c r="K134" s="710"/>
      <c r="L134" s="724"/>
      <c r="M134" s="805"/>
      <c r="P134" s="177"/>
      <c r="Q134" s="177"/>
      <c r="S134" s="255"/>
      <c r="T134" s="822" t="s">
        <v>590</v>
      </c>
      <c r="U134" s="383"/>
      <c r="V134" s="218">
        <v>2</v>
      </c>
      <c r="W134" s="218">
        <v>4</v>
      </c>
      <c r="X134" s="218">
        <v>6</v>
      </c>
      <c r="Y134" s="218">
        <v>8</v>
      </c>
      <c r="Z134" s="218">
        <v>10</v>
      </c>
      <c r="AA134" s="218">
        <v>12</v>
      </c>
      <c r="AB134" s="726"/>
      <c r="AC134" s="218">
        <v>2</v>
      </c>
      <c r="AD134" s="218">
        <v>4</v>
      </c>
      <c r="AE134" s="218">
        <v>6</v>
      </c>
      <c r="AF134" s="218">
        <v>8</v>
      </c>
      <c r="AG134" s="218">
        <v>10</v>
      </c>
      <c r="AH134" s="218">
        <v>12</v>
      </c>
      <c r="AI134" s="239"/>
      <c r="AJ134" s="181"/>
      <c r="AK134" s="239"/>
      <c r="AL134" s="851"/>
      <c r="AM134" s="218">
        <v>1.85</v>
      </c>
      <c r="AN134" s="218">
        <v>1.85</v>
      </c>
      <c r="AO134" s="218">
        <v>1.85</v>
      </c>
      <c r="AP134" s="218">
        <v>1.85</v>
      </c>
      <c r="AQ134" s="218">
        <v>1.85</v>
      </c>
      <c r="AR134" s="218">
        <v>1.85</v>
      </c>
      <c r="AS134" s="239"/>
      <c r="AT134" s="218">
        <v>1.9</v>
      </c>
      <c r="AU134" s="218">
        <v>1.9</v>
      </c>
      <c r="AV134" s="218">
        <v>1.9</v>
      </c>
      <c r="AW134" s="218">
        <v>1.9</v>
      </c>
      <c r="AX134" s="218">
        <v>1.9</v>
      </c>
      <c r="AY134" s="218">
        <v>1.9</v>
      </c>
      <c r="BF134" s="177"/>
      <c r="BG134" s="177"/>
      <c r="BH134" s="177"/>
      <c r="BI134" s="177"/>
    </row>
    <row r="135" spans="2:61" s="158" customFormat="1" ht="48.75" customHeight="1" x14ac:dyDescent="0.25">
      <c r="B135" s="446" t="s">
        <v>707</v>
      </c>
      <c r="C135" s="796" t="s">
        <v>719</v>
      </c>
      <c r="D135" s="446" t="s">
        <v>708</v>
      </c>
      <c r="E135" s="446" t="s">
        <v>168</v>
      </c>
      <c r="F135" s="446"/>
      <c r="G135" s="446"/>
      <c r="H135" s="446" t="s">
        <v>709</v>
      </c>
      <c r="I135" s="446"/>
      <c r="J135" s="446"/>
      <c r="K135" s="446" t="s">
        <v>710</v>
      </c>
      <c r="L135" s="446"/>
      <c r="M135" s="446"/>
      <c r="P135" s="177"/>
      <c r="Q135" s="177"/>
      <c r="S135" s="255"/>
      <c r="T135" s="729" t="s">
        <v>189</v>
      </c>
      <c r="U135" s="729"/>
      <c r="V135" s="21"/>
      <c r="W135" s="21"/>
      <c r="X135" s="21"/>
      <c r="Y135" s="21"/>
      <c r="Z135" s="21"/>
      <c r="AA135" s="21"/>
      <c r="AB135" s="726"/>
      <c r="AC135" s="21"/>
      <c r="AD135" s="21"/>
      <c r="AE135" s="21"/>
      <c r="AF135" s="21"/>
      <c r="AG135" s="21"/>
      <c r="AH135" s="21"/>
      <c r="AI135" s="239"/>
      <c r="AJ135" s="181"/>
      <c r="AK135" s="239"/>
      <c r="AL135" s="851"/>
      <c r="AM135" s="222" t="s">
        <v>604</v>
      </c>
      <c r="AN135" s="222" t="s">
        <v>604</v>
      </c>
      <c r="AO135" s="222" t="s">
        <v>604</v>
      </c>
      <c r="AP135" s="222" t="s">
        <v>604</v>
      </c>
      <c r="AQ135" s="222" t="s">
        <v>604</v>
      </c>
      <c r="AR135" s="222" t="s">
        <v>604</v>
      </c>
      <c r="AS135" s="239"/>
      <c r="AT135" s="218">
        <v>1.91</v>
      </c>
      <c r="AU135" s="218">
        <v>1.91</v>
      </c>
      <c r="AV135" s="218">
        <v>1.91</v>
      </c>
      <c r="AW135" s="218">
        <v>1.91</v>
      </c>
      <c r="AX135" s="218">
        <v>1.91</v>
      </c>
      <c r="AY135" s="218">
        <v>1.91</v>
      </c>
      <c r="BF135" s="177"/>
      <c r="BG135" s="177"/>
      <c r="BH135" s="177"/>
      <c r="BI135" s="177"/>
    </row>
    <row r="136" spans="2:61" s="158" customFormat="1" ht="48.75" customHeight="1" x14ac:dyDescent="0.25">
      <c r="B136" s="446"/>
      <c r="C136" s="796"/>
      <c r="D136" s="446"/>
      <c r="E136" s="446" t="s">
        <v>711</v>
      </c>
      <c r="F136" s="446"/>
      <c r="G136" s="713" t="s">
        <v>720</v>
      </c>
      <c r="H136" s="446" t="s">
        <v>711</v>
      </c>
      <c r="I136" s="446"/>
      <c r="J136" s="713" t="s">
        <v>720</v>
      </c>
      <c r="K136" s="446" t="s">
        <v>711</v>
      </c>
      <c r="L136" s="446"/>
      <c r="M136" s="713" t="s">
        <v>720</v>
      </c>
      <c r="P136" s="177"/>
      <c r="Q136" s="177"/>
      <c r="S136" s="255"/>
      <c r="T136" s="239"/>
      <c r="U136" s="845" t="s">
        <v>892</v>
      </c>
      <c r="V136" s="21"/>
      <c r="W136" s="21"/>
      <c r="X136" s="21"/>
      <c r="Y136" s="21"/>
      <c r="Z136" s="21"/>
      <c r="AA136" s="21"/>
      <c r="AB136" s="239"/>
      <c r="AC136" s="21"/>
      <c r="AD136" s="21"/>
      <c r="AE136" s="21"/>
      <c r="AF136" s="21"/>
      <c r="AG136" s="21"/>
      <c r="AH136" s="21"/>
      <c r="AI136" s="239"/>
      <c r="AJ136" s="181"/>
      <c r="AK136" s="239"/>
      <c r="AL136" s="851"/>
      <c r="AM136" s="222" t="s">
        <v>604</v>
      </c>
      <c r="AN136" s="222" t="s">
        <v>604</v>
      </c>
      <c r="AO136" s="222" t="s">
        <v>604</v>
      </c>
      <c r="AP136" s="222" t="s">
        <v>604</v>
      </c>
      <c r="AQ136" s="222" t="s">
        <v>604</v>
      </c>
      <c r="AR136" s="222" t="s">
        <v>604</v>
      </c>
      <c r="AS136" s="239"/>
      <c r="AT136" s="218">
        <v>1.92</v>
      </c>
      <c r="AU136" s="218">
        <v>1.92</v>
      </c>
      <c r="AV136" s="218">
        <v>1.92</v>
      </c>
      <c r="AW136" s="218">
        <v>1.92</v>
      </c>
      <c r="AX136" s="218">
        <v>1.92</v>
      </c>
      <c r="AY136" s="218">
        <v>1.92</v>
      </c>
      <c r="BF136" s="177"/>
      <c r="BG136" s="177"/>
      <c r="BH136" s="177"/>
      <c r="BI136" s="177"/>
    </row>
    <row r="137" spans="2:61" s="158" customFormat="1" ht="48.75" customHeight="1" x14ac:dyDescent="0.25">
      <c r="B137" s="446"/>
      <c r="C137" s="796"/>
      <c r="D137" s="446"/>
      <c r="E137" s="446"/>
      <c r="F137" s="446"/>
      <c r="G137" s="713"/>
      <c r="H137" s="446"/>
      <c r="I137" s="446"/>
      <c r="J137" s="713"/>
      <c r="K137" s="446"/>
      <c r="L137" s="446"/>
      <c r="M137" s="713"/>
      <c r="P137" s="177"/>
      <c r="Q137" s="177"/>
      <c r="S137" s="255"/>
      <c r="T137" s="239"/>
      <c r="U137" s="846"/>
      <c r="V137" s="21"/>
      <c r="W137" s="21"/>
      <c r="X137" s="21"/>
      <c r="Y137" s="21"/>
      <c r="Z137" s="21"/>
      <c r="AA137" s="21"/>
      <c r="AB137" s="239"/>
      <c r="AC137" s="21"/>
      <c r="AD137" s="21"/>
      <c r="AE137" s="21"/>
      <c r="AF137" s="21"/>
      <c r="AG137" s="21"/>
      <c r="AH137" s="21"/>
      <c r="AI137" s="239"/>
      <c r="AJ137" s="181"/>
      <c r="AK137" s="239"/>
      <c r="AL137" s="851"/>
      <c r="AM137" s="222" t="s">
        <v>604</v>
      </c>
      <c r="AN137" s="222" t="s">
        <v>604</v>
      </c>
      <c r="AO137" s="222" t="s">
        <v>604</v>
      </c>
      <c r="AP137" s="265" t="s">
        <v>604</v>
      </c>
      <c r="AQ137" s="222" t="s">
        <v>604</v>
      </c>
      <c r="AR137" s="265" t="s">
        <v>604</v>
      </c>
      <c r="AS137" s="239"/>
      <c r="AT137" s="218">
        <v>1.93</v>
      </c>
      <c r="AU137" s="218">
        <v>1.93</v>
      </c>
      <c r="AV137" s="218">
        <v>1.93</v>
      </c>
      <c r="AW137" s="218">
        <v>1.93</v>
      </c>
      <c r="AX137" s="218">
        <v>1.93</v>
      </c>
      <c r="AY137" s="218">
        <v>1.93</v>
      </c>
      <c r="BF137" s="177"/>
      <c r="BG137" s="177"/>
      <c r="BH137" s="177"/>
      <c r="BI137" s="177"/>
    </row>
    <row r="138" spans="2:61" s="158" customFormat="1" ht="48.75" customHeight="1" x14ac:dyDescent="0.25">
      <c r="B138" s="188" t="s">
        <v>712</v>
      </c>
      <c r="C138" s="188" t="s">
        <v>713</v>
      </c>
      <c r="D138" s="188">
        <v>2013</v>
      </c>
      <c r="E138" s="446" t="s">
        <v>714</v>
      </c>
      <c r="F138" s="446"/>
      <c r="G138" s="188">
        <v>0.97</v>
      </c>
      <c r="H138" s="446" t="s">
        <v>714</v>
      </c>
      <c r="I138" s="446"/>
      <c r="J138" s="188">
        <v>0.97</v>
      </c>
      <c r="K138" s="446" t="s">
        <v>339</v>
      </c>
      <c r="L138" s="446"/>
      <c r="M138" s="188" t="s">
        <v>339</v>
      </c>
      <c r="P138" s="177"/>
      <c r="Q138" s="177"/>
      <c r="S138" s="255"/>
      <c r="T138" s="239"/>
      <c r="U138" s="846"/>
      <c r="V138" s="21"/>
      <c r="W138" s="21"/>
      <c r="X138" s="21"/>
      <c r="Y138" s="21"/>
      <c r="Z138" s="21"/>
      <c r="AA138" s="21"/>
      <c r="AB138" s="239"/>
      <c r="AC138" s="21"/>
      <c r="AD138" s="21"/>
      <c r="AE138" s="21"/>
      <c r="AF138" s="21"/>
      <c r="AG138" s="21"/>
      <c r="AH138" s="21"/>
      <c r="AI138" s="239"/>
      <c r="AJ138" s="181"/>
      <c r="AK138" s="239"/>
      <c r="AL138" s="851"/>
      <c r="AM138" s="222" t="s">
        <v>604</v>
      </c>
      <c r="AN138" s="222" t="s">
        <v>604</v>
      </c>
      <c r="AO138" s="222" t="s">
        <v>604</v>
      </c>
      <c r="AP138" s="222" t="s">
        <v>604</v>
      </c>
      <c r="AQ138" s="222" t="s">
        <v>604</v>
      </c>
      <c r="AR138" s="222" t="s">
        <v>604</v>
      </c>
      <c r="AS138" s="239"/>
      <c r="AT138" s="218">
        <v>1.94</v>
      </c>
      <c r="AU138" s="218">
        <v>1.94</v>
      </c>
      <c r="AV138" s="218">
        <v>1.94</v>
      </c>
      <c r="AW138" s="218">
        <v>1.94</v>
      </c>
      <c r="AX138" s="218">
        <v>1.94</v>
      </c>
      <c r="AY138" s="218">
        <v>1.94</v>
      </c>
      <c r="BF138" s="177"/>
      <c r="BG138" s="177"/>
      <c r="BH138" s="177"/>
      <c r="BI138" s="177"/>
    </row>
    <row r="139" spans="2:61" s="158" customFormat="1" ht="48.75" customHeight="1" x14ac:dyDescent="0.25">
      <c r="B139" s="188" t="s">
        <v>715</v>
      </c>
      <c r="C139" s="188" t="s">
        <v>713</v>
      </c>
      <c r="D139" s="188">
        <v>2312</v>
      </c>
      <c r="E139" s="446" t="s">
        <v>716</v>
      </c>
      <c r="F139" s="446"/>
      <c r="G139" s="188">
        <v>0.95</v>
      </c>
      <c r="H139" s="446" t="s">
        <v>717</v>
      </c>
      <c r="I139" s="446"/>
      <c r="J139" s="188">
        <v>0.97</v>
      </c>
      <c r="K139" s="446" t="s">
        <v>716</v>
      </c>
      <c r="L139" s="446"/>
      <c r="M139" s="188">
        <v>0.95</v>
      </c>
      <c r="P139" s="177"/>
      <c r="Q139" s="177"/>
      <c r="S139" s="255"/>
      <c r="T139" s="239"/>
      <c r="U139" s="846"/>
      <c r="V139" s="21"/>
      <c r="W139" s="21"/>
      <c r="X139" s="21"/>
      <c r="Y139" s="21"/>
      <c r="Z139" s="21"/>
      <c r="AA139" s="21"/>
      <c r="AB139" s="239"/>
      <c r="AC139" s="21"/>
      <c r="AD139" s="21"/>
      <c r="AE139" s="21"/>
      <c r="AF139" s="21"/>
      <c r="AG139" s="21"/>
      <c r="AH139" s="21"/>
      <c r="AI139" s="239"/>
      <c r="AJ139" s="181"/>
      <c r="AK139" s="239"/>
      <c r="AL139" s="851"/>
      <c r="AM139" s="222" t="s">
        <v>604</v>
      </c>
      <c r="AN139" s="222" t="s">
        <v>604</v>
      </c>
      <c r="AO139" s="222" t="s">
        <v>604</v>
      </c>
      <c r="AP139" s="222" t="s">
        <v>604</v>
      </c>
      <c r="AQ139" s="222" t="s">
        <v>604</v>
      </c>
      <c r="AR139" s="222" t="s">
        <v>604</v>
      </c>
      <c r="AS139" s="239"/>
      <c r="AT139" s="218">
        <v>1.95</v>
      </c>
      <c r="AU139" s="218">
        <v>1.95</v>
      </c>
      <c r="AV139" s="218">
        <v>1.95</v>
      </c>
      <c r="AW139" s="218">
        <v>1.95</v>
      </c>
      <c r="AX139" s="218">
        <v>1.95</v>
      </c>
      <c r="AY139" s="218">
        <v>1.95</v>
      </c>
      <c r="BF139" s="177"/>
      <c r="BG139" s="177"/>
      <c r="BH139" s="177"/>
      <c r="BI139" s="177"/>
    </row>
    <row r="140" spans="2:61" s="158" customFormat="1" ht="48.75" customHeight="1" x14ac:dyDescent="0.25">
      <c r="B140" s="188" t="s">
        <v>718</v>
      </c>
      <c r="C140" s="188">
        <v>6000</v>
      </c>
      <c r="D140" s="188">
        <v>2411</v>
      </c>
      <c r="E140" s="446" t="s">
        <v>716</v>
      </c>
      <c r="F140" s="446"/>
      <c r="G140" s="188">
        <v>0.95</v>
      </c>
      <c r="H140" s="446" t="s">
        <v>716</v>
      </c>
      <c r="I140" s="446"/>
      <c r="J140" s="188">
        <v>0.95</v>
      </c>
      <c r="K140" s="446" t="s">
        <v>716</v>
      </c>
      <c r="L140" s="446"/>
      <c r="M140" s="188">
        <v>0.95</v>
      </c>
      <c r="S140" s="255"/>
      <c r="T140" s="239"/>
      <c r="U140" s="846"/>
      <c r="V140" s="21"/>
      <c r="W140" s="21"/>
      <c r="X140" s="21"/>
      <c r="Y140" s="21"/>
      <c r="Z140" s="21"/>
      <c r="AA140" s="21"/>
      <c r="AB140" s="239"/>
      <c r="AC140" s="21"/>
      <c r="AD140" s="21"/>
      <c r="AE140" s="21"/>
      <c r="AF140" s="21"/>
      <c r="AG140" s="21"/>
      <c r="AH140" s="21"/>
      <c r="AI140" s="239"/>
      <c r="AJ140" s="175"/>
      <c r="AK140" s="175"/>
      <c r="AL140" s="175"/>
      <c r="AM140" s="175"/>
      <c r="AN140" s="175"/>
      <c r="AO140" s="175"/>
      <c r="AP140" s="175"/>
      <c r="AQ140" s="175"/>
      <c r="AR140" s="175"/>
      <c r="AS140" s="175"/>
      <c r="AT140" s="175"/>
      <c r="AU140" s="175"/>
      <c r="AV140" s="175"/>
      <c r="AW140" s="175"/>
      <c r="AX140" s="175"/>
      <c r="AY140" s="261"/>
      <c r="BF140" s="177"/>
      <c r="BG140" s="177"/>
      <c r="BH140" s="177"/>
      <c r="BI140" s="177"/>
    </row>
    <row r="141" spans="2:61" s="158" customFormat="1" ht="48.75" customHeight="1" x14ac:dyDescent="0.25">
      <c r="S141" s="255"/>
      <c r="T141" s="239"/>
      <c r="U141" s="846"/>
      <c r="V141" s="21"/>
      <c r="W141" s="21"/>
      <c r="X141" s="21"/>
      <c r="Y141" s="21"/>
      <c r="Z141" s="21"/>
      <c r="AA141" s="21"/>
      <c r="AB141" s="239"/>
      <c r="AC141" s="21"/>
      <c r="AD141" s="21"/>
      <c r="AE141" s="21"/>
      <c r="AF141" s="21"/>
      <c r="AG141" s="21"/>
      <c r="AH141" s="21"/>
      <c r="AI141" s="239"/>
      <c r="AJ141" s="181"/>
      <c r="AK141" s="729" t="s">
        <v>890</v>
      </c>
      <c r="AL141" s="729"/>
      <c r="AM141" s="264" t="s">
        <v>604</v>
      </c>
      <c r="AN141" s="727" t="s">
        <v>903</v>
      </c>
      <c r="AO141" s="728"/>
      <c r="AP141" s="728"/>
      <c r="AQ141" s="797"/>
      <c r="AR141" s="264" t="s">
        <v>604</v>
      </c>
      <c r="AS141" s="725"/>
      <c r="AT141" s="264" t="s">
        <v>604</v>
      </c>
      <c r="AU141" s="727" t="s">
        <v>903</v>
      </c>
      <c r="AV141" s="728"/>
      <c r="AW141" s="728"/>
      <c r="AX141" s="797"/>
      <c r="AY141" s="264" t="s">
        <v>604</v>
      </c>
      <c r="BF141" s="177"/>
      <c r="BG141" s="177"/>
      <c r="BH141" s="177"/>
      <c r="BI141" s="177"/>
    </row>
    <row r="142" spans="2:61" s="158" customFormat="1" ht="48.75" customHeight="1" x14ac:dyDescent="0.25">
      <c r="S142" s="255"/>
      <c r="T142" s="239"/>
      <c r="U142" s="846"/>
      <c r="V142" s="21"/>
      <c r="W142" s="21"/>
      <c r="X142" s="21"/>
      <c r="Y142" s="21"/>
      <c r="Z142" s="21"/>
      <c r="AA142" s="21"/>
      <c r="AB142" s="239"/>
      <c r="AC142" s="21"/>
      <c r="AD142" s="21"/>
      <c r="AE142" s="21"/>
      <c r="AF142" s="21"/>
      <c r="AG142" s="21"/>
      <c r="AH142" s="21"/>
      <c r="AI142" s="239"/>
      <c r="AJ142" s="181"/>
      <c r="AK142" s="729" t="s">
        <v>891</v>
      </c>
      <c r="AL142" s="729"/>
      <c r="AM142" s="258"/>
      <c r="AN142" s="800" t="s">
        <v>687</v>
      </c>
      <c r="AO142" s="787"/>
      <c r="AP142" s="787"/>
      <c r="AQ142" s="788"/>
      <c r="AR142" s="258"/>
      <c r="AS142" s="726"/>
      <c r="AT142" s="258"/>
      <c r="AU142" s="800" t="s">
        <v>687</v>
      </c>
      <c r="AV142" s="787"/>
      <c r="AW142" s="787"/>
      <c r="AX142" s="788"/>
      <c r="AY142" s="258"/>
      <c r="BF142" s="177"/>
      <c r="BG142" s="177"/>
      <c r="BH142" s="177"/>
      <c r="BI142" s="177"/>
    </row>
    <row r="143" spans="2:61" s="158" customFormat="1" ht="48.75" customHeight="1" x14ac:dyDescent="0.25">
      <c r="S143" s="255"/>
      <c r="T143" s="239"/>
      <c r="U143" s="846"/>
      <c r="V143" s="21"/>
      <c r="W143" s="21"/>
      <c r="X143" s="21"/>
      <c r="Y143" s="21"/>
      <c r="Z143" s="21"/>
      <c r="AA143" s="21"/>
      <c r="AB143" s="239"/>
      <c r="AC143" s="21"/>
      <c r="AD143" s="21"/>
      <c r="AE143" s="21"/>
      <c r="AF143" s="21"/>
      <c r="AG143" s="21"/>
      <c r="AH143" s="21"/>
      <c r="AI143" s="239"/>
      <c r="AJ143" s="181"/>
      <c r="AK143" s="822" t="s">
        <v>590</v>
      </c>
      <c r="AL143" s="383"/>
      <c r="AM143" s="218">
        <v>2</v>
      </c>
      <c r="AN143" s="218">
        <v>4</v>
      </c>
      <c r="AO143" s="218">
        <v>6</v>
      </c>
      <c r="AP143" s="218">
        <v>8</v>
      </c>
      <c r="AQ143" s="218">
        <v>10</v>
      </c>
      <c r="AR143" s="218">
        <v>12</v>
      </c>
      <c r="AS143" s="726"/>
      <c r="AT143" s="218">
        <v>2</v>
      </c>
      <c r="AU143" s="218">
        <v>4</v>
      </c>
      <c r="AV143" s="218">
        <v>6</v>
      </c>
      <c r="AW143" s="218">
        <v>8</v>
      </c>
      <c r="AX143" s="218">
        <v>10</v>
      </c>
      <c r="AY143" s="218">
        <v>12</v>
      </c>
      <c r="BF143" s="177"/>
      <c r="BG143" s="177"/>
      <c r="BH143" s="177"/>
      <c r="BI143" s="177"/>
    </row>
    <row r="144" spans="2:61" s="158" customFormat="1" ht="48.75" customHeight="1" x14ac:dyDescent="0.25">
      <c r="S144" s="255"/>
      <c r="T144" s="239"/>
      <c r="U144" s="846"/>
      <c r="V144" s="21"/>
      <c r="W144" s="21"/>
      <c r="X144" s="21"/>
      <c r="Y144" s="21"/>
      <c r="Z144" s="21"/>
      <c r="AA144" s="21"/>
      <c r="AB144" s="239"/>
      <c r="AC144" s="21"/>
      <c r="AD144" s="21"/>
      <c r="AE144" s="21"/>
      <c r="AF144" s="21"/>
      <c r="AG144" s="21"/>
      <c r="AH144" s="21"/>
      <c r="AI144" s="239"/>
      <c r="AJ144" s="181"/>
      <c r="AK144" s="729" t="s">
        <v>189</v>
      </c>
      <c r="AL144" s="729"/>
      <c r="AM144" s="21"/>
      <c r="AN144" s="21"/>
      <c r="AO144" s="21"/>
      <c r="AP144" s="21"/>
      <c r="AQ144" s="21"/>
      <c r="AR144" s="21"/>
      <c r="AS144" s="726"/>
      <c r="AT144" s="21"/>
      <c r="AU144" s="21"/>
      <c r="AV144" s="21"/>
      <c r="AW144" s="21"/>
      <c r="AX144" s="254"/>
      <c r="AY144" s="21"/>
      <c r="BF144" s="177"/>
      <c r="BG144" s="177"/>
      <c r="BH144" s="177"/>
      <c r="BI144" s="177"/>
    </row>
    <row r="145" spans="19:61" s="158" customFormat="1" ht="48.75" customHeight="1" x14ac:dyDescent="0.25">
      <c r="S145" s="255"/>
      <c r="T145" s="239"/>
      <c r="U145" s="846"/>
      <c r="V145" s="21"/>
      <c r="W145" s="21"/>
      <c r="X145" s="21"/>
      <c r="Y145" s="21"/>
      <c r="Z145" s="21"/>
      <c r="AA145" s="21"/>
      <c r="AB145" s="239"/>
      <c r="AC145" s="21"/>
      <c r="AD145" s="21"/>
      <c r="AE145" s="21"/>
      <c r="AF145" s="21"/>
      <c r="AG145" s="21"/>
      <c r="AH145" s="21"/>
      <c r="AI145" s="239"/>
      <c r="AJ145" s="181"/>
      <c r="AK145" s="239"/>
      <c r="AL145" s="852" t="s">
        <v>901</v>
      </c>
      <c r="AM145" s="21"/>
      <c r="AN145" s="21"/>
      <c r="AO145" s="21"/>
      <c r="AP145" s="21"/>
      <c r="AQ145" s="21"/>
      <c r="AR145" s="21"/>
      <c r="AS145" s="239"/>
      <c r="AT145" s="21"/>
      <c r="AU145" s="21"/>
      <c r="AV145" s="21"/>
      <c r="AW145" s="21"/>
      <c r="AX145" s="254"/>
      <c r="AY145" s="21"/>
      <c r="BF145" s="177"/>
      <c r="BG145" s="177"/>
      <c r="BH145" s="177"/>
      <c r="BI145" s="177"/>
    </row>
    <row r="146" spans="19:61" s="158" customFormat="1" ht="48.75" customHeight="1" x14ac:dyDescent="0.25">
      <c r="S146" s="255"/>
      <c r="T146" s="239"/>
      <c r="U146" s="846"/>
      <c r="V146" s="21"/>
      <c r="W146" s="21"/>
      <c r="X146" s="21"/>
      <c r="Y146" s="21"/>
      <c r="Z146" s="21"/>
      <c r="AA146" s="21"/>
      <c r="AB146" s="239"/>
      <c r="AC146" s="21"/>
      <c r="AD146" s="21"/>
      <c r="AE146" s="21"/>
      <c r="AF146" s="21"/>
      <c r="AG146" s="21"/>
      <c r="AH146" s="21"/>
      <c r="AI146" s="239"/>
      <c r="AJ146" s="181"/>
      <c r="AK146" s="239"/>
      <c r="AL146" s="852"/>
      <c r="AM146" s="21"/>
      <c r="AN146" s="21"/>
      <c r="AO146" s="21"/>
      <c r="AP146" s="21"/>
      <c r="AQ146" s="21"/>
      <c r="AR146" s="21"/>
      <c r="AS146" s="239"/>
      <c r="AT146" s="21"/>
      <c r="AU146" s="21"/>
      <c r="AV146" s="21"/>
      <c r="AW146" s="21"/>
      <c r="AX146" s="254"/>
      <c r="AY146" s="21"/>
      <c r="BF146" s="177"/>
      <c r="BG146" s="177"/>
      <c r="BH146" s="177"/>
      <c r="BI146" s="177"/>
    </row>
    <row r="147" spans="19:61" s="158" customFormat="1" ht="48.75" customHeight="1" x14ac:dyDescent="0.25">
      <c r="S147" s="255"/>
      <c r="T147" s="239"/>
      <c r="U147" s="847"/>
      <c r="V147" s="21"/>
      <c r="W147" s="21"/>
      <c r="X147" s="21"/>
      <c r="Y147" s="21"/>
      <c r="Z147" s="21"/>
      <c r="AA147" s="21"/>
      <c r="AB147" s="239"/>
      <c r="AC147" s="21"/>
      <c r="AD147" s="21"/>
      <c r="AE147" s="21"/>
      <c r="AF147" s="21"/>
      <c r="AG147" s="21"/>
      <c r="AH147" s="21"/>
      <c r="AI147" s="239"/>
      <c r="AJ147" s="181"/>
      <c r="AK147" s="239"/>
      <c r="AL147" s="852"/>
      <c r="AM147" s="21"/>
      <c r="AN147" s="21"/>
      <c r="AO147" s="21"/>
      <c r="AP147" s="21"/>
      <c r="AQ147" s="21"/>
      <c r="AR147" s="21"/>
      <c r="AS147" s="239"/>
      <c r="AT147" s="21"/>
      <c r="AU147" s="21"/>
      <c r="AV147" s="21"/>
      <c r="AW147" s="21"/>
      <c r="AX147" s="254"/>
      <c r="AY147" s="21"/>
      <c r="BF147" s="177"/>
      <c r="BG147" s="177"/>
      <c r="BH147" s="177"/>
      <c r="BI147" s="177"/>
    </row>
    <row r="148" spans="19:61" s="158" customFormat="1" ht="48.75" customHeight="1" x14ac:dyDescent="0.25">
      <c r="S148" s="255"/>
      <c r="T148" s="239"/>
      <c r="U148" s="262"/>
      <c r="V148" s="262"/>
      <c r="W148" s="262"/>
      <c r="X148" s="262"/>
      <c r="Y148" s="262"/>
      <c r="Z148" s="262"/>
      <c r="AA148" s="262"/>
      <c r="AB148" s="239"/>
      <c r="AC148" s="262"/>
      <c r="AD148" s="262"/>
      <c r="AE148" s="262"/>
      <c r="AF148" s="262"/>
      <c r="AG148" s="262"/>
      <c r="AH148" s="262"/>
      <c r="AI148" s="239"/>
      <c r="AJ148" s="181"/>
      <c r="AK148" s="239"/>
      <c r="AL148" s="852"/>
      <c r="AM148" s="21"/>
      <c r="AN148" s="21"/>
      <c r="AO148" s="21"/>
      <c r="AP148" s="21"/>
      <c r="AQ148" s="21"/>
      <c r="AR148" s="21"/>
      <c r="AS148" s="239"/>
      <c r="AT148" s="21"/>
      <c r="AU148" s="21"/>
      <c r="AV148" s="21"/>
      <c r="AW148" s="21"/>
      <c r="AX148" s="254"/>
      <c r="AY148" s="21"/>
      <c r="BF148" s="177"/>
      <c r="BG148" s="177"/>
      <c r="BH148" s="177"/>
      <c r="BI148" s="177"/>
    </row>
    <row r="149" spans="19:61" s="158" customFormat="1" ht="48.75" customHeight="1" x14ac:dyDescent="0.25">
      <c r="S149" s="255"/>
      <c r="T149" s="729" t="s">
        <v>891</v>
      </c>
      <c r="U149" s="729"/>
      <c r="V149" s="258"/>
      <c r="W149" s="800" t="s">
        <v>666</v>
      </c>
      <c r="X149" s="787"/>
      <c r="Y149" s="787"/>
      <c r="Z149" s="788"/>
      <c r="AA149" s="258"/>
      <c r="AB149" s="239"/>
      <c r="AC149" s="258"/>
      <c r="AD149" s="800" t="s">
        <v>666</v>
      </c>
      <c r="AE149" s="787"/>
      <c r="AF149" s="787"/>
      <c r="AG149" s="788"/>
      <c r="AH149" s="258"/>
      <c r="AI149" s="239"/>
      <c r="AJ149" s="181"/>
      <c r="AK149" s="239"/>
      <c r="AL149" s="852"/>
      <c r="AM149" s="106"/>
      <c r="AN149" s="106"/>
      <c r="AO149" s="106"/>
      <c r="AP149" s="106"/>
      <c r="AQ149" s="106"/>
      <c r="AR149" s="106"/>
      <c r="AS149" s="239"/>
      <c r="AT149" s="21"/>
      <c r="AU149" s="21"/>
      <c r="AV149" s="21"/>
      <c r="AW149" s="21"/>
      <c r="AX149" s="254"/>
      <c r="AY149" s="21"/>
      <c r="BF149" s="177"/>
      <c r="BG149" s="177"/>
      <c r="BH149" s="177"/>
      <c r="BI149" s="177"/>
    </row>
    <row r="150" spans="19:61" s="158" customFormat="1" ht="48.75" customHeight="1" x14ac:dyDescent="0.25">
      <c r="S150" s="255"/>
      <c r="T150" s="729" t="s">
        <v>590</v>
      </c>
      <c r="U150" s="729"/>
      <c r="V150" s="218">
        <v>2</v>
      </c>
      <c r="W150" s="218">
        <v>4</v>
      </c>
      <c r="X150" s="218">
        <v>6</v>
      </c>
      <c r="Y150" s="218">
        <v>8</v>
      </c>
      <c r="Z150" s="218">
        <v>10</v>
      </c>
      <c r="AA150" s="218">
        <v>12</v>
      </c>
      <c r="AB150" s="239"/>
      <c r="AC150" s="218">
        <v>2</v>
      </c>
      <c r="AD150" s="218">
        <v>4</v>
      </c>
      <c r="AE150" s="218">
        <v>6</v>
      </c>
      <c r="AF150" s="218">
        <v>8</v>
      </c>
      <c r="AG150" s="218">
        <v>10</v>
      </c>
      <c r="AH150" s="218">
        <v>12</v>
      </c>
      <c r="AI150" s="239"/>
      <c r="AJ150" s="181"/>
      <c r="AK150" s="239"/>
      <c r="AL150" s="852"/>
      <c r="AM150" s="21"/>
      <c r="AN150" s="21"/>
      <c r="AO150" s="21"/>
      <c r="AP150" s="21"/>
      <c r="AQ150" s="21"/>
      <c r="AR150" s="21"/>
      <c r="AS150" s="239"/>
      <c r="AT150" s="21"/>
      <c r="AU150" s="21"/>
      <c r="AV150" s="21"/>
      <c r="AW150" s="21"/>
      <c r="AX150" s="21"/>
      <c r="AY150" s="21"/>
      <c r="BF150" s="177"/>
      <c r="BG150" s="177"/>
      <c r="BH150" s="177"/>
      <c r="BI150" s="177"/>
    </row>
    <row r="151" spans="19:61" s="158" customFormat="1" ht="48.75" customHeight="1" x14ac:dyDescent="0.25">
      <c r="S151" s="255"/>
      <c r="T151" s="729" t="s">
        <v>189</v>
      </c>
      <c r="U151" s="729"/>
      <c r="V151" s="21"/>
      <c r="W151" s="21"/>
      <c r="X151" s="21"/>
      <c r="Y151" s="21"/>
      <c r="Z151" s="21"/>
      <c r="AA151" s="21"/>
      <c r="AB151" s="239"/>
      <c r="AC151" s="21"/>
      <c r="AD151" s="21"/>
      <c r="AE151" s="21"/>
      <c r="AF151" s="21"/>
      <c r="AG151" s="21"/>
      <c r="AH151" s="21"/>
      <c r="AI151" s="239"/>
      <c r="AJ151" s="181"/>
      <c r="AK151" s="239"/>
      <c r="AL151" s="852"/>
      <c r="AM151" s="21"/>
      <c r="AN151" s="21"/>
      <c r="AO151" s="21"/>
      <c r="AP151" s="21"/>
      <c r="AQ151" s="21"/>
      <c r="AR151" s="21"/>
      <c r="AS151" s="239"/>
      <c r="AT151" s="21"/>
      <c r="AU151" s="21"/>
      <c r="AV151" s="21"/>
      <c r="AW151" s="21"/>
      <c r="AX151" s="21"/>
      <c r="AY151" s="21"/>
      <c r="BF151" s="177"/>
      <c r="BG151" s="177"/>
      <c r="BH151" s="177"/>
      <c r="BI151" s="177"/>
    </row>
    <row r="152" spans="19:61" s="158" customFormat="1" ht="48.75" customHeight="1" x14ac:dyDescent="0.25">
      <c r="S152" s="255"/>
      <c r="T152" s="239"/>
      <c r="U152" s="845" t="s">
        <v>892</v>
      </c>
      <c r="V152" s="21"/>
      <c r="W152" s="21"/>
      <c r="X152" s="21"/>
      <c r="Y152" s="21"/>
      <c r="Z152" s="21"/>
      <c r="AA152" s="21"/>
      <c r="AB152" s="239"/>
      <c r="AC152" s="21"/>
      <c r="AD152" s="21"/>
      <c r="AE152" s="21"/>
      <c r="AF152" s="21"/>
      <c r="AG152" s="21"/>
      <c r="AH152" s="21"/>
      <c r="AI152" s="239"/>
      <c r="AJ152" s="181"/>
      <c r="AK152" s="239"/>
      <c r="AL152" s="852"/>
      <c r="AM152" s="21"/>
      <c r="AN152" s="21"/>
      <c r="AO152" s="21"/>
      <c r="AP152" s="21"/>
      <c r="AQ152" s="21"/>
      <c r="AR152" s="21"/>
      <c r="AS152" s="239"/>
      <c r="AT152" s="21"/>
      <c r="AU152" s="21"/>
      <c r="AV152" s="21"/>
      <c r="AW152" s="21"/>
      <c r="AX152" s="21"/>
      <c r="AY152" s="21"/>
      <c r="BF152" s="177"/>
      <c r="BG152" s="177"/>
      <c r="BH152" s="177"/>
      <c r="BI152" s="177"/>
    </row>
    <row r="153" spans="19:61" s="158" customFormat="1" ht="48.75" customHeight="1" x14ac:dyDescent="0.25">
      <c r="S153" s="255"/>
      <c r="T153" s="239"/>
      <c r="U153" s="846"/>
      <c r="V153" s="21"/>
      <c r="W153" s="21"/>
      <c r="X153" s="21"/>
      <c r="Y153" s="21"/>
      <c r="Z153" s="21"/>
      <c r="AA153" s="21"/>
      <c r="AB153" s="239"/>
      <c r="AC153" s="21"/>
      <c r="AD153" s="21"/>
      <c r="AE153" s="21"/>
      <c r="AF153" s="21"/>
      <c r="AG153" s="21"/>
      <c r="AH153" s="21"/>
      <c r="AI153" s="239"/>
      <c r="AJ153" s="181"/>
      <c r="AK153" s="239"/>
      <c r="AL153" s="262"/>
      <c r="AM153" s="262"/>
      <c r="AN153" s="262"/>
      <c r="AO153" s="262"/>
      <c r="AP153" s="262"/>
      <c r="AQ153" s="262"/>
      <c r="AR153" s="262"/>
      <c r="AS153" s="239"/>
      <c r="AT153" s="262"/>
      <c r="AU153" s="262"/>
      <c r="AV153" s="262"/>
      <c r="AW153" s="262"/>
      <c r="AX153" s="262"/>
      <c r="AY153" s="263"/>
      <c r="BF153" s="177"/>
      <c r="BG153" s="177"/>
      <c r="BH153" s="177"/>
      <c r="BI153" s="177"/>
    </row>
    <row r="154" spans="19:61" s="158" customFormat="1" ht="48.75" customHeight="1" x14ac:dyDescent="0.25">
      <c r="S154" s="255"/>
      <c r="T154" s="239"/>
      <c r="U154" s="847"/>
      <c r="V154" s="21"/>
      <c r="W154" s="21"/>
      <c r="X154" s="21"/>
      <c r="Y154" s="21"/>
      <c r="Z154" s="21"/>
      <c r="AA154" s="21"/>
      <c r="AB154" s="239"/>
      <c r="AC154" s="21"/>
      <c r="AD154" s="21"/>
      <c r="AE154" s="21"/>
      <c r="AF154" s="21"/>
      <c r="AG154" s="21"/>
      <c r="AH154" s="21"/>
      <c r="AI154" s="239"/>
      <c r="AJ154" s="181"/>
      <c r="AK154" s="729" t="s">
        <v>891</v>
      </c>
      <c r="AL154" s="729"/>
      <c r="AM154" s="258"/>
      <c r="AN154" s="727" t="s">
        <v>676</v>
      </c>
      <c r="AO154" s="728"/>
      <c r="AP154" s="728"/>
      <c r="AQ154" s="797"/>
      <c r="AR154" s="258"/>
      <c r="AS154" s="239"/>
      <c r="AT154" s="258"/>
      <c r="AU154" s="727" t="s">
        <v>676</v>
      </c>
      <c r="AV154" s="728"/>
      <c r="AW154" s="728"/>
      <c r="AX154" s="797"/>
      <c r="AY154" s="258"/>
      <c r="BF154" s="177"/>
      <c r="BG154" s="177"/>
      <c r="BH154" s="177"/>
      <c r="BI154" s="177"/>
    </row>
    <row r="155" spans="19:61" s="158" customFormat="1" ht="48.75" customHeight="1" x14ac:dyDescent="0.25">
      <c r="S155" s="253"/>
      <c r="T155" s="175"/>
      <c r="U155" s="175"/>
      <c r="V155" s="175"/>
      <c r="W155" s="175"/>
      <c r="X155" s="175"/>
      <c r="Y155" s="175"/>
      <c r="Z155" s="175"/>
      <c r="AA155" s="175"/>
      <c r="AB155" s="175"/>
      <c r="AC155" s="175"/>
      <c r="AD155" s="175"/>
      <c r="AE155" s="175"/>
      <c r="AF155" s="175"/>
      <c r="AG155" s="175"/>
      <c r="AH155" s="175"/>
      <c r="AI155" s="175"/>
      <c r="AJ155" s="181"/>
      <c r="AK155" s="729" t="s">
        <v>590</v>
      </c>
      <c r="AL155" s="729"/>
      <c r="AM155" s="218">
        <v>2</v>
      </c>
      <c r="AN155" s="218">
        <v>4</v>
      </c>
      <c r="AO155" s="218">
        <v>6</v>
      </c>
      <c r="AP155" s="218">
        <v>8</v>
      </c>
      <c r="AQ155" s="218">
        <v>10</v>
      </c>
      <c r="AR155" s="218">
        <v>12</v>
      </c>
      <c r="AS155" s="239"/>
      <c r="AT155" s="218">
        <v>2</v>
      </c>
      <c r="AU155" s="218">
        <v>4</v>
      </c>
      <c r="AV155" s="218">
        <v>6</v>
      </c>
      <c r="AW155" s="218">
        <v>8</v>
      </c>
      <c r="AX155" s="218">
        <v>10</v>
      </c>
      <c r="AY155" s="218">
        <v>12</v>
      </c>
      <c r="BF155" s="177"/>
      <c r="BG155" s="177"/>
      <c r="BH155" s="177"/>
      <c r="BI155" s="177"/>
    </row>
    <row r="156" spans="19:61" s="158" customFormat="1" ht="48.75" customHeight="1" x14ac:dyDescent="0.25">
      <c r="AJ156" s="181"/>
      <c r="AK156" s="239"/>
      <c r="AL156" s="845" t="s">
        <v>901</v>
      </c>
      <c r="AM156" s="21"/>
      <c r="AN156" s="21"/>
      <c r="AO156" s="21"/>
      <c r="AP156" s="21"/>
      <c r="AQ156" s="21"/>
      <c r="AR156" s="21"/>
      <c r="AS156" s="239"/>
      <c r="AT156" s="21"/>
      <c r="AU156" s="21"/>
      <c r="AV156" s="21"/>
      <c r="AW156" s="21"/>
      <c r="AX156" s="21"/>
      <c r="AY156" s="21"/>
      <c r="BF156" s="177"/>
      <c r="BG156" s="177"/>
      <c r="BH156" s="177"/>
      <c r="BI156" s="177"/>
    </row>
    <row r="157" spans="19:61" s="158" customFormat="1" ht="48.75" customHeight="1" x14ac:dyDescent="0.25">
      <c r="AJ157" s="181"/>
      <c r="AK157" s="239"/>
      <c r="AL157" s="846"/>
      <c r="AM157" s="21"/>
      <c r="AN157" s="21"/>
      <c r="AO157" s="21"/>
      <c r="AP157" s="21"/>
      <c r="AQ157" s="21"/>
      <c r="AR157" s="21"/>
      <c r="AS157" s="239"/>
      <c r="AT157" s="21"/>
      <c r="AU157" s="21"/>
      <c r="AV157" s="21"/>
      <c r="AW157" s="21"/>
      <c r="AX157" s="21"/>
      <c r="AY157" s="21"/>
      <c r="BF157" s="177"/>
      <c r="BG157" s="177"/>
      <c r="BH157" s="177"/>
      <c r="BI157" s="177"/>
    </row>
    <row r="158" spans="19:61" s="158" customFormat="1" ht="48.75" customHeight="1" x14ac:dyDescent="0.25">
      <c r="AJ158" s="181"/>
      <c r="AK158" s="239"/>
      <c r="AL158" s="846"/>
      <c r="AM158" s="21"/>
      <c r="AN158" s="21"/>
      <c r="AO158" s="21"/>
      <c r="AP158" s="21"/>
      <c r="AQ158" s="21"/>
      <c r="AR158" s="21"/>
      <c r="AS158" s="239"/>
      <c r="AT158" s="21"/>
      <c r="AU158" s="21"/>
      <c r="AV158" s="21"/>
      <c r="AW158" s="21"/>
      <c r="AX158" s="21"/>
      <c r="AY158" s="21"/>
    </row>
    <row r="159" spans="19:61" s="158" customFormat="1" ht="48.75" customHeight="1" x14ac:dyDescent="0.25">
      <c r="AJ159" s="181"/>
      <c r="AK159" s="239"/>
      <c r="AL159" s="846"/>
      <c r="AM159" s="21"/>
      <c r="AN159" s="21"/>
      <c r="AO159" s="21"/>
      <c r="AP159" s="21"/>
      <c r="AQ159" s="21"/>
      <c r="AR159" s="21"/>
      <c r="AS159" s="239"/>
      <c r="AT159" s="21"/>
      <c r="AU159" s="21"/>
      <c r="AV159" s="21"/>
      <c r="AW159" s="21"/>
      <c r="AX159" s="21"/>
      <c r="AY159" s="21"/>
    </row>
    <row r="160" spans="19:61" s="158" customFormat="1" ht="48.75" customHeight="1" x14ac:dyDescent="0.25">
      <c r="AJ160" s="181"/>
      <c r="AK160" s="239"/>
      <c r="AL160" s="846"/>
      <c r="AM160" s="21"/>
      <c r="AN160" s="21"/>
      <c r="AO160" s="21"/>
      <c r="AP160" s="21"/>
      <c r="AQ160" s="21"/>
      <c r="AR160" s="21"/>
      <c r="AS160" s="239"/>
      <c r="AT160" s="21"/>
      <c r="AU160" s="21"/>
      <c r="AV160" s="21"/>
      <c r="AW160" s="21"/>
      <c r="AX160" s="21"/>
      <c r="AY160" s="21"/>
    </row>
    <row r="161" spans="2:51" s="158" customFormat="1" ht="48.75" customHeight="1" x14ac:dyDescent="0.25">
      <c r="AJ161" s="181"/>
      <c r="AK161" s="239"/>
      <c r="AL161" s="846"/>
      <c r="AM161" s="21"/>
      <c r="AN161" s="21"/>
      <c r="AO161" s="21"/>
      <c r="AP161" s="21"/>
      <c r="AQ161" s="21"/>
      <c r="AR161" s="21"/>
      <c r="AS161" s="239"/>
      <c r="AT161" s="21"/>
      <c r="AU161" s="21"/>
      <c r="AV161" s="21"/>
      <c r="AW161" s="21"/>
      <c r="AX161" s="21"/>
      <c r="AY161" s="21"/>
    </row>
    <row r="162" spans="2:51" s="158" customFormat="1" ht="48.75" customHeight="1" x14ac:dyDescent="0.25">
      <c r="AJ162" s="181"/>
      <c r="AK162" s="239"/>
      <c r="AL162" s="846"/>
      <c r="AM162" s="21"/>
      <c r="AN162" s="21"/>
      <c r="AO162" s="21"/>
      <c r="AP162" s="21"/>
      <c r="AQ162" s="21"/>
      <c r="AR162" s="21"/>
      <c r="AS162" s="239"/>
      <c r="AT162" s="21"/>
      <c r="AU162" s="21"/>
      <c r="AV162" s="21"/>
      <c r="AW162" s="21"/>
      <c r="AX162" s="21"/>
      <c r="AY162" s="21"/>
    </row>
    <row r="163" spans="2:51" s="158" customFormat="1" ht="48.75" customHeight="1" x14ac:dyDescent="0.25">
      <c r="AJ163" s="181"/>
      <c r="AK163" s="239"/>
      <c r="AL163" s="846"/>
      <c r="AM163" s="21"/>
      <c r="AN163" s="21"/>
      <c r="AO163" s="21"/>
      <c r="AP163" s="21"/>
      <c r="AQ163" s="21"/>
      <c r="AR163" s="21"/>
      <c r="AS163" s="239"/>
      <c r="AT163" s="21"/>
      <c r="AU163" s="21"/>
      <c r="AV163" s="21"/>
      <c r="AW163" s="21"/>
      <c r="AX163" s="21"/>
      <c r="AY163" s="21"/>
    </row>
    <row r="164" spans="2:51" s="158" customFormat="1" ht="48.75" customHeight="1" x14ac:dyDescent="0.25">
      <c r="AJ164" s="181"/>
      <c r="AK164" s="239"/>
      <c r="AL164" s="847"/>
      <c r="AM164" s="21"/>
      <c r="AN164" s="21"/>
      <c r="AO164" s="21"/>
      <c r="AP164" s="21"/>
      <c r="AQ164" s="21"/>
      <c r="AR164" s="21"/>
      <c r="AS164" s="239"/>
      <c r="AT164" s="21"/>
      <c r="AU164" s="21"/>
      <c r="AV164" s="21"/>
      <c r="AW164" s="21"/>
      <c r="AX164" s="21"/>
      <c r="AY164" s="21"/>
    </row>
    <row r="165" spans="2:51" s="158" customFormat="1" ht="48.75" customHeight="1" x14ac:dyDescent="0.25">
      <c r="AJ165" s="150"/>
      <c r="AK165" s="150"/>
      <c r="AL165" s="150"/>
      <c r="AM165" s="150"/>
      <c r="AN165" s="150"/>
      <c r="AO165" s="150"/>
      <c r="AP165" s="150"/>
      <c r="AQ165" s="150"/>
      <c r="AR165" s="150"/>
      <c r="AS165" s="150"/>
      <c r="AT165" s="150"/>
      <c r="AU165" s="150"/>
      <c r="AV165" s="150"/>
      <c r="AW165" s="150"/>
      <c r="AX165" s="150"/>
      <c r="AY165" s="150"/>
    </row>
    <row r="166" spans="2:51" s="158" customFormat="1" ht="48.75" customHeight="1" x14ac:dyDescent="0.25"/>
    <row r="167" spans="2:51" s="158" customFormat="1" ht="48.75" customHeight="1" x14ac:dyDescent="0.25"/>
    <row r="168" spans="2:51" s="158" customFormat="1" ht="48.75" customHeight="1" x14ac:dyDescent="0.25"/>
    <row r="169" spans="2:51" s="158" customFormat="1" ht="48.75" customHeight="1" x14ac:dyDescent="0.25"/>
    <row r="170" spans="2:51" s="158" customFormat="1" ht="48.75" customHeight="1" x14ac:dyDescent="0.25"/>
    <row r="171" spans="2:51" s="158" customFormat="1" ht="48.75" customHeight="1" x14ac:dyDescent="0.25"/>
    <row r="172" spans="2:51" s="158" customFormat="1" ht="48.75" customHeight="1" x14ac:dyDescent="0.25"/>
    <row r="173" spans="2:51" s="158" customFormat="1" ht="48.75" customHeight="1" x14ac:dyDescent="0.25"/>
    <row r="174" spans="2:51" s="158" customFormat="1" ht="48.75" customHeight="1" x14ac:dyDescent="0.25"/>
    <row r="175" spans="2:51" s="158" customFormat="1" ht="48.75" customHeight="1" x14ac:dyDescent="0.25"/>
    <row r="176" spans="2:51" s="158" customFormat="1" ht="48.75" customHeight="1" x14ac:dyDescent="0.25">
      <c r="B176" s="727" t="s">
        <v>1037</v>
      </c>
      <c r="C176" s="728"/>
      <c r="D176" s="728"/>
      <c r="E176" s="728"/>
      <c r="F176" s="728"/>
      <c r="G176" s="797"/>
      <c r="H176" s="287"/>
    </row>
    <row r="177" spans="2:8" s="158" customFormat="1" ht="48.75" customHeight="1" x14ac:dyDescent="0.25">
      <c r="B177" s="806"/>
      <c r="C177" s="807"/>
      <c r="D177" s="807"/>
      <c r="E177" s="807"/>
      <c r="F177" s="807"/>
      <c r="G177" s="807"/>
      <c r="H177" s="808"/>
    </row>
    <row r="178" spans="2:8" s="158" customFormat="1" ht="48.75" customHeight="1" x14ac:dyDescent="0.25">
      <c r="B178" s="809"/>
      <c r="C178" s="810"/>
      <c r="D178" s="810"/>
      <c r="E178" s="810"/>
      <c r="F178" s="810"/>
      <c r="G178" s="810"/>
      <c r="H178" s="811"/>
    </row>
    <row r="179" spans="2:8" s="158" customFormat="1" ht="48.75" customHeight="1" x14ac:dyDescent="0.25">
      <c r="B179" s="809"/>
      <c r="C179" s="810"/>
      <c r="D179" s="810"/>
      <c r="E179" s="810"/>
      <c r="F179" s="810"/>
      <c r="G179" s="810"/>
      <c r="H179" s="811"/>
    </row>
    <row r="180" spans="2:8" s="158" customFormat="1" ht="48.75" customHeight="1" x14ac:dyDescent="0.25">
      <c r="B180" s="809"/>
      <c r="C180" s="810"/>
      <c r="D180" s="810"/>
      <c r="E180" s="810"/>
      <c r="F180" s="810"/>
      <c r="G180" s="810"/>
      <c r="H180" s="811"/>
    </row>
    <row r="181" spans="2:8" s="158" customFormat="1" ht="48.75" customHeight="1" x14ac:dyDescent="0.25">
      <c r="B181" s="809"/>
      <c r="C181" s="810"/>
      <c r="D181" s="810"/>
      <c r="E181" s="810"/>
      <c r="F181" s="810"/>
      <c r="G181" s="810"/>
      <c r="H181" s="811"/>
    </row>
    <row r="182" spans="2:8" s="158" customFormat="1" ht="48.75" customHeight="1" x14ac:dyDescent="0.25">
      <c r="B182" s="809"/>
      <c r="C182" s="810"/>
      <c r="D182" s="810"/>
      <c r="E182" s="810"/>
      <c r="F182" s="810"/>
      <c r="G182" s="810"/>
      <c r="H182" s="811"/>
    </row>
    <row r="183" spans="2:8" s="158" customFormat="1" ht="48.75" customHeight="1" x14ac:dyDescent="0.25">
      <c r="B183" s="809"/>
      <c r="C183" s="810"/>
      <c r="D183" s="810"/>
      <c r="E183" s="810"/>
      <c r="F183" s="810"/>
      <c r="G183" s="810"/>
      <c r="H183" s="811"/>
    </row>
    <row r="184" spans="2:8" s="158" customFormat="1" ht="48.75" customHeight="1" x14ac:dyDescent="0.25">
      <c r="B184" s="809"/>
      <c r="C184" s="810"/>
      <c r="D184" s="810"/>
      <c r="E184" s="810"/>
      <c r="F184" s="810"/>
      <c r="G184" s="810"/>
      <c r="H184" s="811"/>
    </row>
    <row r="185" spans="2:8" s="158" customFormat="1" ht="48.75" customHeight="1" x14ac:dyDescent="0.25">
      <c r="B185" s="809"/>
      <c r="C185" s="810"/>
      <c r="D185" s="810"/>
      <c r="E185" s="810"/>
      <c r="F185" s="810"/>
      <c r="G185" s="810"/>
      <c r="H185" s="811"/>
    </row>
    <row r="186" spans="2:8" s="158" customFormat="1" ht="48.75" customHeight="1" x14ac:dyDescent="0.25">
      <c r="B186" s="809"/>
      <c r="C186" s="810"/>
      <c r="D186" s="810"/>
      <c r="E186" s="810"/>
      <c r="F186" s="810"/>
      <c r="G186" s="810"/>
      <c r="H186" s="811"/>
    </row>
    <row r="187" spans="2:8" s="158" customFormat="1" ht="48.75" customHeight="1" x14ac:dyDescent="0.25">
      <c r="B187" s="809"/>
      <c r="C187" s="810"/>
      <c r="D187" s="810"/>
      <c r="E187" s="810"/>
      <c r="F187" s="810"/>
      <c r="G187" s="810"/>
      <c r="H187" s="811"/>
    </row>
    <row r="188" spans="2:8" s="158" customFormat="1" ht="48.75" customHeight="1" x14ac:dyDescent="0.25">
      <c r="B188" s="809"/>
      <c r="C188" s="810"/>
      <c r="D188" s="810"/>
      <c r="E188" s="810"/>
      <c r="F188" s="810"/>
      <c r="G188" s="810"/>
      <c r="H188" s="811"/>
    </row>
    <row r="189" spans="2:8" s="158" customFormat="1" ht="48.75" customHeight="1" x14ac:dyDescent="0.25">
      <c r="B189" s="809"/>
      <c r="C189" s="810"/>
      <c r="D189" s="810"/>
      <c r="E189" s="810"/>
      <c r="F189" s="810"/>
      <c r="G189" s="810"/>
      <c r="H189" s="811"/>
    </row>
    <row r="190" spans="2:8" s="158" customFormat="1" ht="48.75" customHeight="1" x14ac:dyDescent="0.25">
      <c r="B190" s="809"/>
      <c r="C190" s="810"/>
      <c r="D190" s="810"/>
      <c r="E190" s="810"/>
      <c r="F190" s="810"/>
      <c r="G190" s="810"/>
      <c r="H190" s="811"/>
    </row>
    <row r="191" spans="2:8" s="158" customFormat="1" ht="48.75" customHeight="1" x14ac:dyDescent="0.25">
      <c r="B191" s="809"/>
      <c r="C191" s="810"/>
      <c r="D191" s="810"/>
      <c r="E191" s="810"/>
      <c r="F191" s="810"/>
      <c r="G191" s="810"/>
      <c r="H191" s="811"/>
    </row>
    <row r="192" spans="2:8" s="158" customFormat="1" ht="48.75" customHeight="1" x14ac:dyDescent="0.25">
      <c r="B192" s="812"/>
      <c r="C192" s="813"/>
      <c r="D192" s="813"/>
      <c r="E192" s="813"/>
      <c r="F192" s="813"/>
      <c r="G192" s="813"/>
      <c r="H192" s="814"/>
    </row>
    <row r="193" spans="2:61" s="158" customFormat="1" ht="48.75" customHeight="1" x14ac:dyDescent="0.25"/>
    <row r="194" spans="2:61" s="158" customFormat="1" ht="48.75" customHeight="1" x14ac:dyDescent="0.25"/>
    <row r="195" spans="2:61" s="158" customFormat="1" ht="48.75" customHeight="1" x14ac:dyDescent="0.25"/>
    <row r="196" spans="2:61" s="158" customFormat="1" ht="48.75" customHeight="1" x14ac:dyDescent="0.25"/>
    <row r="197" spans="2:61" s="158" customFormat="1" ht="48.75" customHeight="1" x14ac:dyDescent="0.25">
      <c r="B197" s="707" t="s">
        <v>742</v>
      </c>
      <c r="C197" s="708"/>
      <c r="D197" s="708"/>
      <c r="E197" s="708"/>
      <c r="F197" s="708"/>
      <c r="G197" s="708"/>
      <c r="H197" s="708"/>
      <c r="I197" s="708"/>
      <c r="J197" s="708"/>
      <c r="K197" s="719"/>
      <c r="L197" s="738"/>
      <c r="AQ197" s="163"/>
      <c r="AR197" s="163"/>
      <c r="AS197" s="170"/>
      <c r="AT197" s="163"/>
      <c r="AU197" s="163"/>
      <c r="AV197" s="163"/>
      <c r="AW197" s="169"/>
      <c r="AX197" s="163"/>
      <c r="AY197" s="163"/>
      <c r="AZ197" s="164"/>
      <c r="BA197" s="163"/>
      <c r="BB197" s="163"/>
      <c r="BC197" s="163"/>
      <c r="BD197" s="163"/>
      <c r="BE197" s="163"/>
      <c r="BF197" s="163"/>
      <c r="BH197" s="163"/>
      <c r="BI197" s="171"/>
    </row>
    <row r="198" spans="2:61" s="158" customFormat="1" ht="48.75" customHeight="1" x14ac:dyDescent="0.25">
      <c r="B198" s="709"/>
      <c r="C198" s="710"/>
      <c r="D198" s="710"/>
      <c r="E198" s="710"/>
      <c r="F198" s="710"/>
      <c r="G198" s="710"/>
      <c r="H198" s="710"/>
      <c r="I198" s="710"/>
      <c r="J198" s="710"/>
      <c r="K198" s="724"/>
      <c r="L198" s="739"/>
      <c r="AQ198" s="163"/>
      <c r="AR198" s="163"/>
      <c r="AS198" s="170"/>
      <c r="AT198" s="163"/>
      <c r="AU198" s="163"/>
      <c r="AV198" s="163"/>
      <c r="AW198" s="169"/>
      <c r="AX198" s="163"/>
      <c r="AY198" s="163"/>
      <c r="AZ198" s="164"/>
      <c r="BA198" s="163"/>
      <c r="BB198" s="163"/>
      <c r="BC198" s="163"/>
      <c r="BD198" s="163"/>
      <c r="BE198" s="163"/>
      <c r="BF198" s="163"/>
      <c r="BH198" s="163"/>
      <c r="BI198" s="171"/>
    </row>
    <row r="199" spans="2:61" s="158" customFormat="1" ht="48.75" customHeight="1" x14ac:dyDescent="0.25">
      <c r="B199" s="446" t="s">
        <v>724</v>
      </c>
      <c r="C199" s="446"/>
      <c r="D199" s="711" t="s">
        <v>725</v>
      </c>
      <c r="E199" s="711" t="s">
        <v>726</v>
      </c>
      <c r="F199" s="711" t="s">
        <v>727</v>
      </c>
      <c r="G199" s="727" t="s">
        <v>728</v>
      </c>
      <c r="H199" s="728"/>
      <c r="I199" s="728"/>
      <c r="J199" s="797"/>
      <c r="K199" s="711" t="s">
        <v>729</v>
      </c>
      <c r="L199" s="711" t="s">
        <v>730</v>
      </c>
      <c r="AQ199" s="163"/>
      <c r="AR199" s="163"/>
      <c r="AS199" s="170"/>
      <c r="AT199" s="163"/>
      <c r="AU199" s="163"/>
      <c r="AV199" s="163"/>
      <c r="AW199" s="169"/>
      <c r="AX199" s="163"/>
      <c r="AY199" s="163"/>
      <c r="AZ199" s="164"/>
      <c r="BA199" s="163"/>
      <c r="BB199" s="163"/>
      <c r="BC199" s="163"/>
      <c r="BD199" s="163"/>
      <c r="BE199" s="163"/>
      <c r="BF199" s="163"/>
      <c r="BH199" s="163"/>
      <c r="BI199" s="171"/>
    </row>
    <row r="200" spans="2:61" s="158" customFormat="1" ht="48.75" customHeight="1" x14ac:dyDescent="0.25">
      <c r="B200" s="446"/>
      <c r="C200" s="446"/>
      <c r="D200" s="712"/>
      <c r="E200" s="712"/>
      <c r="F200" s="712"/>
      <c r="G200" s="727" t="s">
        <v>731</v>
      </c>
      <c r="H200" s="728"/>
      <c r="I200" s="797"/>
      <c r="J200" s="711" t="s">
        <v>732</v>
      </c>
      <c r="K200" s="712"/>
      <c r="L200" s="712"/>
      <c r="AQ200" s="163"/>
      <c r="AR200" s="163"/>
      <c r="AS200" s="170"/>
      <c r="AT200" s="163"/>
      <c r="AU200" s="163"/>
      <c r="AV200" s="163"/>
      <c r="AW200" s="169"/>
      <c r="AX200" s="163"/>
      <c r="AY200" s="163"/>
      <c r="AZ200" s="164"/>
      <c r="BA200" s="163"/>
      <c r="BB200" s="163"/>
      <c r="BC200" s="163"/>
      <c r="BD200" s="163"/>
      <c r="BE200" s="163"/>
      <c r="BF200" s="163"/>
      <c r="BH200" s="163"/>
      <c r="BI200" s="171"/>
    </row>
    <row r="201" spans="2:61" s="158" customFormat="1" ht="48.75" customHeight="1" x14ac:dyDescent="0.25">
      <c r="B201" s="446"/>
      <c r="C201" s="446"/>
      <c r="D201" s="802"/>
      <c r="E201" s="802"/>
      <c r="F201" s="802"/>
      <c r="G201" s="218" t="s">
        <v>733</v>
      </c>
      <c r="H201" s="218" t="s">
        <v>734</v>
      </c>
      <c r="I201" s="218" t="s">
        <v>735</v>
      </c>
      <c r="J201" s="802"/>
      <c r="K201" s="802"/>
      <c r="L201" s="802"/>
      <c r="AQ201" s="163"/>
      <c r="AR201" s="163"/>
      <c r="AS201" s="170"/>
      <c r="AT201" s="163"/>
      <c r="AU201" s="163"/>
      <c r="AV201" s="163"/>
      <c r="AW201" s="169"/>
      <c r="AX201" s="163"/>
      <c r="AY201" s="163"/>
      <c r="AZ201" s="164"/>
      <c r="BA201" s="163"/>
      <c r="BB201" s="163"/>
      <c r="BC201" s="163"/>
      <c r="BD201" s="163"/>
      <c r="BE201" s="163"/>
      <c r="BF201" s="163"/>
      <c r="BH201" s="163"/>
      <c r="BI201" s="171"/>
    </row>
    <row r="202" spans="2:61" s="158" customFormat="1" ht="48.75" customHeight="1" x14ac:dyDescent="0.25">
      <c r="B202" s="803"/>
      <c r="C202" s="803"/>
      <c r="D202" s="717" t="s">
        <v>736</v>
      </c>
      <c r="E202" s="218"/>
      <c r="F202" s="727" t="s">
        <v>738</v>
      </c>
      <c r="G202" s="728"/>
      <c r="H202" s="728"/>
      <c r="I202" s="797"/>
      <c r="J202" s="218"/>
      <c r="K202" s="218"/>
      <c r="L202" s="218"/>
      <c r="AQ202" s="163"/>
      <c r="AR202" s="163"/>
      <c r="AS202" s="170"/>
      <c r="AT202" s="163"/>
      <c r="AU202" s="163"/>
      <c r="AV202" s="163"/>
      <c r="AW202" s="169"/>
      <c r="AX202" s="163"/>
      <c r="AY202" s="163"/>
      <c r="AZ202" s="164"/>
      <c r="BA202" s="163"/>
      <c r="BB202" s="163"/>
      <c r="BC202" s="163"/>
      <c r="BD202" s="163"/>
      <c r="BE202" s="163"/>
      <c r="BF202" s="163"/>
      <c r="BH202" s="163"/>
      <c r="BI202" s="171"/>
    </row>
    <row r="203" spans="2:61" s="158" customFormat="1" ht="48.75" customHeight="1" x14ac:dyDescent="0.25">
      <c r="B203" s="803"/>
      <c r="C203" s="803"/>
      <c r="D203" s="717"/>
      <c r="E203" s="218" t="s">
        <v>737</v>
      </c>
      <c r="F203" s="218">
        <v>1</v>
      </c>
      <c r="G203" s="218" t="s">
        <v>739</v>
      </c>
      <c r="H203" s="446" t="s">
        <v>740</v>
      </c>
      <c r="I203" s="446"/>
      <c r="J203" s="218">
        <v>0.2</v>
      </c>
      <c r="K203" s="218">
        <v>1</v>
      </c>
      <c r="L203" s="218">
        <v>0.2</v>
      </c>
      <c r="AQ203" s="163"/>
      <c r="AR203" s="163"/>
      <c r="AS203" s="170"/>
      <c r="AT203" s="163"/>
      <c r="AU203" s="163"/>
      <c r="AV203" s="163"/>
      <c r="AW203" s="169"/>
      <c r="AX203" s="163"/>
      <c r="AY203" s="163"/>
      <c r="AZ203" s="164"/>
      <c r="BA203" s="163"/>
      <c r="BB203" s="163"/>
      <c r="BC203" s="163"/>
      <c r="BD203" s="163"/>
      <c r="BE203" s="163"/>
      <c r="BF203" s="163"/>
      <c r="BH203" s="163"/>
      <c r="BI203" s="171"/>
    </row>
    <row r="204" spans="2:61" s="158" customFormat="1" ht="48.75" customHeight="1" x14ac:dyDescent="0.25">
      <c r="B204" s="803"/>
      <c r="C204" s="803"/>
      <c r="D204" s="717"/>
      <c r="E204" s="230"/>
      <c r="F204" s="218">
        <v>2</v>
      </c>
      <c r="G204" s="218" t="s">
        <v>739</v>
      </c>
      <c r="H204" s="446" t="s">
        <v>740</v>
      </c>
      <c r="I204" s="446"/>
      <c r="J204" s="218">
        <v>0.3</v>
      </c>
      <c r="K204" s="218">
        <v>1</v>
      </c>
      <c r="L204" s="218">
        <v>0.3</v>
      </c>
      <c r="AQ204" s="163"/>
      <c r="AR204" s="163"/>
      <c r="AS204" s="170"/>
      <c r="AT204" s="163"/>
      <c r="AU204" s="163"/>
      <c r="AV204" s="163"/>
      <c r="AW204" s="169"/>
      <c r="AX204" s="163"/>
      <c r="AY204" s="163"/>
      <c r="AZ204" s="164"/>
      <c r="BA204" s="163"/>
      <c r="BB204" s="163"/>
      <c r="BC204" s="163"/>
      <c r="BD204" s="163"/>
      <c r="BE204" s="163"/>
      <c r="BF204" s="163"/>
      <c r="BH204" s="163"/>
      <c r="BI204" s="171"/>
    </row>
    <row r="205" spans="2:61" s="158" customFormat="1" ht="48.75" customHeight="1" x14ac:dyDescent="0.25">
      <c r="B205" s="803"/>
      <c r="C205" s="803"/>
      <c r="D205" s="717"/>
      <c r="E205" s="218"/>
      <c r="F205" s="727" t="s">
        <v>738</v>
      </c>
      <c r="G205" s="728"/>
      <c r="H205" s="728"/>
      <c r="I205" s="797"/>
      <c r="J205" s="218"/>
      <c r="K205" s="218"/>
      <c r="L205" s="218"/>
      <c r="AQ205" s="163"/>
      <c r="AR205" s="163"/>
      <c r="AS205" s="170"/>
      <c r="AT205" s="163"/>
      <c r="AU205" s="163"/>
      <c r="AV205" s="163"/>
      <c r="AW205" s="169"/>
      <c r="AX205" s="163"/>
      <c r="AY205" s="163"/>
    </row>
    <row r="206" spans="2:61" s="158" customFormat="1" ht="48.75" customHeight="1" x14ac:dyDescent="0.25">
      <c r="B206" s="803"/>
      <c r="C206" s="803"/>
      <c r="D206" s="717"/>
      <c r="E206" s="218" t="s">
        <v>741</v>
      </c>
      <c r="F206" s="218">
        <v>1</v>
      </c>
      <c r="G206" s="218" t="s">
        <v>739</v>
      </c>
      <c r="H206" s="446" t="s">
        <v>740</v>
      </c>
      <c r="I206" s="446"/>
      <c r="J206" s="218">
        <v>0.25</v>
      </c>
      <c r="K206" s="218">
        <v>1</v>
      </c>
      <c r="L206" s="218">
        <v>0.25</v>
      </c>
      <c r="AQ206" s="163"/>
      <c r="AR206" s="163"/>
      <c r="AS206" s="170"/>
      <c r="AT206" s="163"/>
      <c r="AU206" s="163"/>
      <c r="AV206" s="163"/>
      <c r="AW206" s="169"/>
      <c r="AX206" s="163"/>
      <c r="AY206" s="163"/>
    </row>
    <row r="207" spans="2:61" s="158" customFormat="1" ht="48.75" customHeight="1" x14ac:dyDescent="0.25">
      <c r="B207" s="803"/>
      <c r="C207" s="803"/>
      <c r="D207" s="717"/>
      <c r="E207" s="230"/>
      <c r="F207" s="218">
        <v>2</v>
      </c>
      <c r="G207" s="218" t="s">
        <v>739</v>
      </c>
      <c r="H207" s="446" t="s">
        <v>740</v>
      </c>
      <c r="I207" s="446"/>
      <c r="J207" s="218">
        <v>0.35</v>
      </c>
      <c r="K207" s="218">
        <v>1</v>
      </c>
      <c r="L207" s="218">
        <v>0.35</v>
      </c>
      <c r="AQ207" s="163"/>
      <c r="AR207" s="163"/>
      <c r="AS207" s="170"/>
      <c r="AT207" s="163"/>
      <c r="AU207" s="163"/>
      <c r="AV207" s="163"/>
      <c r="AW207" s="169"/>
      <c r="AX207" s="163"/>
      <c r="AY207" s="163"/>
    </row>
    <row r="208" spans="2:61" s="158" customFormat="1" ht="48.75" customHeight="1" x14ac:dyDescent="0.25">
      <c r="B208" s="803"/>
      <c r="C208" s="803"/>
      <c r="D208" s="717"/>
      <c r="E208" s="446">
        <v>160</v>
      </c>
      <c r="F208" s="727" t="s">
        <v>738</v>
      </c>
      <c r="G208" s="728"/>
      <c r="H208" s="728"/>
      <c r="I208" s="797"/>
      <c r="J208" s="218"/>
      <c r="K208" s="218"/>
      <c r="L208" s="218"/>
      <c r="AQ208" s="163"/>
      <c r="AR208" s="163"/>
      <c r="AS208" s="170"/>
      <c r="AT208" s="163"/>
      <c r="AU208" s="163"/>
      <c r="AV208" s="163"/>
      <c r="AW208" s="169"/>
      <c r="AX208" s="163"/>
      <c r="AY208" s="163"/>
      <c r="AZ208" s="164"/>
      <c r="BA208" s="163"/>
      <c r="BB208" s="163"/>
      <c r="BC208" s="163"/>
      <c r="BD208" s="163"/>
      <c r="BE208" s="163"/>
      <c r="BF208" s="163"/>
      <c r="BH208" s="163"/>
      <c r="BI208" s="171"/>
    </row>
    <row r="209" spans="2:61" s="158" customFormat="1" ht="48.75" customHeight="1" x14ac:dyDescent="0.25">
      <c r="B209" s="803"/>
      <c r="C209" s="803"/>
      <c r="D209" s="717"/>
      <c r="E209" s="446"/>
      <c r="F209" s="218">
        <v>1</v>
      </c>
      <c r="G209" s="218" t="s">
        <v>739</v>
      </c>
      <c r="H209" s="446" t="s">
        <v>740</v>
      </c>
      <c r="I209" s="446"/>
      <c r="J209" s="218">
        <v>0.4</v>
      </c>
      <c r="K209" s="218">
        <v>1</v>
      </c>
      <c r="L209" s="218">
        <v>0.4</v>
      </c>
      <c r="AQ209" s="163"/>
      <c r="AR209" s="163"/>
      <c r="AS209" s="170"/>
      <c r="AT209" s="163"/>
      <c r="AU209" s="163"/>
      <c r="AV209" s="163"/>
      <c r="AW209" s="169"/>
      <c r="AX209" s="163"/>
      <c r="AY209" s="163"/>
      <c r="AZ209" s="164"/>
      <c r="BA209" s="163"/>
      <c r="BB209" s="163"/>
      <c r="BC209" s="163"/>
      <c r="BD209" s="163"/>
      <c r="BE209" s="163"/>
      <c r="BF209" s="163"/>
      <c r="BH209" s="163"/>
      <c r="BI209" s="171"/>
    </row>
    <row r="210" spans="2:61" s="158" customFormat="1" ht="48.75" customHeight="1" x14ac:dyDescent="0.25">
      <c r="B210" s="803"/>
      <c r="C210" s="803"/>
      <c r="D210" s="717"/>
      <c r="E210" s="446"/>
      <c r="F210" s="218">
        <v>2</v>
      </c>
      <c r="G210" s="218" t="s">
        <v>739</v>
      </c>
      <c r="H210" s="446" t="s">
        <v>740</v>
      </c>
      <c r="I210" s="446"/>
      <c r="J210" s="218">
        <v>0.5</v>
      </c>
      <c r="K210" s="218">
        <v>1</v>
      </c>
      <c r="L210" s="218">
        <v>0.5</v>
      </c>
      <c r="AQ210" s="163"/>
      <c r="AR210" s="163"/>
      <c r="AS210" s="170"/>
      <c r="AT210" s="163"/>
      <c r="AU210" s="163"/>
      <c r="AV210" s="163"/>
      <c r="AW210" s="169"/>
      <c r="AX210" s="163"/>
      <c r="AY210" s="163"/>
      <c r="AZ210" s="164"/>
      <c r="BA210" s="163"/>
      <c r="BB210" s="163"/>
      <c r="BC210" s="163"/>
      <c r="BD210" s="163"/>
      <c r="BE210" s="163"/>
      <c r="BF210" s="163"/>
      <c r="BH210" s="163"/>
      <c r="BI210" s="171"/>
    </row>
    <row r="211" spans="2:61" s="158" customFormat="1" ht="48.75" customHeight="1" x14ac:dyDescent="0.3">
      <c r="B211" s="446"/>
      <c r="C211" s="446"/>
      <c r="D211" s="717" t="s">
        <v>743</v>
      </c>
      <c r="E211" s="19"/>
      <c r="F211" s="727" t="s">
        <v>738</v>
      </c>
      <c r="G211" s="728"/>
      <c r="H211" s="728"/>
      <c r="I211" s="797"/>
      <c r="J211" s="231"/>
      <c r="K211" s="231"/>
      <c r="L211" s="231"/>
      <c r="AQ211" s="163"/>
      <c r="AR211" s="163"/>
      <c r="AS211" s="170"/>
      <c r="AT211" s="163"/>
      <c r="AU211" s="163"/>
      <c r="AV211" s="163"/>
      <c r="AW211" s="169"/>
      <c r="AX211" s="163"/>
      <c r="AY211" s="163"/>
      <c r="AZ211" s="164"/>
      <c r="BA211" s="163"/>
      <c r="BB211" s="163"/>
      <c r="BC211" s="163"/>
      <c r="BD211" s="163"/>
      <c r="BE211" s="163"/>
      <c r="BF211" s="163"/>
      <c r="BH211" s="163"/>
      <c r="BI211" s="171"/>
    </row>
    <row r="212" spans="2:61" s="158" customFormat="1" ht="48.75" customHeight="1" x14ac:dyDescent="0.25">
      <c r="B212" s="446"/>
      <c r="C212" s="446"/>
      <c r="D212" s="717"/>
      <c r="E212" s="711" t="s">
        <v>744</v>
      </c>
      <c r="F212" s="711">
        <v>1</v>
      </c>
      <c r="G212" s="446" t="s">
        <v>739</v>
      </c>
      <c r="H212" s="707" t="s">
        <v>740</v>
      </c>
      <c r="I212" s="719"/>
      <c r="J212" s="711">
        <v>0.4</v>
      </c>
      <c r="K212" s="711">
        <v>1</v>
      </c>
      <c r="L212" s="711">
        <v>0.4</v>
      </c>
      <c r="AQ212" s="163"/>
      <c r="AR212" s="163"/>
      <c r="AS212" s="170"/>
      <c r="AT212" s="163"/>
      <c r="AU212" s="163"/>
      <c r="AV212" s="163"/>
      <c r="AW212" s="169"/>
      <c r="AX212" s="163"/>
      <c r="AY212" s="163"/>
      <c r="AZ212" s="164"/>
      <c r="BA212" s="163"/>
      <c r="BB212" s="163"/>
      <c r="BC212" s="163"/>
      <c r="BD212" s="163"/>
      <c r="BE212" s="163"/>
      <c r="BF212" s="163"/>
      <c r="BH212" s="163"/>
      <c r="BI212" s="171"/>
    </row>
    <row r="213" spans="2:61" s="158" customFormat="1" ht="48.75" customHeight="1" x14ac:dyDescent="0.25">
      <c r="B213" s="446"/>
      <c r="C213" s="446"/>
      <c r="D213" s="717"/>
      <c r="E213" s="712"/>
      <c r="F213" s="802"/>
      <c r="G213" s="446"/>
      <c r="H213" s="709"/>
      <c r="I213" s="724"/>
      <c r="J213" s="802"/>
      <c r="K213" s="802"/>
      <c r="L213" s="802"/>
      <c r="AQ213" s="163"/>
      <c r="AR213" s="163"/>
      <c r="AS213" s="170"/>
      <c r="AT213" s="163"/>
      <c r="AU213" s="163"/>
      <c r="AV213" s="163"/>
      <c r="AW213" s="169"/>
      <c r="AX213" s="163"/>
      <c r="AY213" s="163"/>
      <c r="AZ213" s="164"/>
      <c r="BA213" s="163"/>
      <c r="BB213" s="163"/>
      <c r="BC213" s="163"/>
      <c r="BD213" s="163"/>
      <c r="BE213" s="163"/>
      <c r="BF213" s="163"/>
      <c r="BH213" s="163"/>
      <c r="BI213" s="171"/>
    </row>
    <row r="214" spans="2:61" s="158" customFormat="1" ht="48.75" customHeight="1" x14ac:dyDescent="0.25">
      <c r="B214" s="446"/>
      <c r="C214" s="446"/>
      <c r="D214" s="717"/>
      <c r="E214" s="712"/>
      <c r="F214" s="711">
        <v>2</v>
      </c>
      <c r="G214" s="446" t="s">
        <v>739</v>
      </c>
      <c r="H214" s="707" t="s">
        <v>740</v>
      </c>
      <c r="I214" s="719"/>
      <c r="J214" s="711">
        <v>0.4</v>
      </c>
      <c r="K214" s="711">
        <v>1</v>
      </c>
      <c r="L214" s="711">
        <v>0.4</v>
      </c>
      <c r="X214" s="177"/>
      <c r="Y214" s="177"/>
      <c r="Z214" s="177"/>
      <c r="AA214" s="177"/>
      <c r="AB214" s="177"/>
      <c r="AC214" s="177"/>
      <c r="AD214" s="177"/>
      <c r="AE214" s="177"/>
      <c r="AF214" s="177"/>
      <c r="AG214" s="177"/>
      <c r="AH214" s="177"/>
      <c r="AI214" s="177"/>
      <c r="AQ214" s="163"/>
      <c r="AR214" s="163"/>
      <c r="AS214" s="170"/>
      <c r="AT214" s="163"/>
      <c r="AU214" s="163"/>
      <c r="AV214" s="163"/>
      <c r="AW214" s="169"/>
      <c r="AX214" s="163"/>
      <c r="AY214" s="163"/>
      <c r="AZ214" s="164"/>
      <c r="BA214" s="163"/>
      <c r="BB214" s="163"/>
      <c r="BC214" s="163"/>
      <c r="BD214" s="163"/>
      <c r="BE214" s="163"/>
      <c r="BF214" s="163"/>
      <c r="BH214" s="163"/>
      <c r="BI214" s="171"/>
    </row>
    <row r="215" spans="2:61" s="158" customFormat="1" ht="48.75" customHeight="1" x14ac:dyDescent="0.25">
      <c r="B215" s="446"/>
      <c r="C215" s="446"/>
      <c r="D215" s="717"/>
      <c r="E215" s="712"/>
      <c r="F215" s="802"/>
      <c r="G215" s="446"/>
      <c r="H215" s="709"/>
      <c r="I215" s="724"/>
      <c r="J215" s="802"/>
      <c r="K215" s="802"/>
      <c r="L215" s="802"/>
      <c r="X215" s="177"/>
      <c r="Y215" s="177"/>
      <c r="Z215" s="177"/>
      <c r="AA215" s="177"/>
      <c r="AB215" s="177"/>
      <c r="AC215" s="177"/>
      <c r="AD215" s="177"/>
      <c r="AE215" s="177"/>
      <c r="AF215" s="177"/>
      <c r="AG215" s="177"/>
      <c r="AH215" s="177"/>
      <c r="AI215" s="177"/>
      <c r="AQ215" s="163"/>
      <c r="AR215" s="163"/>
      <c r="AS215" s="170"/>
      <c r="AT215" s="163"/>
      <c r="AU215" s="163"/>
      <c r="AV215" s="163"/>
      <c r="AW215" s="169"/>
      <c r="AX215" s="163"/>
      <c r="AY215" s="163"/>
      <c r="AZ215" s="164"/>
      <c r="BA215" s="163"/>
      <c r="BB215" s="163"/>
      <c r="BC215" s="163"/>
      <c r="BD215" s="163"/>
      <c r="BE215" s="163"/>
      <c r="BF215" s="163"/>
      <c r="BH215" s="163"/>
      <c r="BI215" s="171"/>
    </row>
    <row r="216" spans="2:61" s="158" customFormat="1" ht="48.75" customHeight="1" x14ac:dyDescent="0.25">
      <c r="B216" s="446"/>
      <c r="C216" s="446"/>
      <c r="D216" s="717"/>
      <c r="E216" s="712"/>
      <c r="F216" s="711">
        <v>3</v>
      </c>
      <c r="G216" s="446" t="s">
        <v>739</v>
      </c>
      <c r="H216" s="707" t="s">
        <v>740</v>
      </c>
      <c r="I216" s="719"/>
      <c r="J216" s="711">
        <v>0.5</v>
      </c>
      <c r="K216" s="711">
        <v>1</v>
      </c>
      <c r="L216" s="711">
        <v>0.5</v>
      </c>
      <c r="X216" s="177"/>
      <c r="Y216" s="177"/>
      <c r="Z216" s="177"/>
      <c r="AA216" s="177"/>
      <c r="AB216" s="177"/>
      <c r="AC216" s="177"/>
      <c r="AD216" s="177"/>
      <c r="AE216" s="177"/>
      <c r="AF216" s="177"/>
      <c r="AG216" s="177"/>
      <c r="AH216" s="177"/>
      <c r="AI216" s="177"/>
      <c r="AQ216" s="163"/>
      <c r="AR216" s="163"/>
      <c r="AS216" s="170"/>
      <c r="AT216" s="163"/>
      <c r="AU216" s="163"/>
      <c r="AV216" s="163"/>
      <c r="AW216" s="169"/>
      <c r="AX216" s="163"/>
      <c r="AY216" s="163"/>
      <c r="AZ216" s="164"/>
      <c r="BA216" s="163"/>
      <c r="BB216" s="163"/>
      <c r="BC216" s="163"/>
      <c r="BD216" s="163"/>
      <c r="BE216" s="163"/>
      <c r="BF216" s="163"/>
      <c r="BH216" s="163"/>
      <c r="BI216" s="171"/>
    </row>
    <row r="217" spans="2:61" s="158" customFormat="1" ht="48.75" customHeight="1" x14ac:dyDescent="0.25">
      <c r="B217" s="446"/>
      <c r="C217" s="446"/>
      <c r="D217" s="717"/>
      <c r="E217" s="802"/>
      <c r="F217" s="802"/>
      <c r="G217" s="446"/>
      <c r="H217" s="709"/>
      <c r="I217" s="724"/>
      <c r="J217" s="802"/>
      <c r="K217" s="802"/>
      <c r="L217" s="802"/>
      <c r="X217" s="177"/>
      <c r="Y217" s="177"/>
      <c r="Z217" s="177"/>
      <c r="AA217" s="177"/>
      <c r="AB217" s="177"/>
      <c r="AC217" s="177"/>
      <c r="AD217" s="177"/>
      <c r="AE217" s="177"/>
      <c r="AF217" s="177"/>
      <c r="AG217" s="177"/>
      <c r="AH217" s="177"/>
      <c r="AI217" s="177"/>
      <c r="AQ217" s="163"/>
      <c r="AR217" s="163"/>
      <c r="AS217" s="170"/>
      <c r="AT217" s="163"/>
      <c r="AU217" s="163"/>
      <c r="AV217" s="163"/>
      <c r="AW217" s="169"/>
      <c r="AX217" s="163"/>
      <c r="AY217" s="163"/>
      <c r="AZ217" s="164"/>
      <c r="BA217" s="163"/>
      <c r="BB217" s="163"/>
      <c r="BC217" s="163"/>
      <c r="BD217" s="163"/>
      <c r="BE217" s="163"/>
      <c r="BF217" s="163"/>
      <c r="BH217" s="163"/>
      <c r="BI217" s="171"/>
    </row>
    <row r="218" spans="2:61" s="158" customFormat="1" ht="48.75" customHeight="1" x14ac:dyDescent="0.25">
      <c r="AC218" s="177"/>
      <c r="AD218" s="177"/>
      <c r="AE218" s="177"/>
      <c r="AF218" s="177"/>
      <c r="AG218" s="177"/>
      <c r="AH218" s="177"/>
      <c r="AI218" s="177"/>
      <c r="AQ218" s="163"/>
      <c r="AR218" s="163"/>
      <c r="AS218" s="170"/>
      <c r="AT218" s="163"/>
      <c r="AU218" s="163"/>
      <c r="AV218" s="163"/>
      <c r="AW218" s="169"/>
      <c r="AX218" s="163"/>
      <c r="AY218" s="163"/>
      <c r="AZ218" s="164"/>
      <c r="BA218" s="163"/>
      <c r="BB218" s="163"/>
      <c r="BC218" s="163"/>
      <c r="BD218" s="163"/>
      <c r="BE218" s="163"/>
      <c r="BF218" s="163"/>
      <c r="BH218" s="163"/>
      <c r="BI218" s="171"/>
    </row>
    <row r="219" spans="2:61" s="158" customFormat="1" ht="48.75" customHeight="1" x14ac:dyDescent="0.25">
      <c r="B219" s="177"/>
      <c r="C219" s="177"/>
      <c r="D219" s="177"/>
      <c r="E219" s="177"/>
      <c r="F219" s="177"/>
      <c r="G219" s="177"/>
      <c r="H219" s="177"/>
      <c r="I219" s="177"/>
      <c r="J219" s="177"/>
      <c r="K219" s="177"/>
      <c r="L219" s="177"/>
      <c r="M219" s="193"/>
      <c r="N219" s="193"/>
      <c r="O219" s="193"/>
      <c r="P219" s="193"/>
      <c r="Q219" s="193"/>
      <c r="R219" s="193"/>
      <c r="S219" s="193"/>
      <c r="T219" s="165"/>
      <c r="U219" s="165"/>
      <c r="V219" s="165"/>
      <c r="AC219" s="177"/>
      <c r="AD219" s="177"/>
      <c r="AE219" s="177"/>
      <c r="AF219" s="177"/>
      <c r="AG219" s="177"/>
      <c r="AH219" s="177"/>
      <c r="AI219" s="177"/>
      <c r="AO219" s="830"/>
      <c r="AP219" s="831"/>
      <c r="AQ219" s="831"/>
      <c r="AR219" s="831"/>
      <c r="AS219" s="831"/>
      <c r="AT219" s="831"/>
      <c r="AU219" s="832"/>
      <c r="AV219" s="163"/>
      <c r="AW219" s="169"/>
      <c r="AX219" s="163"/>
      <c r="AY219" s="163"/>
      <c r="AZ219" s="164"/>
      <c r="BA219" s="163"/>
      <c r="BB219" s="163"/>
      <c r="BC219" s="163"/>
      <c r="BD219" s="163"/>
      <c r="BE219" s="163"/>
      <c r="BF219" s="163"/>
      <c r="BH219" s="163"/>
      <c r="BI219" s="171"/>
    </row>
    <row r="220" spans="2:61" s="158" customFormat="1" ht="48.75" customHeight="1" x14ac:dyDescent="0.25">
      <c r="B220" s="798" t="s">
        <v>803</v>
      </c>
      <c r="C220" s="774"/>
      <c r="D220" s="774"/>
      <c r="E220" s="774"/>
      <c r="F220" s="774"/>
      <c r="G220" s="774"/>
      <c r="H220" s="774"/>
      <c r="I220" s="774"/>
      <c r="J220" s="774"/>
      <c r="K220" s="774"/>
      <c r="L220" s="774"/>
      <c r="M220" s="774"/>
      <c r="N220" s="774"/>
      <c r="O220" s="774"/>
      <c r="P220" s="774"/>
      <c r="Q220" s="774"/>
      <c r="R220" s="194"/>
      <c r="S220" s="193"/>
      <c r="T220" s="165"/>
      <c r="U220" s="165"/>
      <c r="V220" s="165"/>
      <c r="AQ220" s="163"/>
      <c r="AR220" s="163"/>
      <c r="AS220" s="170"/>
      <c r="AT220" s="163"/>
      <c r="AU220" s="163"/>
      <c r="AV220" s="163"/>
      <c r="AW220" s="169"/>
      <c r="AX220" s="163"/>
      <c r="AY220" s="163"/>
      <c r="AZ220" s="164"/>
      <c r="BA220" s="163"/>
      <c r="BB220" s="163"/>
      <c r="BC220" s="163"/>
      <c r="BD220" s="163"/>
      <c r="BE220" s="163"/>
      <c r="BF220" s="163"/>
      <c r="BH220" s="163"/>
      <c r="BI220" s="171"/>
    </row>
    <row r="221" spans="2:61" s="158" customFormat="1" ht="48.75" customHeight="1" x14ac:dyDescent="0.25">
      <c r="B221" s="801" t="s">
        <v>590</v>
      </c>
      <c r="C221" s="841" t="s">
        <v>30</v>
      </c>
      <c r="D221" s="727" t="s">
        <v>745</v>
      </c>
      <c r="E221" s="728"/>
      <c r="F221" s="728"/>
      <c r="G221" s="728"/>
      <c r="H221" s="728"/>
      <c r="I221" s="797"/>
      <c r="J221" s="738"/>
      <c r="K221" s="446">
        <v>8</v>
      </c>
      <c r="L221" s="188">
        <v>48</v>
      </c>
      <c r="M221" s="446" t="s">
        <v>757</v>
      </c>
      <c r="N221" s="446"/>
      <c r="O221" s="446"/>
      <c r="P221" s="446" t="s">
        <v>758</v>
      </c>
      <c r="Q221" s="446"/>
      <c r="R221" s="446"/>
      <c r="S221" s="193"/>
      <c r="T221" s="801" t="s">
        <v>590</v>
      </c>
      <c r="U221" s="841" t="s">
        <v>30</v>
      </c>
      <c r="V221" s="446" t="s">
        <v>745</v>
      </c>
      <c r="W221" s="446"/>
      <c r="X221" s="446"/>
      <c r="Y221" s="446"/>
      <c r="Z221" s="446"/>
      <c r="AA221" s="446"/>
      <c r="AB221" s="446"/>
      <c r="AC221" s="446"/>
      <c r="AD221" s="446"/>
      <c r="AE221" s="446"/>
      <c r="AF221" s="446"/>
      <c r="AG221" s="446"/>
      <c r="AH221" s="446"/>
      <c r="AI221" s="446"/>
      <c r="AJ221" s="446"/>
      <c r="AK221" s="446"/>
      <c r="AL221" s="446"/>
      <c r="AM221" s="446"/>
      <c r="AN221" s="446"/>
      <c r="AO221" s="446"/>
      <c r="AP221" s="446"/>
      <c r="AQ221" s="446"/>
      <c r="AR221" s="446"/>
      <c r="AS221" s="220"/>
      <c r="AT221" s="163"/>
      <c r="AU221" s="163"/>
      <c r="AV221" s="163"/>
      <c r="AW221" s="169"/>
      <c r="AX221" s="163"/>
      <c r="AY221" s="163"/>
      <c r="AZ221" s="164"/>
      <c r="BA221" s="163"/>
      <c r="BB221" s="163"/>
      <c r="BC221" s="163"/>
      <c r="BD221" s="163"/>
      <c r="BE221" s="163"/>
      <c r="BF221" s="163"/>
      <c r="BH221" s="163"/>
      <c r="BI221" s="171"/>
    </row>
    <row r="222" spans="2:61" s="158" customFormat="1" ht="48.75" customHeight="1" x14ac:dyDescent="0.25">
      <c r="B222" s="801"/>
      <c r="C222" s="843"/>
      <c r="D222" s="727" t="s">
        <v>746</v>
      </c>
      <c r="E222" s="728"/>
      <c r="F222" s="797"/>
      <c r="G222" s="727" t="s">
        <v>747</v>
      </c>
      <c r="H222" s="728"/>
      <c r="I222" s="797"/>
      <c r="J222" s="740"/>
      <c r="K222" s="446"/>
      <c r="L222" s="188">
        <v>72</v>
      </c>
      <c r="M222" s="446" t="s">
        <v>759</v>
      </c>
      <c r="N222" s="446"/>
      <c r="O222" s="446"/>
      <c r="P222" s="446" t="s">
        <v>760</v>
      </c>
      <c r="Q222" s="446"/>
      <c r="R222" s="446"/>
      <c r="S222" s="193"/>
      <c r="T222" s="801"/>
      <c r="U222" s="842"/>
      <c r="V222" s="709" t="s">
        <v>746</v>
      </c>
      <c r="W222" s="710"/>
      <c r="X222" s="710"/>
      <c r="Y222" s="710"/>
      <c r="Z222" s="710"/>
      <c r="AA222" s="710"/>
      <c r="AB222" s="710"/>
      <c r="AC222" s="710"/>
      <c r="AD222" s="710"/>
      <c r="AE222" s="710"/>
      <c r="AF222" s="724"/>
      <c r="AG222" s="827"/>
      <c r="AH222" s="709" t="s">
        <v>747</v>
      </c>
      <c r="AI222" s="710"/>
      <c r="AJ222" s="710"/>
      <c r="AK222" s="710"/>
      <c r="AL222" s="710"/>
      <c r="AM222" s="710"/>
      <c r="AN222" s="710"/>
      <c r="AO222" s="710"/>
      <c r="AP222" s="710"/>
      <c r="AQ222" s="710"/>
      <c r="AR222" s="710"/>
      <c r="AS222" s="710"/>
      <c r="AT222" s="163"/>
      <c r="AU222" s="163"/>
      <c r="AV222" s="163"/>
      <c r="AW222" s="169"/>
      <c r="AX222" s="163"/>
      <c r="AY222" s="163"/>
      <c r="AZ222" s="164"/>
      <c r="BA222" s="163"/>
      <c r="BB222" s="163"/>
      <c r="BC222" s="163"/>
      <c r="BD222" s="163"/>
      <c r="BE222" s="163"/>
      <c r="BF222" s="163"/>
      <c r="BH222" s="163"/>
      <c r="BI222" s="171"/>
    </row>
    <row r="223" spans="2:61" s="158" customFormat="1" ht="48.75" customHeight="1" x14ac:dyDescent="0.25">
      <c r="B223" s="446">
        <v>2</v>
      </c>
      <c r="C223" s="188">
        <v>12</v>
      </c>
      <c r="D223" s="727" t="s">
        <v>817</v>
      </c>
      <c r="E223" s="728"/>
      <c r="F223" s="797"/>
      <c r="G223" s="727" t="s">
        <v>339</v>
      </c>
      <c r="H223" s="728"/>
      <c r="I223" s="797"/>
      <c r="J223" s="740"/>
      <c r="K223" s="446"/>
      <c r="L223" s="188">
        <v>84</v>
      </c>
      <c r="M223" s="446" t="s">
        <v>778</v>
      </c>
      <c r="N223" s="446"/>
      <c r="O223" s="446"/>
      <c r="P223" s="446" t="s">
        <v>779</v>
      </c>
      <c r="Q223" s="446"/>
      <c r="R223" s="446"/>
      <c r="S223" s="193"/>
      <c r="T223" s="446">
        <v>2</v>
      </c>
      <c r="U223" s="220"/>
      <c r="V223" s="729" t="s">
        <v>189</v>
      </c>
      <c r="W223" s="729"/>
      <c r="X223" s="729"/>
      <c r="Y223" s="227"/>
      <c r="Z223" s="228"/>
      <c r="AA223" s="228"/>
      <c r="AB223" s="228"/>
      <c r="AC223" s="228"/>
      <c r="AD223" s="228"/>
      <c r="AE223" s="228"/>
      <c r="AF223" s="229"/>
      <c r="AG223" s="827"/>
      <c r="AH223" s="220"/>
      <c r="AI223" s="729" t="s">
        <v>189</v>
      </c>
      <c r="AJ223" s="729"/>
      <c r="AK223" s="729"/>
      <c r="AL223" s="227"/>
      <c r="AM223" s="228"/>
      <c r="AN223" s="228"/>
      <c r="AO223" s="228"/>
      <c r="AP223" s="228"/>
      <c r="AQ223" s="228"/>
      <c r="AR223" s="228"/>
      <c r="AS223" s="229"/>
      <c r="AW223" s="169"/>
      <c r="AX223" s="163"/>
      <c r="AY223" s="163"/>
      <c r="AZ223" s="164"/>
      <c r="BA223" s="163"/>
      <c r="BB223" s="163"/>
      <c r="BC223" s="163"/>
      <c r="BD223" s="163"/>
      <c r="BE223" s="163"/>
      <c r="BF223" s="163"/>
      <c r="BH223" s="163"/>
      <c r="BI223" s="171"/>
    </row>
    <row r="224" spans="2:61" s="158" customFormat="1" ht="48.75" customHeight="1" x14ac:dyDescent="0.25">
      <c r="B224" s="446"/>
      <c r="C224" s="188">
        <v>18</v>
      </c>
      <c r="D224" s="727" t="s">
        <v>818</v>
      </c>
      <c r="E224" s="728"/>
      <c r="F224" s="797"/>
      <c r="G224" s="727" t="s">
        <v>819</v>
      </c>
      <c r="H224" s="728"/>
      <c r="I224" s="797"/>
      <c r="J224" s="740"/>
      <c r="K224" s="446"/>
      <c r="L224" s="188">
        <v>96</v>
      </c>
      <c r="M224" s="446" t="s">
        <v>761</v>
      </c>
      <c r="N224" s="446"/>
      <c r="O224" s="446"/>
      <c r="P224" s="446" t="s">
        <v>780</v>
      </c>
      <c r="Q224" s="446"/>
      <c r="R224" s="446"/>
      <c r="S224" s="193"/>
      <c r="T224" s="446"/>
      <c r="U224" s="219">
        <v>12</v>
      </c>
      <c r="V224" s="446" t="s">
        <v>817</v>
      </c>
      <c r="W224" s="446"/>
      <c r="X224" s="446"/>
      <c r="Y224" s="241">
        <v>9</v>
      </c>
      <c r="Z224" s="241">
        <v>15</v>
      </c>
      <c r="AA224" s="221"/>
      <c r="AB224" s="221"/>
      <c r="AC224" s="221"/>
      <c r="AD224" s="221"/>
      <c r="AE224" s="221"/>
      <c r="AF224" s="221"/>
      <c r="AG224" s="725"/>
      <c r="AH224" s="219">
        <v>12</v>
      </c>
      <c r="AI224" s="727" t="s">
        <v>339</v>
      </c>
      <c r="AJ224" s="728"/>
      <c r="AK224" s="797"/>
      <c r="AL224" s="284"/>
      <c r="AM224" s="284"/>
      <c r="AN224" s="284"/>
      <c r="AO224" s="284"/>
      <c r="AP224" s="284"/>
      <c r="AQ224" s="284"/>
      <c r="AR224" s="284"/>
      <c r="AS224" s="284"/>
      <c r="AW224" s="169"/>
      <c r="AX224" s="163"/>
      <c r="AY224" s="163"/>
      <c r="AZ224" s="164"/>
      <c r="BA224" s="163"/>
    </row>
    <row r="225" spans="2:53" s="158" customFormat="1" ht="48.75" customHeight="1" x14ac:dyDescent="0.25">
      <c r="B225" s="446"/>
      <c r="C225" s="188">
        <v>24</v>
      </c>
      <c r="D225" s="727" t="s">
        <v>820</v>
      </c>
      <c r="E225" s="728"/>
      <c r="F225" s="797"/>
      <c r="G225" s="727" t="s">
        <v>791</v>
      </c>
      <c r="H225" s="728"/>
      <c r="I225" s="797"/>
      <c r="J225" s="740"/>
      <c r="K225" s="446">
        <v>10</v>
      </c>
      <c r="L225" s="188">
        <v>60</v>
      </c>
      <c r="M225" s="446" t="s">
        <v>762</v>
      </c>
      <c r="N225" s="446"/>
      <c r="O225" s="446"/>
      <c r="P225" s="446" t="s">
        <v>763</v>
      </c>
      <c r="Q225" s="446"/>
      <c r="R225" s="446"/>
      <c r="S225" s="193"/>
      <c r="T225" s="446"/>
      <c r="U225" s="219">
        <v>18</v>
      </c>
      <c r="V225" s="446" t="s">
        <v>818</v>
      </c>
      <c r="W225" s="446"/>
      <c r="X225" s="446"/>
      <c r="Y225" s="222">
        <v>11</v>
      </c>
      <c r="Z225" s="222">
        <v>12</v>
      </c>
      <c r="AA225" s="222">
        <v>15</v>
      </c>
      <c r="AB225" s="222">
        <v>21</v>
      </c>
      <c r="AC225" s="222">
        <v>22</v>
      </c>
      <c r="AD225" s="221"/>
      <c r="AE225" s="221"/>
      <c r="AF225" s="221"/>
      <c r="AG225" s="242"/>
      <c r="AH225" s="219">
        <v>18</v>
      </c>
      <c r="AI225" s="727" t="s">
        <v>819</v>
      </c>
      <c r="AJ225" s="728"/>
      <c r="AK225" s="797"/>
      <c r="AL225" s="283">
        <v>14</v>
      </c>
      <c r="AM225" s="283">
        <v>18</v>
      </c>
      <c r="AN225" s="283">
        <v>19</v>
      </c>
      <c r="AO225" s="283">
        <v>22</v>
      </c>
      <c r="AP225" s="283">
        <v>26</v>
      </c>
      <c r="AQ225" s="283">
        <v>28</v>
      </c>
      <c r="AR225" s="284"/>
      <c r="AS225" s="284"/>
      <c r="AW225" s="169"/>
      <c r="AX225" s="163"/>
      <c r="AY225" s="163"/>
      <c r="AZ225" s="164"/>
      <c r="BA225" s="163"/>
    </row>
    <row r="226" spans="2:53" s="158" customFormat="1" ht="48.75" customHeight="1" x14ac:dyDescent="0.25">
      <c r="B226" s="446"/>
      <c r="C226" s="188">
        <v>30</v>
      </c>
      <c r="D226" s="727" t="s">
        <v>748</v>
      </c>
      <c r="E226" s="728"/>
      <c r="F226" s="797"/>
      <c r="G226" s="727" t="s">
        <v>792</v>
      </c>
      <c r="H226" s="728"/>
      <c r="I226" s="797"/>
      <c r="J226" s="740"/>
      <c r="K226" s="446"/>
      <c r="L226" s="188">
        <v>90</v>
      </c>
      <c r="M226" s="446" t="s">
        <v>781</v>
      </c>
      <c r="N226" s="446"/>
      <c r="O226" s="446"/>
      <c r="P226" s="446" t="s">
        <v>782</v>
      </c>
      <c r="Q226" s="446"/>
      <c r="R226" s="446"/>
      <c r="S226" s="193"/>
      <c r="T226" s="446"/>
      <c r="U226" s="219">
        <v>24</v>
      </c>
      <c r="V226" s="446" t="s">
        <v>820</v>
      </c>
      <c r="W226" s="446"/>
      <c r="X226" s="446"/>
      <c r="Y226" s="241">
        <v>15</v>
      </c>
      <c r="Z226" s="222">
        <v>16</v>
      </c>
      <c r="AA226" s="222">
        <v>17</v>
      </c>
      <c r="AB226" s="222">
        <v>19</v>
      </c>
      <c r="AC226" s="222">
        <v>32</v>
      </c>
      <c r="AD226" s="221"/>
      <c r="AE226" s="221"/>
      <c r="AF226" s="221"/>
      <c r="AG226" s="239"/>
      <c r="AH226" s="219">
        <v>24</v>
      </c>
      <c r="AI226" s="727" t="s">
        <v>791</v>
      </c>
      <c r="AJ226" s="728"/>
      <c r="AK226" s="797"/>
      <c r="AL226" s="283">
        <v>18</v>
      </c>
      <c r="AM226" s="283">
        <v>20</v>
      </c>
      <c r="AN226" s="283">
        <v>26</v>
      </c>
      <c r="AO226" s="283">
        <v>31</v>
      </c>
      <c r="AP226" s="283">
        <v>33</v>
      </c>
      <c r="AQ226" s="283">
        <v>34</v>
      </c>
      <c r="AR226" s="283">
        <v>35</v>
      </c>
      <c r="AS226" s="284"/>
      <c r="AW226" s="169"/>
      <c r="AX226" s="163"/>
      <c r="AY226" s="163"/>
      <c r="AZ226" s="164"/>
      <c r="BA226" s="163"/>
    </row>
    <row r="227" spans="2:53" s="158" customFormat="1" ht="48.75" customHeight="1" x14ac:dyDescent="0.25">
      <c r="B227" s="446"/>
      <c r="C227" s="188">
        <v>36</v>
      </c>
      <c r="D227" s="727" t="s">
        <v>749</v>
      </c>
      <c r="E227" s="728"/>
      <c r="F227" s="797"/>
      <c r="G227" s="727" t="s">
        <v>750</v>
      </c>
      <c r="H227" s="728"/>
      <c r="I227" s="797"/>
      <c r="J227" s="740"/>
      <c r="K227" s="446"/>
      <c r="L227" s="188">
        <v>120</v>
      </c>
      <c r="M227" s="446" t="s">
        <v>783</v>
      </c>
      <c r="N227" s="446"/>
      <c r="O227" s="446"/>
      <c r="P227" s="446" t="s">
        <v>784</v>
      </c>
      <c r="Q227" s="446"/>
      <c r="R227" s="446"/>
      <c r="S227" s="193"/>
      <c r="T227" s="446"/>
      <c r="U227" s="219">
        <v>30</v>
      </c>
      <c r="V227" s="446" t="s">
        <v>748</v>
      </c>
      <c r="W227" s="446"/>
      <c r="X227" s="446"/>
      <c r="Y227" s="241">
        <v>22</v>
      </c>
      <c r="Z227" s="222">
        <v>38</v>
      </c>
      <c r="AA227" s="221"/>
      <c r="AB227" s="221"/>
      <c r="AC227" s="221"/>
      <c r="AD227" s="221"/>
      <c r="AE227" s="221"/>
      <c r="AF227" s="221"/>
      <c r="AG227" s="239"/>
      <c r="AH227" s="219">
        <v>30</v>
      </c>
      <c r="AI227" s="727" t="s">
        <v>792</v>
      </c>
      <c r="AJ227" s="728"/>
      <c r="AK227" s="797"/>
      <c r="AL227" s="283">
        <v>18</v>
      </c>
      <c r="AM227" s="283">
        <v>20</v>
      </c>
      <c r="AN227" s="283">
        <v>21</v>
      </c>
      <c r="AO227" s="283">
        <v>23</v>
      </c>
      <c r="AP227" s="283">
        <v>24</v>
      </c>
      <c r="AQ227" s="283">
        <v>37</v>
      </c>
      <c r="AR227" s="283">
        <v>39</v>
      </c>
      <c r="AS227" s="283">
        <v>40</v>
      </c>
      <c r="AW227" s="169"/>
      <c r="AX227" s="163"/>
      <c r="AY227" s="163"/>
      <c r="AZ227" s="164"/>
      <c r="BA227" s="163"/>
    </row>
    <row r="228" spans="2:53" s="158" customFormat="1" ht="48.75" customHeight="1" x14ac:dyDescent="0.25">
      <c r="B228" s="446"/>
      <c r="C228" s="188">
        <v>42</v>
      </c>
      <c r="D228" s="727" t="s">
        <v>751</v>
      </c>
      <c r="E228" s="728"/>
      <c r="F228" s="797"/>
      <c r="G228" s="727" t="s">
        <v>339</v>
      </c>
      <c r="H228" s="728"/>
      <c r="I228" s="797"/>
      <c r="J228" s="740"/>
      <c r="K228" s="446">
        <v>12</v>
      </c>
      <c r="L228" s="188">
        <v>72</v>
      </c>
      <c r="M228" s="446" t="s">
        <v>764</v>
      </c>
      <c r="N228" s="446"/>
      <c r="O228" s="446"/>
      <c r="P228" s="446" t="s">
        <v>765</v>
      </c>
      <c r="Q228" s="446"/>
      <c r="R228" s="446"/>
      <c r="S228" s="193"/>
      <c r="T228" s="446"/>
      <c r="U228" s="219">
        <v>36</v>
      </c>
      <c r="V228" s="446" t="s">
        <v>749</v>
      </c>
      <c r="W228" s="446"/>
      <c r="X228" s="446"/>
      <c r="Y228" s="241">
        <v>26</v>
      </c>
      <c r="Z228" s="222">
        <v>28</v>
      </c>
      <c r="AA228" s="222">
        <v>44</v>
      </c>
      <c r="AB228" s="222">
        <v>46</v>
      </c>
      <c r="AC228" s="221"/>
      <c r="AD228" s="221"/>
      <c r="AE228" s="221"/>
      <c r="AF228" s="221"/>
      <c r="AG228" s="239"/>
      <c r="AH228" s="219">
        <v>36</v>
      </c>
      <c r="AI228" s="727" t="s">
        <v>750</v>
      </c>
      <c r="AJ228" s="728"/>
      <c r="AK228" s="797"/>
      <c r="AL228" s="283">
        <v>25</v>
      </c>
      <c r="AM228" s="283">
        <v>27</v>
      </c>
      <c r="AN228" s="283">
        <v>29</v>
      </c>
      <c r="AO228" s="283">
        <v>43</v>
      </c>
      <c r="AP228" s="283">
        <v>45</v>
      </c>
      <c r="AQ228" s="283">
        <v>47</v>
      </c>
      <c r="AR228" s="284"/>
      <c r="AS228" s="284"/>
      <c r="AW228" s="169"/>
      <c r="AX228" s="163"/>
      <c r="AY228" s="163"/>
      <c r="AZ228" s="164"/>
      <c r="BA228" s="163"/>
    </row>
    <row r="229" spans="2:53" s="158" customFormat="1" ht="48.75" customHeight="1" x14ac:dyDescent="0.25">
      <c r="B229" s="446"/>
      <c r="C229" s="188">
        <v>48</v>
      </c>
      <c r="D229" s="727" t="s">
        <v>752</v>
      </c>
      <c r="E229" s="728"/>
      <c r="F229" s="797"/>
      <c r="G229" s="727" t="s">
        <v>753</v>
      </c>
      <c r="H229" s="728"/>
      <c r="I229" s="797"/>
      <c r="J229" s="740"/>
      <c r="K229" s="446"/>
      <c r="L229" s="188">
        <v>90</v>
      </c>
      <c r="M229" s="446" t="s">
        <v>785</v>
      </c>
      <c r="N229" s="446"/>
      <c r="O229" s="446"/>
      <c r="P229" s="446" t="s">
        <v>786</v>
      </c>
      <c r="Q229" s="446"/>
      <c r="R229" s="446"/>
      <c r="S229" s="193"/>
      <c r="T229" s="446"/>
      <c r="U229" s="219">
        <v>42</v>
      </c>
      <c r="V229" s="446" t="s">
        <v>751</v>
      </c>
      <c r="W229" s="446"/>
      <c r="X229" s="446"/>
      <c r="Y229" s="241">
        <v>32</v>
      </c>
      <c r="Z229" s="222">
        <v>33</v>
      </c>
      <c r="AA229" s="222">
        <v>34</v>
      </c>
      <c r="AB229" s="222">
        <v>50</v>
      </c>
      <c r="AC229" s="222">
        <v>52</v>
      </c>
      <c r="AD229" s="221"/>
      <c r="AE229" s="221"/>
      <c r="AF229" s="221"/>
      <c r="AG229" s="239"/>
      <c r="AH229" s="219">
        <v>42</v>
      </c>
      <c r="AI229" s="727" t="s">
        <v>339</v>
      </c>
      <c r="AJ229" s="728"/>
      <c r="AK229" s="797"/>
      <c r="AL229" s="284"/>
      <c r="AM229" s="284"/>
      <c r="AN229" s="284"/>
      <c r="AO229" s="284"/>
      <c r="AP229" s="284"/>
      <c r="AQ229" s="284"/>
      <c r="AR229" s="284"/>
      <c r="AS229" s="284"/>
      <c r="AW229" s="169"/>
      <c r="AX229" s="163"/>
      <c r="AY229" s="163"/>
      <c r="AZ229" s="164"/>
      <c r="BA229" s="163"/>
    </row>
    <row r="230" spans="2:53" s="158" customFormat="1" ht="48.75" customHeight="1" thickBot="1" x14ac:dyDescent="0.3">
      <c r="B230" s="446">
        <v>4</v>
      </c>
      <c r="C230" s="188">
        <v>12</v>
      </c>
      <c r="D230" s="797" t="s">
        <v>816</v>
      </c>
      <c r="E230" s="446"/>
      <c r="F230" s="446"/>
      <c r="G230" s="446" t="s">
        <v>821</v>
      </c>
      <c r="H230" s="446"/>
      <c r="I230" s="446"/>
      <c r="J230" s="740"/>
      <c r="K230" s="446"/>
      <c r="L230" s="188">
        <v>108</v>
      </c>
      <c r="M230" s="446" t="s">
        <v>787</v>
      </c>
      <c r="N230" s="446"/>
      <c r="O230" s="446"/>
      <c r="P230" s="446" t="s">
        <v>788</v>
      </c>
      <c r="Q230" s="446"/>
      <c r="R230" s="446"/>
      <c r="S230" s="193"/>
      <c r="T230" s="833"/>
      <c r="U230" s="245">
        <v>48</v>
      </c>
      <c r="V230" s="833" t="s">
        <v>752</v>
      </c>
      <c r="W230" s="833"/>
      <c r="X230" s="833"/>
      <c r="Y230" s="246">
        <v>38</v>
      </c>
      <c r="Z230" s="235">
        <v>40</v>
      </c>
      <c r="AA230" s="235">
        <v>56</v>
      </c>
      <c r="AB230" s="235">
        <v>58</v>
      </c>
      <c r="AC230" s="247"/>
      <c r="AD230" s="247"/>
      <c r="AE230" s="247"/>
      <c r="AF230" s="247"/>
      <c r="AG230" s="239"/>
      <c r="AH230" s="245">
        <v>48</v>
      </c>
      <c r="AI230" s="838" t="s">
        <v>753</v>
      </c>
      <c r="AJ230" s="839"/>
      <c r="AK230" s="840"/>
      <c r="AL230" s="283">
        <v>37</v>
      </c>
      <c r="AM230" s="283">
        <v>39</v>
      </c>
      <c r="AN230" s="283">
        <v>41</v>
      </c>
      <c r="AO230" s="283">
        <v>55</v>
      </c>
      <c r="AP230" s="283">
        <v>57</v>
      </c>
      <c r="AQ230" s="283">
        <v>59</v>
      </c>
      <c r="AR230" s="284"/>
      <c r="AS230" s="284"/>
      <c r="AW230" s="169"/>
      <c r="AX230" s="163"/>
      <c r="AY230" s="163"/>
      <c r="AZ230" s="164"/>
      <c r="BA230" s="163"/>
    </row>
    <row r="231" spans="2:53" s="158" customFormat="1" ht="48.75" customHeight="1" x14ac:dyDescent="0.25">
      <c r="B231" s="446"/>
      <c r="C231" s="188">
        <v>18</v>
      </c>
      <c r="D231" s="797" t="s">
        <v>822</v>
      </c>
      <c r="E231" s="446"/>
      <c r="F231" s="446"/>
      <c r="G231" s="446" t="s">
        <v>823</v>
      </c>
      <c r="H231" s="446"/>
      <c r="I231" s="446"/>
      <c r="J231" s="740"/>
      <c r="K231" s="446"/>
      <c r="L231" s="188">
        <v>144</v>
      </c>
      <c r="M231" s="446" t="s">
        <v>789</v>
      </c>
      <c r="N231" s="446"/>
      <c r="O231" s="446"/>
      <c r="P231" s="446" t="s">
        <v>790</v>
      </c>
      <c r="Q231" s="446"/>
      <c r="R231" s="446"/>
      <c r="S231" s="193"/>
      <c r="T231" s="834">
        <v>4</v>
      </c>
      <c r="U231" s="248">
        <v>12</v>
      </c>
      <c r="V231" s="834" t="s">
        <v>816</v>
      </c>
      <c r="W231" s="834"/>
      <c r="X231" s="834"/>
      <c r="Y231" s="234">
        <v>9</v>
      </c>
      <c r="Z231" s="249"/>
      <c r="AA231" s="249"/>
      <c r="AB231" s="249"/>
      <c r="AC231" s="249"/>
      <c r="AD231" s="249"/>
      <c r="AE231" s="249"/>
      <c r="AF231" s="221"/>
      <c r="AG231" s="239"/>
      <c r="AH231" s="248">
        <v>12</v>
      </c>
      <c r="AI231" s="802" t="s">
        <v>821</v>
      </c>
      <c r="AJ231" s="802"/>
      <c r="AK231" s="802"/>
      <c r="AL231" s="233">
        <v>15</v>
      </c>
      <c r="AM231" s="233"/>
      <c r="AN231" s="233"/>
      <c r="AO231" s="106"/>
      <c r="AP231" s="106"/>
      <c r="AQ231" s="106"/>
      <c r="AR231" s="106"/>
      <c r="AS231" s="106"/>
      <c r="AW231" s="169"/>
      <c r="AX231" s="163"/>
      <c r="AY231" s="163"/>
      <c r="AZ231" s="164"/>
      <c r="BA231" s="163"/>
    </row>
    <row r="232" spans="2:53" s="158" customFormat="1" ht="48.75" customHeight="1" x14ac:dyDescent="0.25">
      <c r="B232" s="446"/>
      <c r="C232" s="188">
        <v>24</v>
      </c>
      <c r="D232" s="797" t="s">
        <v>824</v>
      </c>
      <c r="E232" s="446"/>
      <c r="F232" s="446"/>
      <c r="G232" s="446" t="s">
        <v>793</v>
      </c>
      <c r="H232" s="446"/>
      <c r="I232" s="446"/>
      <c r="J232" s="740"/>
      <c r="K232" s="446">
        <v>14</v>
      </c>
      <c r="L232" s="446">
        <v>84</v>
      </c>
      <c r="M232" s="446" t="s">
        <v>772</v>
      </c>
      <c r="N232" s="446"/>
      <c r="O232" s="446"/>
      <c r="P232" s="446" t="s">
        <v>799</v>
      </c>
      <c r="Q232" s="446"/>
      <c r="R232" s="446"/>
      <c r="S232" s="193"/>
      <c r="T232" s="446"/>
      <c r="U232" s="219">
        <v>18</v>
      </c>
      <c r="V232" s="446" t="s">
        <v>822</v>
      </c>
      <c r="W232" s="446"/>
      <c r="X232" s="446"/>
      <c r="Y232" s="222">
        <v>10</v>
      </c>
      <c r="Z232" s="222">
        <v>14</v>
      </c>
      <c r="AA232" s="221"/>
      <c r="AB232" s="221"/>
      <c r="AC232" s="221"/>
      <c r="AD232" s="221"/>
      <c r="AE232" s="221"/>
      <c r="AF232" s="221"/>
      <c r="AG232" s="239"/>
      <c r="AH232" s="219">
        <v>18</v>
      </c>
      <c r="AI232" s="446" t="s">
        <v>823</v>
      </c>
      <c r="AJ232" s="446"/>
      <c r="AK232" s="446"/>
      <c r="AL232" s="222">
        <v>18</v>
      </c>
      <c r="AM232" s="222">
        <v>22</v>
      </c>
      <c r="AN232" s="222"/>
      <c r="AO232" s="21"/>
      <c r="AP232" s="21"/>
      <c r="AQ232" s="21"/>
      <c r="AR232" s="21"/>
      <c r="AS232" s="21"/>
      <c r="AW232" s="169"/>
      <c r="AX232" s="163"/>
      <c r="AY232" s="163"/>
      <c r="AZ232" s="164"/>
      <c r="BA232" s="163"/>
    </row>
    <row r="233" spans="2:53" s="158" customFormat="1" ht="48.75" customHeight="1" x14ac:dyDescent="0.25">
      <c r="B233" s="446"/>
      <c r="C233" s="188">
        <v>36</v>
      </c>
      <c r="D233" s="797" t="s">
        <v>766</v>
      </c>
      <c r="E233" s="446"/>
      <c r="F233" s="446"/>
      <c r="G233" s="446" t="s">
        <v>794</v>
      </c>
      <c r="H233" s="446"/>
      <c r="I233" s="446"/>
      <c r="J233" s="740"/>
      <c r="K233" s="446"/>
      <c r="L233" s="446"/>
      <c r="M233" s="446"/>
      <c r="N233" s="446"/>
      <c r="O233" s="446"/>
      <c r="P233" s="446"/>
      <c r="Q233" s="446"/>
      <c r="R233" s="446"/>
      <c r="S233" s="193"/>
      <c r="T233" s="446"/>
      <c r="U233" s="219">
        <v>24</v>
      </c>
      <c r="V233" s="446" t="s">
        <v>824</v>
      </c>
      <c r="W233" s="446"/>
      <c r="X233" s="446"/>
      <c r="Y233" s="222">
        <v>15</v>
      </c>
      <c r="Z233" s="222">
        <v>16</v>
      </c>
      <c r="AA233" s="222">
        <v>17</v>
      </c>
      <c r="AB233" s="222">
        <v>32</v>
      </c>
      <c r="AC233" s="221"/>
      <c r="AD233" s="221"/>
      <c r="AE233" s="221"/>
      <c r="AF233" s="221"/>
      <c r="AG233" s="239"/>
      <c r="AH233" s="219">
        <v>24</v>
      </c>
      <c r="AI233" s="446" t="s">
        <v>793</v>
      </c>
      <c r="AJ233" s="446"/>
      <c r="AK233" s="446"/>
      <c r="AL233" s="222">
        <v>16</v>
      </c>
      <c r="AM233" s="222">
        <v>18</v>
      </c>
      <c r="AN233" s="222">
        <v>20</v>
      </c>
      <c r="AO233" s="21">
        <v>30</v>
      </c>
      <c r="AP233" s="21">
        <v>33</v>
      </c>
      <c r="AQ233" s="21">
        <v>34</v>
      </c>
      <c r="AR233" s="21">
        <v>35</v>
      </c>
      <c r="AS233" s="21"/>
      <c r="AW233" s="169"/>
      <c r="AX233" s="163"/>
      <c r="AY233" s="163"/>
      <c r="AZ233" s="164"/>
      <c r="BA233" s="163"/>
    </row>
    <row r="234" spans="2:53" s="158" customFormat="1" ht="48.75" customHeight="1" x14ac:dyDescent="0.25">
      <c r="B234" s="446"/>
      <c r="C234" s="188">
        <v>42</v>
      </c>
      <c r="D234" s="797" t="s">
        <v>767</v>
      </c>
      <c r="E234" s="446"/>
      <c r="F234" s="446"/>
      <c r="G234" s="446" t="s">
        <v>795</v>
      </c>
      <c r="H234" s="446"/>
      <c r="I234" s="446"/>
      <c r="J234" s="740"/>
      <c r="K234" s="446"/>
      <c r="L234" s="446">
        <v>126</v>
      </c>
      <c r="M234" s="446" t="s">
        <v>798</v>
      </c>
      <c r="N234" s="446"/>
      <c r="O234" s="446"/>
      <c r="P234" s="446" t="s">
        <v>800</v>
      </c>
      <c r="Q234" s="446"/>
      <c r="R234" s="446"/>
      <c r="S234" s="193"/>
      <c r="T234" s="446"/>
      <c r="U234" s="219">
        <v>36</v>
      </c>
      <c r="V234" s="446" t="s">
        <v>766</v>
      </c>
      <c r="W234" s="446"/>
      <c r="X234" s="446"/>
      <c r="Y234" s="222">
        <v>26</v>
      </c>
      <c r="Z234" s="222">
        <v>44</v>
      </c>
      <c r="AA234" s="222">
        <v>46</v>
      </c>
      <c r="AB234" s="221"/>
      <c r="AC234" s="221"/>
      <c r="AD234" s="221"/>
      <c r="AE234" s="221"/>
      <c r="AF234" s="221"/>
      <c r="AG234" s="239"/>
      <c r="AH234" s="219">
        <v>36</v>
      </c>
      <c r="AI234" s="446" t="s">
        <v>794</v>
      </c>
      <c r="AJ234" s="446"/>
      <c r="AK234" s="446"/>
      <c r="AL234" s="222"/>
      <c r="AM234" s="222"/>
      <c r="AN234" s="222"/>
      <c r="AO234" s="21"/>
      <c r="AP234" s="21"/>
      <c r="AQ234" s="21"/>
      <c r="AR234" s="21"/>
      <c r="AS234" s="21"/>
      <c r="AW234" s="169"/>
      <c r="AX234" s="163"/>
      <c r="AY234" s="163"/>
      <c r="AZ234" s="164"/>
      <c r="BA234" s="163"/>
    </row>
    <row r="235" spans="2:53" s="158" customFormat="1" ht="48.75" customHeight="1" x14ac:dyDescent="0.25">
      <c r="B235" s="446"/>
      <c r="C235" s="188">
        <v>48</v>
      </c>
      <c r="D235" s="797" t="s">
        <v>768</v>
      </c>
      <c r="E235" s="446"/>
      <c r="F235" s="446"/>
      <c r="G235" s="446" t="s">
        <v>796</v>
      </c>
      <c r="H235" s="446"/>
      <c r="I235" s="446"/>
      <c r="J235" s="740"/>
      <c r="K235" s="446"/>
      <c r="L235" s="446"/>
      <c r="M235" s="446"/>
      <c r="N235" s="446"/>
      <c r="O235" s="446"/>
      <c r="P235" s="446"/>
      <c r="Q235" s="446"/>
      <c r="R235" s="446"/>
      <c r="S235" s="193"/>
      <c r="T235" s="446"/>
      <c r="U235" s="219">
        <v>42</v>
      </c>
      <c r="V235" s="446" t="s">
        <v>767</v>
      </c>
      <c r="W235" s="446"/>
      <c r="X235" s="446"/>
      <c r="Y235" s="222">
        <v>34</v>
      </c>
      <c r="Z235" s="222">
        <v>50</v>
      </c>
      <c r="AA235" s="222">
        <v>52</v>
      </c>
      <c r="AB235" s="222">
        <v>54</v>
      </c>
      <c r="AC235" s="221"/>
      <c r="AD235" s="221"/>
      <c r="AE235" s="221"/>
      <c r="AF235" s="221"/>
      <c r="AG235" s="239"/>
      <c r="AH235" s="219">
        <v>42</v>
      </c>
      <c r="AI235" s="446" t="s">
        <v>795</v>
      </c>
      <c r="AJ235" s="446"/>
      <c r="AK235" s="446"/>
      <c r="AL235" s="222"/>
      <c r="AM235" s="222"/>
      <c r="AN235" s="222"/>
      <c r="AO235" s="21"/>
      <c r="AP235" s="21"/>
      <c r="AQ235" s="21"/>
      <c r="AR235" s="21"/>
      <c r="AS235" s="21"/>
      <c r="AW235" s="169"/>
      <c r="AX235" s="163"/>
      <c r="AY235" s="163"/>
      <c r="AZ235" s="164"/>
      <c r="BA235" s="163"/>
    </row>
    <row r="236" spans="2:53" s="158" customFormat="1" ht="48.75" customHeight="1" x14ac:dyDescent="0.25">
      <c r="B236" s="446"/>
      <c r="C236" s="188">
        <v>60</v>
      </c>
      <c r="D236" s="797" t="s">
        <v>769</v>
      </c>
      <c r="E236" s="446"/>
      <c r="F236" s="446"/>
      <c r="G236" s="446" t="s">
        <v>797</v>
      </c>
      <c r="H236" s="446"/>
      <c r="I236" s="446"/>
      <c r="J236" s="740"/>
      <c r="K236" s="446">
        <v>16</v>
      </c>
      <c r="L236" s="446">
        <v>96</v>
      </c>
      <c r="M236" s="446" t="s">
        <v>802</v>
      </c>
      <c r="N236" s="446"/>
      <c r="O236" s="446"/>
      <c r="P236" s="446">
        <v>90.102000000000004</v>
      </c>
      <c r="Q236" s="446"/>
      <c r="R236" s="446"/>
      <c r="S236" s="165"/>
      <c r="T236" s="446"/>
      <c r="U236" s="219">
        <v>48</v>
      </c>
      <c r="V236" s="446" t="s">
        <v>768</v>
      </c>
      <c r="W236" s="446"/>
      <c r="X236" s="446"/>
      <c r="Y236" s="222">
        <v>34</v>
      </c>
      <c r="Z236" s="222">
        <v>38</v>
      </c>
      <c r="AA236" s="222">
        <v>56</v>
      </c>
      <c r="AB236" s="222">
        <v>58</v>
      </c>
      <c r="AC236" s="222">
        <v>62</v>
      </c>
      <c r="AD236" s="222">
        <v>64</v>
      </c>
      <c r="AE236" s="221"/>
      <c r="AF236" s="221"/>
      <c r="AG236" s="239"/>
      <c r="AH236" s="219">
        <v>48</v>
      </c>
      <c r="AI236" s="446" t="s">
        <v>796</v>
      </c>
      <c r="AJ236" s="446"/>
      <c r="AK236" s="446"/>
      <c r="AL236" s="222"/>
      <c r="AM236" s="222"/>
      <c r="AN236" s="222"/>
      <c r="AO236" s="21"/>
      <c r="AP236" s="21"/>
      <c r="AQ236" s="21"/>
      <c r="AR236" s="21"/>
      <c r="AS236" s="21"/>
      <c r="AW236" s="169"/>
      <c r="AX236" s="163"/>
      <c r="AY236" s="163"/>
      <c r="AZ236" s="164"/>
      <c r="BA236" s="163"/>
    </row>
    <row r="237" spans="2:53" s="158" customFormat="1" ht="48.75" customHeight="1" x14ac:dyDescent="0.25">
      <c r="B237" s="446"/>
      <c r="C237" s="188">
        <v>72</v>
      </c>
      <c r="D237" s="797" t="s">
        <v>770</v>
      </c>
      <c r="E237" s="446"/>
      <c r="F237" s="446"/>
      <c r="G237" s="446" t="s">
        <v>771</v>
      </c>
      <c r="H237" s="446"/>
      <c r="I237" s="446"/>
      <c r="J237" s="740"/>
      <c r="K237" s="446"/>
      <c r="L237" s="446"/>
      <c r="M237" s="446"/>
      <c r="N237" s="446"/>
      <c r="O237" s="446"/>
      <c r="P237" s="446"/>
      <c r="Q237" s="446"/>
      <c r="R237" s="446"/>
      <c r="S237" s="165"/>
      <c r="T237" s="446"/>
      <c r="U237" s="219">
        <v>60</v>
      </c>
      <c r="V237" s="446" t="s">
        <v>769</v>
      </c>
      <c r="W237" s="446"/>
      <c r="X237" s="446"/>
      <c r="Y237" s="222">
        <v>50</v>
      </c>
      <c r="Z237" s="222">
        <v>52</v>
      </c>
      <c r="AA237" s="222">
        <v>68</v>
      </c>
      <c r="AB237" s="222">
        <v>70</v>
      </c>
      <c r="AC237" s="222">
        <v>74</v>
      </c>
      <c r="AD237" s="221"/>
      <c r="AE237" s="221"/>
      <c r="AF237" s="221"/>
      <c r="AG237" s="239"/>
      <c r="AH237" s="219">
        <v>60</v>
      </c>
      <c r="AI237" s="446" t="s">
        <v>797</v>
      </c>
      <c r="AJ237" s="446"/>
      <c r="AK237" s="446"/>
      <c r="AL237" s="222"/>
      <c r="AM237" s="222"/>
      <c r="AN237" s="222"/>
      <c r="AO237" s="21"/>
      <c r="AP237" s="21"/>
      <c r="AQ237" s="21"/>
      <c r="AR237" s="21"/>
      <c r="AS237" s="21"/>
      <c r="AW237" s="169"/>
      <c r="AX237" s="163"/>
      <c r="AY237" s="163"/>
      <c r="AZ237" s="164"/>
      <c r="BA237" s="163"/>
    </row>
    <row r="238" spans="2:53" s="158" customFormat="1" ht="48.75" customHeight="1" thickBot="1" x14ac:dyDescent="0.3">
      <c r="B238" s="446">
        <v>6</v>
      </c>
      <c r="C238" s="188">
        <v>36</v>
      </c>
      <c r="D238" s="446" t="s">
        <v>754</v>
      </c>
      <c r="E238" s="446"/>
      <c r="F238" s="446"/>
      <c r="G238" s="446" t="s">
        <v>825</v>
      </c>
      <c r="H238" s="446"/>
      <c r="I238" s="446"/>
      <c r="J238" s="740"/>
      <c r="K238" s="446"/>
      <c r="L238" s="446">
        <v>144</v>
      </c>
      <c r="M238" s="446" t="s">
        <v>801</v>
      </c>
      <c r="N238" s="446"/>
      <c r="O238" s="446"/>
      <c r="P238" s="446" t="s">
        <v>773</v>
      </c>
      <c r="Q238" s="446"/>
      <c r="R238" s="446"/>
      <c r="S238" s="165"/>
      <c r="T238" s="833"/>
      <c r="U238" s="245">
        <v>72</v>
      </c>
      <c r="V238" s="833" t="s">
        <v>770</v>
      </c>
      <c r="W238" s="833"/>
      <c r="X238" s="833"/>
      <c r="Y238" s="235">
        <v>62</v>
      </c>
      <c r="Z238" s="235">
        <v>64</v>
      </c>
      <c r="AA238" s="235">
        <v>80</v>
      </c>
      <c r="AB238" s="235">
        <v>82</v>
      </c>
      <c r="AC238" s="235">
        <v>86</v>
      </c>
      <c r="AD238" s="247"/>
      <c r="AE238" s="247"/>
      <c r="AF238" s="247"/>
      <c r="AG238" s="239"/>
      <c r="AH238" s="245">
        <v>72</v>
      </c>
      <c r="AI238" s="833" t="s">
        <v>771</v>
      </c>
      <c r="AJ238" s="833"/>
      <c r="AK238" s="833"/>
      <c r="AL238" s="112"/>
      <c r="AM238" s="112"/>
      <c r="AN238" s="112"/>
      <c r="AO238" s="112"/>
      <c r="AP238" s="112"/>
      <c r="AQ238" s="112"/>
      <c r="AR238" s="112"/>
      <c r="AS238" s="112"/>
      <c r="AW238" s="169"/>
      <c r="AX238" s="163"/>
      <c r="AY238" s="163"/>
      <c r="AZ238" s="164"/>
      <c r="BA238" s="163"/>
    </row>
    <row r="239" spans="2:53" s="158" customFormat="1" ht="48.75" customHeight="1" x14ac:dyDescent="0.25">
      <c r="B239" s="446"/>
      <c r="C239" s="188">
        <v>54</v>
      </c>
      <c r="D239" s="446" t="s">
        <v>755</v>
      </c>
      <c r="E239" s="446"/>
      <c r="F239" s="446"/>
      <c r="G239" s="446" t="s">
        <v>756</v>
      </c>
      <c r="H239" s="446"/>
      <c r="I239" s="446"/>
      <c r="J239" s="740"/>
      <c r="K239" s="446"/>
      <c r="L239" s="446"/>
      <c r="M239" s="446"/>
      <c r="N239" s="446"/>
      <c r="O239" s="446"/>
      <c r="P239" s="446"/>
      <c r="Q239" s="446"/>
      <c r="R239" s="446"/>
      <c r="S239" s="165"/>
      <c r="T239" s="834">
        <v>6</v>
      </c>
      <c r="U239" s="250">
        <v>36</v>
      </c>
      <c r="V239" s="834" t="s">
        <v>754</v>
      </c>
      <c r="W239" s="834"/>
      <c r="X239" s="834"/>
      <c r="Y239" s="234">
        <v>26</v>
      </c>
      <c r="Z239" s="234">
        <v>46</v>
      </c>
      <c r="AA239" s="234">
        <v>48</v>
      </c>
      <c r="AB239" s="249"/>
      <c r="AC239" s="249"/>
      <c r="AD239" s="249"/>
      <c r="AE239" s="249"/>
      <c r="AF239" s="221"/>
      <c r="AG239" s="239"/>
      <c r="AH239" s="250">
        <v>36</v>
      </c>
      <c r="AI239" s="802" t="s">
        <v>825</v>
      </c>
      <c r="AJ239" s="802"/>
      <c r="AK239" s="802"/>
      <c r="AL239" s="233"/>
      <c r="AM239" s="233"/>
      <c r="AN239" s="233"/>
      <c r="AO239" s="106"/>
      <c r="AP239" s="106"/>
      <c r="AQ239" s="106"/>
      <c r="AR239" s="106"/>
      <c r="AS239" s="106"/>
      <c r="AW239" s="169"/>
      <c r="AX239" s="163"/>
      <c r="AY239" s="163"/>
      <c r="AZ239" s="164"/>
      <c r="BA239" s="163"/>
    </row>
    <row r="240" spans="2:53" s="158" customFormat="1" ht="48.75" customHeight="1" x14ac:dyDescent="0.25">
      <c r="B240" s="446"/>
      <c r="C240" s="188">
        <v>72</v>
      </c>
      <c r="D240" s="446" t="s">
        <v>774</v>
      </c>
      <c r="E240" s="446"/>
      <c r="F240" s="446"/>
      <c r="G240" s="446" t="s">
        <v>775</v>
      </c>
      <c r="H240" s="446"/>
      <c r="I240" s="446"/>
      <c r="J240" s="740"/>
      <c r="K240" s="199"/>
      <c r="L240" s="200"/>
      <c r="M240" s="200"/>
      <c r="N240" s="200"/>
      <c r="O240" s="200"/>
      <c r="P240" s="200"/>
      <c r="Q240" s="200"/>
      <c r="R240" s="201"/>
      <c r="S240" s="165"/>
      <c r="T240" s="446"/>
      <c r="U240" s="218">
        <v>54</v>
      </c>
      <c r="V240" s="446" t="s">
        <v>755</v>
      </c>
      <c r="W240" s="446"/>
      <c r="X240" s="446"/>
      <c r="Y240" s="222">
        <v>44</v>
      </c>
      <c r="Z240" s="222">
        <v>64</v>
      </c>
      <c r="AA240" s="222">
        <v>66</v>
      </c>
      <c r="AB240" s="222">
        <v>68</v>
      </c>
      <c r="AC240" s="221"/>
      <c r="AD240" s="221"/>
      <c r="AE240" s="221"/>
      <c r="AF240" s="221"/>
      <c r="AG240" s="239"/>
      <c r="AH240" s="218">
        <v>54</v>
      </c>
      <c r="AI240" s="446" t="s">
        <v>756</v>
      </c>
      <c r="AJ240" s="446"/>
      <c r="AK240" s="446"/>
      <c r="AL240" s="222"/>
      <c r="AM240" s="222"/>
      <c r="AN240" s="222"/>
      <c r="AO240" s="21"/>
      <c r="AP240" s="21"/>
      <c r="AQ240" s="21"/>
      <c r="AR240" s="21"/>
      <c r="AS240" s="21"/>
      <c r="AW240" s="169"/>
      <c r="AX240" s="163"/>
      <c r="AY240" s="163"/>
      <c r="AZ240" s="164"/>
      <c r="BA240" s="163"/>
    </row>
    <row r="241" spans="2:53" s="158" customFormat="1" ht="48.75" customHeight="1" x14ac:dyDescent="0.25">
      <c r="B241" s="446"/>
      <c r="C241" s="188">
        <v>90</v>
      </c>
      <c r="D241" s="446" t="s">
        <v>776</v>
      </c>
      <c r="E241" s="446"/>
      <c r="F241" s="446"/>
      <c r="G241" s="446" t="s">
        <v>777</v>
      </c>
      <c r="H241" s="446"/>
      <c r="I241" s="446"/>
      <c r="J241" s="739"/>
      <c r="K241" s="202"/>
      <c r="L241" s="203"/>
      <c r="M241" s="203"/>
      <c r="N241" s="203"/>
      <c r="O241" s="203"/>
      <c r="P241" s="203"/>
      <c r="Q241" s="203"/>
      <c r="R241" s="204"/>
      <c r="S241" s="165"/>
      <c r="T241" s="446"/>
      <c r="U241" s="218">
        <v>72</v>
      </c>
      <c r="V241" s="446" t="s">
        <v>774</v>
      </c>
      <c r="W241" s="446"/>
      <c r="X241" s="446"/>
      <c r="Y241" s="222">
        <v>56</v>
      </c>
      <c r="Z241" s="222">
        <v>62</v>
      </c>
      <c r="AA241" s="222">
        <v>82</v>
      </c>
      <c r="AB241" s="222">
        <v>84</v>
      </c>
      <c r="AC241" s="222">
        <v>86</v>
      </c>
      <c r="AD241" s="222">
        <v>88</v>
      </c>
      <c r="AE241" s="221"/>
      <c r="AF241" s="221"/>
      <c r="AG241" s="239"/>
      <c r="AH241" s="218">
        <v>72</v>
      </c>
      <c r="AI241" s="446" t="s">
        <v>775</v>
      </c>
      <c r="AJ241" s="446"/>
      <c r="AK241" s="446"/>
      <c r="AL241" s="222"/>
      <c r="AM241" s="222"/>
      <c r="AN241" s="222"/>
      <c r="AO241" s="21"/>
      <c r="AP241" s="21"/>
      <c r="AQ241" s="21"/>
      <c r="AR241" s="21"/>
      <c r="AS241" s="21"/>
      <c r="AW241" s="169"/>
      <c r="AX241" s="163"/>
      <c r="AY241" s="163"/>
      <c r="AZ241" s="164"/>
      <c r="BA241" s="163"/>
    </row>
    <row r="242" spans="2:53" s="158" customFormat="1" ht="48.75" customHeight="1" thickBot="1" x14ac:dyDescent="0.3">
      <c r="S242" s="165"/>
      <c r="T242" s="833"/>
      <c r="U242" s="251">
        <v>90</v>
      </c>
      <c r="V242" s="833" t="s">
        <v>776</v>
      </c>
      <c r="W242" s="833"/>
      <c r="X242" s="833"/>
      <c r="Y242" s="235">
        <v>74</v>
      </c>
      <c r="Z242" s="235">
        <v>76</v>
      </c>
      <c r="AA242" s="235">
        <v>78</v>
      </c>
      <c r="AB242" s="235">
        <v>80</v>
      </c>
      <c r="AC242" s="235">
        <v>100</v>
      </c>
      <c r="AD242" s="235">
        <v>102</v>
      </c>
      <c r="AE242" s="235">
        <v>104</v>
      </c>
      <c r="AF242" s="247"/>
      <c r="AG242" s="239"/>
      <c r="AH242" s="251">
        <v>90</v>
      </c>
      <c r="AI242" s="833" t="s">
        <v>777</v>
      </c>
      <c r="AJ242" s="833"/>
      <c r="AK242" s="833"/>
      <c r="AL242" s="112"/>
      <c r="AM242" s="112"/>
      <c r="AN242" s="112"/>
      <c r="AO242" s="112"/>
      <c r="AP242" s="112"/>
      <c r="AQ242" s="112"/>
      <c r="AR242" s="112"/>
      <c r="AS242" s="112"/>
      <c r="AW242" s="169"/>
      <c r="AX242" s="163"/>
      <c r="AY242" s="163"/>
      <c r="AZ242" s="164"/>
      <c r="BA242" s="163"/>
    </row>
    <row r="243" spans="2:53" s="158" customFormat="1" ht="48.75" customHeight="1" x14ac:dyDescent="0.25">
      <c r="S243" s="165"/>
      <c r="T243" s="802">
        <v>8</v>
      </c>
      <c r="U243" s="223">
        <v>48</v>
      </c>
      <c r="V243" s="802" t="s">
        <v>757</v>
      </c>
      <c r="W243" s="802"/>
      <c r="X243" s="802"/>
      <c r="Y243" s="233">
        <v>34</v>
      </c>
      <c r="Z243" s="233">
        <v>36</v>
      </c>
      <c r="AA243" s="233">
        <v>44</v>
      </c>
      <c r="AB243" s="233">
        <v>62</v>
      </c>
      <c r="AC243" s="233">
        <v>64</v>
      </c>
      <c r="AD243" s="221"/>
      <c r="AE243" s="221"/>
      <c r="AF243" s="221"/>
      <c r="AG243" s="239"/>
      <c r="AH243" s="223">
        <v>48</v>
      </c>
      <c r="AI243" s="802" t="s">
        <v>758</v>
      </c>
      <c r="AJ243" s="802"/>
      <c r="AK243" s="802"/>
      <c r="AL243" s="233"/>
      <c r="AM243" s="233"/>
      <c r="AN243" s="233"/>
      <c r="AO243" s="106"/>
      <c r="AP243" s="106"/>
      <c r="AQ243" s="106"/>
      <c r="AR243" s="106"/>
      <c r="AS243" s="106"/>
      <c r="AW243" s="169"/>
      <c r="AX243" s="163"/>
      <c r="AY243" s="163"/>
      <c r="AZ243" s="164"/>
      <c r="BA243" s="163"/>
    </row>
    <row r="244" spans="2:53" s="158" customFormat="1" ht="48.75" customHeight="1" x14ac:dyDescent="0.25">
      <c r="S244" s="165"/>
      <c r="T244" s="446"/>
      <c r="U244" s="218">
        <v>72</v>
      </c>
      <c r="V244" s="446" t="s">
        <v>759</v>
      </c>
      <c r="W244" s="446"/>
      <c r="X244" s="446"/>
      <c r="Y244" s="222">
        <v>56</v>
      </c>
      <c r="Z244" s="222">
        <v>58</v>
      </c>
      <c r="AA244" s="222">
        <v>86</v>
      </c>
      <c r="AB244" s="222">
        <v>88</v>
      </c>
      <c r="AC244" s="222">
        <v>90</v>
      </c>
      <c r="AD244" s="221"/>
      <c r="AE244" s="221"/>
      <c r="AF244" s="221"/>
      <c r="AG244" s="239"/>
      <c r="AH244" s="218">
        <v>72</v>
      </c>
      <c r="AI244" s="446" t="s">
        <v>760</v>
      </c>
      <c r="AJ244" s="446"/>
      <c r="AK244" s="446"/>
      <c r="AL244" s="222"/>
      <c r="AM244" s="222"/>
      <c r="AN244" s="222"/>
      <c r="AO244" s="21"/>
      <c r="AP244" s="21"/>
      <c r="AQ244" s="21"/>
      <c r="AR244" s="21"/>
      <c r="AS244" s="21"/>
      <c r="AW244" s="169"/>
      <c r="AX244" s="163"/>
      <c r="AY244" s="163"/>
      <c r="AZ244" s="164"/>
      <c r="BA244" s="163"/>
    </row>
    <row r="245" spans="2:53" s="158" customFormat="1" ht="48.75" customHeight="1" x14ac:dyDescent="0.25">
      <c r="T245" s="446"/>
      <c r="U245" s="218">
        <v>84</v>
      </c>
      <c r="V245" s="446" t="s">
        <v>778</v>
      </c>
      <c r="W245" s="446"/>
      <c r="X245" s="446"/>
      <c r="Y245" s="222">
        <v>66</v>
      </c>
      <c r="Z245" s="222">
        <v>68</v>
      </c>
      <c r="AA245" s="222">
        <v>70</v>
      </c>
      <c r="AB245" s="222">
        <v>98</v>
      </c>
      <c r="AC245" s="222">
        <v>100</v>
      </c>
      <c r="AD245" s="222">
        <v>102</v>
      </c>
      <c r="AE245" s="222">
        <v>104</v>
      </c>
      <c r="AF245" s="221"/>
      <c r="AG245" s="239"/>
      <c r="AH245" s="218">
        <v>84</v>
      </c>
      <c r="AI245" s="446" t="s">
        <v>779</v>
      </c>
      <c r="AJ245" s="446"/>
      <c r="AK245" s="446"/>
      <c r="AL245" s="222"/>
      <c r="AM245" s="222"/>
      <c r="AN245" s="222"/>
      <c r="AO245" s="21"/>
      <c r="AP245" s="21"/>
      <c r="AQ245" s="21"/>
      <c r="AR245" s="21"/>
      <c r="AS245" s="21"/>
      <c r="AW245" s="169"/>
      <c r="AX245" s="163"/>
      <c r="AY245" s="163"/>
      <c r="AZ245" s="164"/>
      <c r="BA245" s="163"/>
    </row>
    <row r="246" spans="2:53" s="158" customFormat="1" ht="48.75" customHeight="1" x14ac:dyDescent="0.25">
      <c r="T246" s="446"/>
      <c r="U246" s="218">
        <v>96</v>
      </c>
      <c r="V246" s="446" t="s">
        <v>761</v>
      </c>
      <c r="W246" s="446"/>
      <c r="X246" s="446"/>
      <c r="Y246" s="222">
        <v>78</v>
      </c>
      <c r="Z246" s="222">
        <v>82</v>
      </c>
      <c r="AA246" s="222">
        <v>110</v>
      </c>
      <c r="AB246" s="222">
        <v>112</v>
      </c>
      <c r="AC246" s="222">
        <v>114</v>
      </c>
      <c r="AD246" s="221"/>
      <c r="AE246" s="221"/>
      <c r="AF246" s="221"/>
      <c r="AG246" s="239"/>
      <c r="AH246" s="218">
        <v>96</v>
      </c>
      <c r="AI246" s="446" t="s">
        <v>780</v>
      </c>
      <c r="AJ246" s="446"/>
      <c r="AK246" s="446"/>
      <c r="AL246" s="222"/>
      <c r="AM246" s="222"/>
      <c r="AN246" s="222"/>
      <c r="AO246" s="21"/>
      <c r="AP246" s="21"/>
      <c r="AQ246" s="21"/>
      <c r="AR246" s="21"/>
      <c r="AS246" s="21"/>
      <c r="AW246" s="169"/>
      <c r="AX246" s="163"/>
      <c r="AY246" s="163"/>
      <c r="AZ246" s="164"/>
      <c r="BA246" s="163"/>
    </row>
    <row r="247" spans="2:53" s="158" customFormat="1" ht="48.75" customHeight="1" x14ac:dyDescent="0.25">
      <c r="T247" s="711">
        <v>10</v>
      </c>
      <c r="U247" s="218">
        <v>60</v>
      </c>
      <c r="V247" s="446" t="s">
        <v>762</v>
      </c>
      <c r="W247" s="446"/>
      <c r="X247" s="446"/>
      <c r="Y247" s="222">
        <v>44</v>
      </c>
      <c r="Z247" s="222">
        <v>46</v>
      </c>
      <c r="AA247" s="222">
        <v>74</v>
      </c>
      <c r="AB247" s="222">
        <v>76</v>
      </c>
      <c r="AC247" s="221"/>
      <c r="AD247" s="221"/>
      <c r="AE247" s="221"/>
      <c r="AF247" s="221"/>
      <c r="AG247" s="239"/>
      <c r="AH247" s="218">
        <v>60</v>
      </c>
      <c r="AI247" s="446" t="s">
        <v>763</v>
      </c>
      <c r="AJ247" s="446"/>
      <c r="AK247" s="446"/>
      <c r="AL247" s="222"/>
      <c r="AM247" s="222"/>
      <c r="AN247" s="222"/>
      <c r="AO247" s="21"/>
      <c r="AP247" s="21"/>
      <c r="AQ247" s="21"/>
      <c r="AR247" s="21"/>
      <c r="AS247" s="21"/>
      <c r="AW247" s="169"/>
      <c r="AX247" s="163"/>
      <c r="AY247" s="163"/>
      <c r="AZ247" s="164"/>
      <c r="BA247" s="163"/>
    </row>
    <row r="248" spans="2:53" s="158" customFormat="1" ht="48.75" customHeight="1" x14ac:dyDescent="0.25">
      <c r="T248" s="712"/>
      <c r="U248" s="446">
        <v>90</v>
      </c>
      <c r="V248" s="446" t="s">
        <v>781</v>
      </c>
      <c r="W248" s="446"/>
      <c r="X248" s="446"/>
      <c r="Y248" s="222">
        <v>68</v>
      </c>
      <c r="Z248" s="222">
        <v>72</v>
      </c>
      <c r="AA248" s="222">
        <v>74</v>
      </c>
      <c r="AB248" s="222">
        <v>76</v>
      </c>
      <c r="AC248" s="222">
        <v>104</v>
      </c>
      <c r="AD248" s="222">
        <v>106</v>
      </c>
      <c r="AE248" s="222">
        <v>108</v>
      </c>
      <c r="AF248" s="222">
        <v>110</v>
      </c>
      <c r="AG248" s="239"/>
      <c r="AH248" s="446">
        <v>90</v>
      </c>
      <c r="AI248" s="707" t="s">
        <v>782</v>
      </c>
      <c r="AJ248" s="708"/>
      <c r="AK248" s="719"/>
      <c r="AL248" s="222"/>
      <c r="AM248" s="222"/>
      <c r="AN248" s="222"/>
      <c r="AO248" s="21"/>
      <c r="AP248" s="21"/>
      <c r="AQ248" s="21"/>
      <c r="AR248" s="21"/>
      <c r="AS248" s="21"/>
      <c r="AW248" s="169"/>
      <c r="AX248" s="163"/>
      <c r="AY248" s="163"/>
      <c r="AZ248" s="164"/>
      <c r="BA248" s="163"/>
    </row>
    <row r="249" spans="2:53" s="158" customFormat="1" ht="48.75" customHeight="1" x14ac:dyDescent="0.25">
      <c r="T249" s="712"/>
      <c r="U249" s="446"/>
      <c r="V249" s="446"/>
      <c r="W249" s="446"/>
      <c r="X249" s="446"/>
      <c r="Y249" s="222">
        <v>112</v>
      </c>
      <c r="Z249" s="222">
        <v>114</v>
      </c>
      <c r="AA249" s="221"/>
      <c r="AB249" s="221"/>
      <c r="AC249" s="221"/>
      <c r="AD249" s="221"/>
      <c r="AE249" s="221"/>
      <c r="AF249" s="221"/>
      <c r="AG249" s="239"/>
      <c r="AH249" s="446"/>
      <c r="AI249" s="709"/>
      <c r="AJ249" s="710"/>
      <c r="AK249" s="724"/>
      <c r="AL249" s="222"/>
      <c r="AM249" s="222"/>
      <c r="AN249" s="222"/>
      <c r="AO249" s="21"/>
      <c r="AP249" s="21"/>
      <c r="AQ249" s="21"/>
      <c r="AR249" s="21"/>
      <c r="AS249" s="21"/>
      <c r="AW249" s="169"/>
      <c r="AX249" s="163"/>
      <c r="AY249" s="163"/>
      <c r="AZ249" s="164"/>
      <c r="BA249" s="163"/>
    </row>
    <row r="250" spans="2:53" s="158" customFormat="1" ht="48.75" customHeight="1" x14ac:dyDescent="0.25">
      <c r="T250" s="712"/>
      <c r="U250" s="711">
        <v>120</v>
      </c>
      <c r="V250" s="707" t="s">
        <v>783</v>
      </c>
      <c r="W250" s="708"/>
      <c r="X250" s="719"/>
      <c r="Y250" s="222">
        <v>86</v>
      </c>
      <c r="Z250" s="222">
        <v>88</v>
      </c>
      <c r="AA250" s="222">
        <v>92</v>
      </c>
      <c r="AB250" s="222">
        <v>94</v>
      </c>
      <c r="AC250" s="222">
        <v>96</v>
      </c>
      <c r="AD250" s="222">
        <v>98</v>
      </c>
      <c r="AE250" s="222">
        <v>102</v>
      </c>
      <c r="AF250" s="222">
        <v>104</v>
      </c>
      <c r="AG250" s="239"/>
      <c r="AH250" s="711">
        <v>120</v>
      </c>
      <c r="AI250" s="707" t="s">
        <v>784</v>
      </c>
      <c r="AJ250" s="708"/>
      <c r="AK250" s="719"/>
      <c r="AL250" s="222"/>
      <c r="AM250" s="222"/>
      <c r="AN250" s="222"/>
      <c r="AO250" s="21"/>
      <c r="AP250" s="21"/>
      <c r="AQ250" s="21"/>
      <c r="AR250" s="21"/>
      <c r="AS250" s="21"/>
      <c r="AW250" s="169"/>
      <c r="AX250" s="163"/>
      <c r="AY250" s="163"/>
      <c r="AZ250" s="164"/>
      <c r="BA250" s="163"/>
    </row>
    <row r="251" spans="2:53" s="158" customFormat="1" ht="48.75" customHeight="1" thickBot="1" x14ac:dyDescent="0.3">
      <c r="T251" s="712"/>
      <c r="U251" s="712"/>
      <c r="V251" s="720"/>
      <c r="W251" s="721"/>
      <c r="X251" s="722"/>
      <c r="Y251" s="222">
        <v>106</v>
      </c>
      <c r="Z251" s="222">
        <v>134</v>
      </c>
      <c r="AA251" s="222">
        <v>136</v>
      </c>
      <c r="AB251" s="235">
        <v>138</v>
      </c>
      <c r="AC251" s="235">
        <v>140</v>
      </c>
      <c r="AD251" s="235">
        <v>142</v>
      </c>
      <c r="AE251" s="235">
        <v>144</v>
      </c>
      <c r="AF251" s="235">
        <v>146</v>
      </c>
      <c r="AG251" s="239"/>
      <c r="AH251" s="712"/>
      <c r="AI251" s="835"/>
      <c r="AJ251" s="836"/>
      <c r="AK251" s="837"/>
      <c r="AL251" s="112"/>
      <c r="AM251" s="112"/>
      <c r="AN251" s="112"/>
      <c r="AO251" s="112"/>
      <c r="AP251" s="112"/>
      <c r="AQ251" s="112"/>
      <c r="AR251" s="112"/>
      <c r="AS251" s="112"/>
      <c r="AW251" s="169"/>
      <c r="AX251" s="163"/>
      <c r="AY251" s="163"/>
      <c r="AZ251" s="164"/>
      <c r="BA251" s="163"/>
    </row>
    <row r="252" spans="2:53" s="158" customFormat="1" ht="48.75" customHeight="1" x14ac:dyDescent="0.25">
      <c r="T252" s="834">
        <v>12</v>
      </c>
      <c r="U252" s="250">
        <v>72</v>
      </c>
      <c r="V252" s="834" t="s">
        <v>764</v>
      </c>
      <c r="W252" s="834"/>
      <c r="X252" s="834"/>
      <c r="Y252" s="234">
        <v>56</v>
      </c>
      <c r="Z252" s="234">
        <v>64</v>
      </c>
      <c r="AA252" s="234">
        <v>80</v>
      </c>
      <c r="AB252" s="233">
        <v>88</v>
      </c>
      <c r="AC252" s="244"/>
      <c r="AD252" s="244"/>
      <c r="AE252" s="244"/>
      <c r="AF252" s="244"/>
      <c r="AG252" s="239"/>
      <c r="AH252" s="250">
        <v>72</v>
      </c>
      <c r="AI252" s="802" t="s">
        <v>765</v>
      </c>
      <c r="AJ252" s="802"/>
      <c r="AK252" s="802"/>
      <c r="AL252" s="233"/>
      <c r="AM252" s="233"/>
      <c r="AN252" s="233"/>
      <c r="AO252" s="106"/>
      <c r="AP252" s="106"/>
      <c r="AQ252" s="106"/>
      <c r="AR252" s="106"/>
      <c r="AS252" s="106"/>
      <c r="AW252" s="169"/>
      <c r="AX252" s="163"/>
      <c r="AY252" s="163"/>
      <c r="AZ252" s="164"/>
      <c r="BA252" s="163"/>
    </row>
    <row r="253" spans="2:53" s="158" customFormat="1" ht="48.75" customHeight="1" x14ac:dyDescent="0.25">
      <c r="T253" s="446"/>
      <c r="U253" s="218">
        <v>90</v>
      </c>
      <c r="V253" s="446" t="s">
        <v>785</v>
      </c>
      <c r="W253" s="446"/>
      <c r="X253" s="446"/>
      <c r="Y253" s="222">
        <v>68</v>
      </c>
      <c r="Z253" s="222">
        <v>70</v>
      </c>
      <c r="AA253" s="222">
        <v>74</v>
      </c>
      <c r="AB253" s="222">
        <v>88</v>
      </c>
      <c r="AC253" s="222">
        <v>98</v>
      </c>
      <c r="AD253" s="222">
        <v>108</v>
      </c>
      <c r="AE253" s="222">
        <v>110</v>
      </c>
      <c r="AF253" s="221"/>
      <c r="AG253" s="239"/>
      <c r="AH253" s="218">
        <v>90</v>
      </c>
      <c r="AI253" s="446" t="s">
        <v>786</v>
      </c>
      <c r="AJ253" s="446"/>
      <c r="AK253" s="446"/>
      <c r="AL253" s="21"/>
      <c r="AM253" s="21"/>
      <c r="AN253" s="21"/>
      <c r="AO253" s="21"/>
      <c r="AP253" s="21"/>
      <c r="AQ253" s="21"/>
      <c r="AR253" s="21"/>
      <c r="AS253" s="21"/>
      <c r="AW253" s="169"/>
      <c r="AX253" s="163"/>
      <c r="AY253" s="163"/>
      <c r="AZ253" s="164"/>
      <c r="BA253" s="163"/>
    </row>
    <row r="254" spans="2:53" s="158" customFormat="1" ht="48.75" customHeight="1" x14ac:dyDescent="0.25">
      <c r="T254" s="446"/>
      <c r="U254" s="446">
        <v>108</v>
      </c>
      <c r="V254" s="446" t="s">
        <v>787</v>
      </c>
      <c r="W254" s="446"/>
      <c r="X254" s="446"/>
      <c r="Y254" s="222">
        <v>86</v>
      </c>
      <c r="Z254" s="222">
        <v>88</v>
      </c>
      <c r="AA254" s="222">
        <v>92</v>
      </c>
      <c r="AB254" s="222">
        <v>100</v>
      </c>
      <c r="AC254" s="222">
        <v>116</v>
      </c>
      <c r="AD254" s="222">
        <v>124</v>
      </c>
      <c r="AE254" s="222">
        <v>128</v>
      </c>
      <c r="AF254" s="222">
        <v>130</v>
      </c>
      <c r="AG254" s="239"/>
      <c r="AH254" s="446">
        <v>108</v>
      </c>
      <c r="AI254" s="707" t="s">
        <v>788</v>
      </c>
      <c r="AJ254" s="708"/>
      <c r="AK254" s="719"/>
      <c r="AL254" s="222"/>
      <c r="AM254" s="222"/>
      <c r="AN254" s="222"/>
      <c r="AO254" s="21"/>
      <c r="AP254" s="21"/>
      <c r="AQ254" s="21"/>
      <c r="AR254" s="21"/>
      <c r="AS254" s="21"/>
      <c r="AW254" s="169"/>
      <c r="AX254" s="163"/>
      <c r="AY254" s="163"/>
      <c r="AZ254" s="164"/>
      <c r="BA254" s="163"/>
    </row>
    <row r="255" spans="2:53" s="158" customFormat="1" ht="48.75" customHeight="1" x14ac:dyDescent="0.25">
      <c r="T255" s="446"/>
      <c r="U255" s="446"/>
      <c r="V255" s="446"/>
      <c r="W255" s="446"/>
      <c r="X255" s="446"/>
      <c r="Y255" s="222">
        <v>123</v>
      </c>
      <c r="Z255" s="221"/>
      <c r="AA255" s="221"/>
      <c r="AB255" s="221"/>
      <c r="AC255" s="221"/>
      <c r="AD255" s="221"/>
      <c r="AE255" s="221"/>
      <c r="AF255" s="221"/>
      <c r="AG255" s="239"/>
      <c r="AH255" s="446"/>
      <c r="AI255" s="709"/>
      <c r="AJ255" s="710"/>
      <c r="AK255" s="724"/>
      <c r="AL255" s="222"/>
      <c r="AM255" s="222"/>
      <c r="AN255" s="222"/>
      <c r="AO255" s="21"/>
      <c r="AP255" s="21"/>
      <c r="AQ255" s="21"/>
      <c r="AR255" s="21"/>
      <c r="AS255" s="21"/>
      <c r="AW255" s="169"/>
      <c r="AX255" s="163"/>
      <c r="AY255" s="163"/>
      <c r="AZ255" s="164"/>
      <c r="BA255" s="163"/>
    </row>
    <row r="256" spans="2:53" s="158" customFormat="1" ht="48.75" customHeight="1" x14ac:dyDescent="0.25">
      <c r="T256" s="446"/>
      <c r="U256" s="446">
        <v>144</v>
      </c>
      <c r="V256" s="446" t="s">
        <v>789</v>
      </c>
      <c r="W256" s="446"/>
      <c r="X256" s="446"/>
      <c r="Y256" s="222">
        <v>124</v>
      </c>
      <c r="Z256" s="222">
        <v>136</v>
      </c>
      <c r="AA256" s="222">
        <v>152</v>
      </c>
      <c r="AB256" s="222">
        <v>160</v>
      </c>
      <c r="AC256" s="222">
        <v>164</v>
      </c>
      <c r="AD256" s="222">
        <v>166</v>
      </c>
      <c r="AE256" s="222">
        <v>168</v>
      </c>
      <c r="AF256" s="222">
        <v>170</v>
      </c>
      <c r="AG256" s="239"/>
      <c r="AH256" s="446">
        <v>144</v>
      </c>
      <c r="AI256" s="707" t="s">
        <v>790</v>
      </c>
      <c r="AJ256" s="708"/>
      <c r="AK256" s="719"/>
      <c r="AL256" s="222"/>
      <c r="AM256" s="222"/>
      <c r="AN256" s="222"/>
      <c r="AO256" s="21"/>
      <c r="AP256" s="21"/>
      <c r="AQ256" s="21"/>
      <c r="AR256" s="21"/>
      <c r="AS256" s="21"/>
      <c r="AW256" s="169"/>
      <c r="AX256" s="163"/>
      <c r="AY256" s="163"/>
      <c r="AZ256" s="164"/>
      <c r="BA256" s="163"/>
    </row>
    <row r="257" spans="3:61" s="158" customFormat="1" ht="48.75" customHeight="1" thickBot="1" x14ac:dyDescent="0.3">
      <c r="T257" s="833"/>
      <c r="U257" s="833"/>
      <c r="V257" s="833"/>
      <c r="W257" s="833"/>
      <c r="X257" s="833"/>
      <c r="Y257" s="235">
        <v>172</v>
      </c>
      <c r="Z257" s="247"/>
      <c r="AA257" s="247"/>
      <c r="AB257" s="247"/>
      <c r="AC257" s="247"/>
      <c r="AD257" s="247"/>
      <c r="AE257" s="247"/>
      <c r="AF257" s="247"/>
      <c r="AG257" s="239"/>
      <c r="AH257" s="833"/>
      <c r="AI257" s="835"/>
      <c r="AJ257" s="836"/>
      <c r="AK257" s="837"/>
      <c r="AL257" s="112"/>
      <c r="AM257" s="112"/>
      <c r="AN257" s="112"/>
      <c r="AO257" s="112"/>
      <c r="AP257" s="112"/>
      <c r="AQ257" s="112"/>
      <c r="AR257" s="112"/>
      <c r="AS257" s="112"/>
      <c r="AW257" s="169"/>
      <c r="AX257" s="163"/>
      <c r="AY257" s="163"/>
      <c r="AZ257" s="164"/>
      <c r="BA257" s="163"/>
    </row>
    <row r="258" spans="3:61" s="158" customFormat="1" ht="48.75" customHeight="1" x14ac:dyDescent="0.25">
      <c r="Q258" s="165"/>
      <c r="R258" s="165"/>
      <c r="S258" s="165"/>
      <c r="T258" s="446">
        <v>14</v>
      </c>
      <c r="U258" s="446">
        <v>84</v>
      </c>
      <c r="V258" s="446" t="s">
        <v>772</v>
      </c>
      <c r="W258" s="446"/>
      <c r="X258" s="446"/>
      <c r="Y258" s="222">
        <v>74</v>
      </c>
      <c r="Z258" s="222">
        <v>94</v>
      </c>
      <c r="AA258" s="222">
        <v>102</v>
      </c>
      <c r="AB258" s="222">
        <v>104</v>
      </c>
      <c r="AC258" s="222">
        <v>106</v>
      </c>
      <c r="AD258" s="221"/>
      <c r="AE258" s="221"/>
      <c r="AF258" s="221"/>
      <c r="AG258" s="239"/>
      <c r="AH258" s="446">
        <v>84</v>
      </c>
      <c r="AI258" s="802" t="s">
        <v>799</v>
      </c>
      <c r="AJ258" s="802"/>
      <c r="AK258" s="802"/>
      <c r="AL258" s="233"/>
      <c r="AM258" s="233"/>
      <c r="AN258" s="233"/>
      <c r="AO258" s="106"/>
      <c r="AP258" s="106"/>
      <c r="AQ258" s="106"/>
      <c r="AR258" s="106"/>
      <c r="AS258" s="106"/>
      <c r="AW258" s="169"/>
      <c r="AX258" s="163"/>
      <c r="AY258" s="163"/>
      <c r="AZ258" s="164"/>
      <c r="BA258" s="163"/>
    </row>
    <row r="259" spans="3:61" s="158" customFormat="1" ht="48.75" customHeight="1" x14ac:dyDescent="0.25">
      <c r="Q259" s="165"/>
      <c r="R259" s="165"/>
      <c r="S259" s="193"/>
      <c r="T259" s="446"/>
      <c r="U259" s="446"/>
      <c r="V259" s="446"/>
      <c r="W259" s="446"/>
      <c r="X259" s="446"/>
      <c r="Y259" s="221"/>
      <c r="Z259" s="221"/>
      <c r="AA259" s="221"/>
      <c r="AB259" s="221"/>
      <c r="AC259" s="221"/>
      <c r="AD259" s="221"/>
      <c r="AE259" s="221"/>
      <c r="AF259" s="221"/>
      <c r="AG259" s="239"/>
      <c r="AH259" s="446"/>
      <c r="AI259" s="446"/>
      <c r="AJ259" s="446"/>
      <c r="AK259" s="446"/>
      <c r="AL259" s="222"/>
      <c r="AM259" s="222"/>
      <c r="AN259" s="222"/>
      <c r="AO259" s="21"/>
      <c r="AP259" s="21"/>
      <c r="AQ259" s="21"/>
      <c r="AR259" s="21"/>
      <c r="AS259" s="21"/>
      <c r="AW259" s="169"/>
      <c r="AX259" s="163"/>
      <c r="AY259" s="163"/>
      <c r="AZ259" s="164"/>
      <c r="BA259" s="163"/>
    </row>
    <row r="260" spans="3:61" s="158" customFormat="1" ht="48.75" customHeight="1" x14ac:dyDescent="0.25">
      <c r="C260" s="800" t="s">
        <v>952</v>
      </c>
      <c r="D260" s="787"/>
      <c r="E260" s="787"/>
      <c r="F260" s="787"/>
      <c r="G260" s="787"/>
      <c r="H260" s="787"/>
      <c r="I260" s="788"/>
      <c r="J260" s="174"/>
      <c r="Q260" s="165"/>
      <c r="R260" s="165"/>
      <c r="S260" s="193"/>
      <c r="T260" s="446"/>
      <c r="U260" s="446">
        <v>126</v>
      </c>
      <c r="V260" s="446" t="s">
        <v>798</v>
      </c>
      <c r="W260" s="446"/>
      <c r="X260" s="446"/>
      <c r="Y260" s="222">
        <v>106</v>
      </c>
      <c r="Z260" s="222">
        <v>108</v>
      </c>
      <c r="AA260" s="222">
        <v>116</v>
      </c>
      <c r="AB260" s="222">
        <v>136</v>
      </c>
      <c r="AC260" s="222">
        <v>144</v>
      </c>
      <c r="AD260" s="222">
        <v>146</v>
      </c>
      <c r="AE260" s="222">
        <v>148</v>
      </c>
      <c r="AF260" s="222">
        <v>150</v>
      </c>
      <c r="AG260" s="239"/>
      <c r="AH260" s="446">
        <v>126</v>
      </c>
      <c r="AI260" s="446" t="s">
        <v>800</v>
      </c>
      <c r="AJ260" s="446"/>
      <c r="AK260" s="446"/>
      <c r="AL260" s="222"/>
      <c r="AM260" s="222"/>
      <c r="AN260" s="222"/>
      <c r="AO260" s="21"/>
      <c r="AP260" s="21"/>
      <c r="AQ260" s="21"/>
      <c r="AR260" s="21"/>
      <c r="AS260" s="21"/>
      <c r="AW260" s="169"/>
      <c r="AX260" s="163"/>
      <c r="AY260" s="163"/>
      <c r="AZ260" s="164"/>
      <c r="BA260" s="163"/>
    </row>
    <row r="261" spans="3:61" s="158" customFormat="1" ht="48.75" customHeight="1" x14ac:dyDescent="0.25">
      <c r="C261" s="162" t="s">
        <v>707</v>
      </c>
      <c r="D261" s="162" t="s">
        <v>804</v>
      </c>
      <c r="E261" s="162" t="s">
        <v>805</v>
      </c>
      <c r="F261" s="799" t="s">
        <v>715</v>
      </c>
      <c r="G261" s="799"/>
      <c r="H261" s="799" t="s">
        <v>806</v>
      </c>
      <c r="I261" s="799"/>
      <c r="J261" s="799"/>
      <c r="Q261" s="165"/>
      <c r="R261" s="165"/>
      <c r="S261" s="193"/>
      <c r="T261" s="446"/>
      <c r="U261" s="446"/>
      <c r="V261" s="446"/>
      <c r="W261" s="446"/>
      <c r="X261" s="446"/>
      <c r="Y261" s="222">
        <v>152</v>
      </c>
      <c r="Z261" s="222">
        <v>154</v>
      </c>
      <c r="AA261" s="222">
        <v>158</v>
      </c>
      <c r="AB261" s="221"/>
      <c r="AC261" s="221"/>
      <c r="AD261" s="221"/>
      <c r="AE261" s="221"/>
      <c r="AF261" s="221"/>
      <c r="AG261" s="239"/>
      <c r="AH261" s="446"/>
      <c r="AI261" s="446"/>
      <c r="AJ261" s="446"/>
      <c r="AK261" s="446"/>
      <c r="AL261" s="222"/>
      <c r="AM261" s="222"/>
      <c r="AN261" s="222"/>
      <c r="AO261" s="21"/>
      <c r="AP261" s="21"/>
      <c r="AQ261" s="21"/>
      <c r="AR261" s="21"/>
      <c r="AS261" s="21"/>
      <c r="AW261" s="169"/>
      <c r="AX261" s="163"/>
      <c r="AY261" s="163"/>
      <c r="AZ261" s="164"/>
      <c r="BA261" s="163"/>
    </row>
    <row r="262" spans="3:61" s="158" customFormat="1" ht="48.75" customHeight="1" x14ac:dyDescent="0.25">
      <c r="C262" s="162" t="s">
        <v>590</v>
      </c>
      <c r="D262" s="162" t="s">
        <v>807</v>
      </c>
      <c r="E262" s="162" t="s">
        <v>808</v>
      </c>
      <c r="F262" s="162">
        <v>2</v>
      </c>
      <c r="G262" s="162" t="s">
        <v>809</v>
      </c>
      <c r="H262" s="162">
        <v>4</v>
      </c>
      <c r="I262" s="162">
        <v>6</v>
      </c>
      <c r="J262" s="176" t="s">
        <v>591</v>
      </c>
      <c r="Q262" s="165"/>
      <c r="R262" s="165"/>
      <c r="S262" s="193"/>
      <c r="T262" s="446">
        <v>16</v>
      </c>
      <c r="U262" s="218">
        <v>96</v>
      </c>
      <c r="V262" s="711" t="s">
        <v>802</v>
      </c>
      <c r="W262" s="711"/>
      <c r="X262" s="711"/>
      <c r="Y262" s="240">
        <v>84</v>
      </c>
      <c r="Z262" s="240">
        <v>86</v>
      </c>
      <c r="AA262" s="240">
        <v>106</v>
      </c>
      <c r="AB262" s="240">
        <v>108</v>
      </c>
      <c r="AC262" s="240">
        <v>116</v>
      </c>
      <c r="AD262" s="240">
        <v>118</v>
      </c>
      <c r="AE262" s="252"/>
      <c r="AF262" s="252"/>
      <c r="AG262" s="239"/>
      <c r="AH262" s="218">
        <v>96</v>
      </c>
      <c r="AI262" s="446">
        <v>90.102000000000004</v>
      </c>
      <c r="AJ262" s="446"/>
      <c r="AK262" s="446"/>
      <c r="AL262" s="21"/>
      <c r="AM262" s="21"/>
      <c r="AN262" s="21"/>
      <c r="AO262" s="21"/>
      <c r="AP262" s="21"/>
      <c r="AQ262" s="21"/>
      <c r="AR262" s="21"/>
      <c r="AS262" s="21"/>
      <c r="AW262" s="169"/>
      <c r="AX262" s="163"/>
      <c r="AY262" s="163"/>
      <c r="AZ262" s="164"/>
      <c r="BA262" s="163"/>
    </row>
    <row r="263" spans="3:61" s="158" customFormat="1" ht="48.75" customHeight="1" x14ac:dyDescent="0.25">
      <c r="C263" s="162" t="s">
        <v>810</v>
      </c>
      <c r="D263" s="162">
        <v>0.19</v>
      </c>
      <c r="E263" s="162">
        <v>0.23</v>
      </c>
      <c r="F263" s="162">
        <v>0.22</v>
      </c>
      <c r="G263" s="162">
        <v>0.23</v>
      </c>
      <c r="H263" s="162">
        <v>0.2</v>
      </c>
      <c r="I263" s="162">
        <v>0.23</v>
      </c>
      <c r="J263" s="176">
        <v>0.25</v>
      </c>
      <c r="Q263" s="165"/>
      <c r="R263" s="165"/>
      <c r="S263" s="193"/>
      <c r="T263" s="446"/>
      <c r="U263" s="446">
        <v>144</v>
      </c>
      <c r="V263" s="446" t="s">
        <v>801</v>
      </c>
      <c r="W263" s="446"/>
      <c r="X263" s="446"/>
      <c r="Y263" s="222">
        <v>120</v>
      </c>
      <c r="Z263" s="222">
        <v>122</v>
      </c>
      <c r="AA263" s="222">
        <v>124</v>
      </c>
      <c r="AB263" s="222">
        <v>132</v>
      </c>
      <c r="AC263" s="222">
        <v>134</v>
      </c>
      <c r="AD263" s="222">
        <v>154</v>
      </c>
      <c r="AE263" s="222">
        <v>156</v>
      </c>
      <c r="AF263" s="224">
        <v>164</v>
      </c>
      <c r="AG263" s="239"/>
      <c r="AH263" s="446">
        <v>144</v>
      </c>
      <c r="AI263" s="446" t="s">
        <v>773</v>
      </c>
      <c r="AJ263" s="446"/>
      <c r="AK263" s="446"/>
      <c r="AL263" s="21"/>
      <c r="AM263" s="21"/>
      <c r="AN263" s="21"/>
      <c r="AO263" s="21"/>
      <c r="AP263" s="21"/>
      <c r="AQ263" s="21"/>
      <c r="AR263" s="21"/>
      <c r="AS263" s="21"/>
      <c r="AW263" s="169"/>
      <c r="AX263" s="163"/>
      <c r="AY263" s="163"/>
      <c r="AZ263" s="164"/>
      <c r="BA263" s="163"/>
    </row>
    <row r="264" spans="3:61" s="158" customFormat="1" ht="48.75" customHeight="1" x14ac:dyDescent="0.25">
      <c r="Q264" s="165"/>
      <c r="R264" s="165"/>
      <c r="S264" s="165"/>
      <c r="T264" s="446"/>
      <c r="U264" s="446"/>
      <c r="V264" s="446"/>
      <c r="W264" s="446"/>
      <c r="X264" s="446"/>
      <c r="Y264" s="222">
        <v>166</v>
      </c>
      <c r="Z264" s="222">
        <v>168</v>
      </c>
      <c r="AA264" s="222">
        <v>170</v>
      </c>
      <c r="AB264" s="222">
        <v>172</v>
      </c>
      <c r="AC264" s="252"/>
      <c r="AD264" s="252"/>
      <c r="AE264" s="252"/>
      <c r="AF264" s="252"/>
      <c r="AG264" s="243"/>
      <c r="AH264" s="446"/>
      <c r="AI264" s="446"/>
      <c r="AJ264" s="446"/>
      <c r="AK264" s="446"/>
      <c r="AL264" s="21"/>
      <c r="AM264" s="21"/>
      <c r="AN264" s="21"/>
      <c r="AO264" s="21"/>
      <c r="AP264" s="21"/>
      <c r="AQ264" s="21"/>
      <c r="AR264" s="21"/>
      <c r="AS264" s="21"/>
      <c r="AW264" s="169"/>
      <c r="AX264" s="163"/>
      <c r="AY264" s="163"/>
      <c r="AZ264" s="164"/>
      <c r="BA264" s="163"/>
    </row>
    <row r="265" spans="3:61" s="158" customFormat="1" ht="48.75" customHeight="1" x14ac:dyDescent="0.25">
      <c r="Q265" s="165"/>
      <c r="R265" s="165"/>
      <c r="S265" s="165"/>
      <c r="T265" s="210"/>
      <c r="X265" s="157"/>
      <c r="Y265" s="25"/>
      <c r="Z265" s="25"/>
      <c r="AA265" s="25"/>
      <c r="AB265" s="25"/>
      <c r="AC265" s="25"/>
      <c r="AD265" s="25"/>
      <c r="AE265" s="25"/>
      <c r="AF265" s="25"/>
      <c r="AG265" s="157"/>
      <c r="AN265" s="157"/>
      <c r="AO265" s="157"/>
      <c r="AP265" s="157"/>
      <c r="AW265" s="169"/>
      <c r="AX265" s="163"/>
      <c r="AY265" s="163"/>
      <c r="AZ265" s="164"/>
      <c r="BA265" s="163"/>
    </row>
    <row r="266" spans="3:61" s="158" customFormat="1" ht="48.75" customHeight="1" x14ac:dyDescent="0.25">
      <c r="Q266" s="165"/>
      <c r="R266" s="165"/>
      <c r="S266" s="165"/>
      <c r="T266" s="165"/>
      <c r="U266" s="165"/>
      <c r="X266" s="157"/>
      <c r="Y266" s="157"/>
      <c r="Z266" s="163"/>
      <c r="AA266" s="163"/>
      <c r="AB266" s="163"/>
      <c r="AC266" s="163"/>
      <c r="AD266" s="163"/>
      <c r="AE266" s="163"/>
      <c r="AF266" s="163"/>
      <c r="AG266" s="157"/>
      <c r="AN266" s="157"/>
      <c r="AO266" s="157"/>
      <c r="AP266" s="157"/>
      <c r="AW266" s="169"/>
      <c r="AX266" s="163"/>
      <c r="AY266" s="163"/>
      <c r="AZ266" s="164"/>
      <c r="BA266" s="163"/>
    </row>
    <row r="267" spans="3:61" s="158" customFormat="1" ht="48.75" customHeight="1" x14ac:dyDescent="0.25">
      <c r="X267" s="157"/>
      <c r="Y267" s="157"/>
      <c r="Z267" s="157"/>
      <c r="AA267" s="157"/>
      <c r="AB267" s="157"/>
      <c r="AC267" s="157"/>
      <c r="AD267" s="157"/>
      <c r="AE267" s="157"/>
      <c r="AF267" s="157"/>
      <c r="AG267" s="157"/>
      <c r="AH267" s="157"/>
      <c r="AI267" s="157"/>
      <c r="AJ267" s="157"/>
      <c r="AK267" s="157"/>
      <c r="AL267" s="157"/>
      <c r="AM267" s="157"/>
      <c r="AN267" s="157"/>
      <c r="AO267" s="157"/>
      <c r="AP267" s="157"/>
      <c r="AW267" s="169"/>
      <c r="AX267" s="163"/>
      <c r="AY267" s="163"/>
      <c r="AZ267" s="164"/>
      <c r="BA267" s="163"/>
    </row>
    <row r="268" spans="3:61" s="158" customFormat="1" ht="48.75" customHeight="1" x14ac:dyDescent="0.25">
      <c r="AW268" s="169"/>
      <c r="AX268" s="163"/>
      <c r="AY268" s="163"/>
      <c r="AZ268" s="164"/>
      <c r="BA268" s="163"/>
    </row>
    <row r="269" spans="3:61" s="158" customFormat="1" ht="48.75" customHeight="1" x14ac:dyDescent="0.25">
      <c r="AQ269" s="163"/>
      <c r="AR269" s="163"/>
      <c r="AS269" s="170"/>
      <c r="AT269" s="163"/>
      <c r="AU269" s="163"/>
      <c r="AV269" s="163"/>
      <c r="AW269" s="169"/>
      <c r="AX269" s="163"/>
      <c r="AY269" s="163"/>
      <c r="AZ269" s="164"/>
      <c r="BA269" s="163"/>
    </row>
    <row r="270" spans="3:61" s="158" customFormat="1" ht="48.75" customHeight="1" x14ac:dyDescent="0.25">
      <c r="AQ270" s="163"/>
      <c r="AR270" s="163"/>
      <c r="AS270" s="170"/>
      <c r="AT270" s="163"/>
      <c r="AU270" s="163"/>
      <c r="AV270" s="163"/>
      <c r="AW270" s="169"/>
      <c r="AX270" s="163"/>
      <c r="AY270" s="163"/>
      <c r="AZ270" s="164"/>
      <c r="BA270" s="163"/>
      <c r="BB270" s="163"/>
      <c r="BC270" s="163"/>
      <c r="BD270" s="163"/>
      <c r="BE270" s="163"/>
      <c r="BF270" s="163"/>
      <c r="BH270" s="163"/>
      <c r="BI270" s="171"/>
    </row>
    <row r="271" spans="3:61" s="158" customFormat="1" ht="48.75" customHeight="1" x14ac:dyDescent="0.25">
      <c r="AQ271" s="163"/>
      <c r="AR271" s="163"/>
      <c r="AS271" s="170"/>
      <c r="AT271" s="163"/>
      <c r="AU271" s="163"/>
      <c r="AV271" s="163"/>
      <c r="AW271" s="169"/>
      <c r="AX271" s="163"/>
      <c r="AY271" s="163"/>
      <c r="AZ271" s="164"/>
      <c r="BA271" s="163"/>
      <c r="BB271" s="163"/>
      <c r="BC271" s="163"/>
      <c r="BD271" s="163"/>
      <c r="BE271" s="163"/>
      <c r="BF271" s="163"/>
      <c r="BH271" s="163"/>
      <c r="BI271" s="171"/>
    </row>
    <row r="272" spans="3:61" s="158" customFormat="1" ht="48.75" customHeight="1" x14ac:dyDescent="0.25">
      <c r="AQ272" s="163"/>
      <c r="AR272" s="163"/>
      <c r="AS272" s="170"/>
      <c r="AT272" s="163"/>
      <c r="AU272" s="163"/>
      <c r="AV272" s="163"/>
      <c r="AW272" s="169"/>
      <c r="AX272" s="163"/>
      <c r="AY272" s="163"/>
      <c r="AZ272" s="164"/>
      <c r="BA272" s="163"/>
      <c r="BB272" s="163"/>
      <c r="BC272" s="163"/>
      <c r="BD272" s="163"/>
      <c r="BE272" s="163"/>
      <c r="BF272" s="163"/>
      <c r="BH272" s="163"/>
      <c r="BI272" s="171"/>
    </row>
    <row r="273" spans="2:61" s="158" customFormat="1" ht="48.75" customHeight="1" x14ac:dyDescent="0.25">
      <c r="AQ273" s="163"/>
      <c r="AR273" s="163"/>
      <c r="AS273" s="170"/>
      <c r="AT273" s="163"/>
      <c r="AU273" s="163"/>
      <c r="AV273" s="163"/>
      <c r="AW273" s="169"/>
      <c r="AX273" s="163"/>
      <c r="AY273" s="163"/>
      <c r="AZ273" s="164"/>
      <c r="BA273" s="163"/>
      <c r="BB273" s="163"/>
      <c r="BC273" s="163"/>
      <c r="BD273" s="163"/>
      <c r="BE273" s="163"/>
      <c r="BF273" s="163"/>
      <c r="BH273" s="163"/>
      <c r="BI273" s="171"/>
    </row>
    <row r="274" spans="2:61" s="158" customFormat="1" ht="48.75" customHeight="1" x14ac:dyDescent="0.25">
      <c r="AQ274" s="163"/>
      <c r="AR274" s="163"/>
      <c r="AS274" s="170"/>
      <c r="AT274" s="163"/>
      <c r="AU274" s="163"/>
      <c r="AV274" s="163"/>
      <c r="AW274" s="169"/>
      <c r="AX274" s="163"/>
      <c r="AY274" s="163"/>
      <c r="AZ274" s="164"/>
      <c r="BA274" s="163"/>
      <c r="BB274" s="163"/>
      <c r="BC274" s="163"/>
      <c r="BD274" s="163"/>
      <c r="BE274" s="163"/>
      <c r="BF274" s="163"/>
      <c r="BH274" s="163"/>
      <c r="BI274" s="171"/>
    </row>
    <row r="275" spans="2:61" s="158" customFormat="1" ht="48.75" customHeight="1" x14ac:dyDescent="0.25">
      <c r="AQ275" s="163"/>
      <c r="AR275" s="163"/>
      <c r="AS275" s="170"/>
      <c r="AT275" s="163"/>
      <c r="AU275" s="163"/>
      <c r="AV275" s="163"/>
      <c r="AW275" s="169"/>
      <c r="AX275" s="163"/>
      <c r="AY275" s="163"/>
      <c r="AZ275" s="164"/>
      <c r="BA275" s="163"/>
      <c r="BB275" s="163"/>
      <c r="BC275" s="163"/>
      <c r="BD275" s="163"/>
      <c r="BE275" s="163"/>
      <c r="BF275" s="163"/>
      <c r="BH275" s="163"/>
      <c r="BI275" s="171"/>
    </row>
    <row r="276" spans="2:61" s="158" customFormat="1" ht="48.75" customHeight="1" x14ac:dyDescent="0.25">
      <c r="AQ276" s="163"/>
      <c r="AR276" s="163"/>
      <c r="AS276" s="170"/>
      <c r="AT276" s="163"/>
      <c r="AU276" s="163"/>
      <c r="AV276" s="163"/>
      <c r="AW276" s="169"/>
      <c r="AX276" s="163"/>
      <c r="AY276" s="163"/>
      <c r="AZ276" s="164"/>
      <c r="BA276" s="163"/>
      <c r="BB276" s="163"/>
      <c r="BC276" s="163"/>
      <c r="BD276" s="163"/>
      <c r="BE276" s="163"/>
      <c r="BF276" s="163"/>
      <c r="BH276" s="163"/>
      <c r="BI276" s="171"/>
    </row>
    <row r="277" spans="2:61" s="158" customFormat="1" ht="48.75" customHeight="1" x14ac:dyDescent="0.25">
      <c r="AQ277" s="163"/>
      <c r="AR277" s="163"/>
      <c r="AS277" s="170"/>
      <c r="AT277" s="163"/>
      <c r="AU277" s="163"/>
      <c r="AV277" s="163"/>
      <c r="AW277" s="169"/>
      <c r="AX277" s="163"/>
      <c r="AY277" s="163"/>
      <c r="AZ277" s="164"/>
      <c r="BA277" s="163"/>
      <c r="BB277" s="163"/>
      <c r="BC277" s="163"/>
      <c r="BD277" s="163"/>
      <c r="BE277" s="163"/>
      <c r="BF277" s="163"/>
      <c r="BH277" s="163"/>
      <c r="BI277" s="171"/>
    </row>
    <row r="278" spans="2:61" s="158" customFormat="1" ht="48.75" customHeight="1" x14ac:dyDescent="0.25">
      <c r="AQ278" s="163"/>
      <c r="AR278" s="163"/>
      <c r="AS278" s="170"/>
      <c r="AT278" s="163"/>
      <c r="AU278" s="163"/>
      <c r="AV278" s="163"/>
      <c r="AW278" s="169"/>
      <c r="AX278" s="163"/>
      <c r="AY278" s="163"/>
      <c r="AZ278" s="164"/>
      <c r="BA278" s="163"/>
      <c r="BB278" s="163"/>
      <c r="BC278" s="163"/>
      <c r="BD278" s="163"/>
      <c r="BE278" s="163"/>
      <c r="BF278" s="163"/>
      <c r="BH278" s="163"/>
      <c r="BI278" s="171"/>
    </row>
    <row r="279" spans="2:61" s="158" customFormat="1" ht="48.75" customHeight="1" x14ac:dyDescent="0.25">
      <c r="B279" s="718" t="s">
        <v>813</v>
      </c>
      <c r="C279" s="718"/>
      <c r="D279" s="718"/>
      <c r="E279" s="718"/>
      <c r="F279" s="718"/>
      <c r="G279" s="718"/>
      <c r="H279" s="718"/>
      <c r="I279" s="718"/>
      <c r="J279" s="718"/>
      <c r="K279" s="718"/>
      <c r="L279" s="194"/>
      <c r="M279" s="729"/>
      <c r="N279" s="718" t="s">
        <v>814</v>
      </c>
      <c r="O279" s="718"/>
      <c r="P279" s="718"/>
      <c r="Q279" s="718"/>
      <c r="R279" s="718"/>
      <c r="S279" s="718"/>
      <c r="T279" s="718"/>
      <c r="U279" s="718"/>
      <c r="V279" s="718"/>
      <c r="W279" s="718"/>
      <c r="X279" s="194"/>
      <c r="Y279" s="729"/>
      <c r="Z279" s="718" t="s">
        <v>815</v>
      </c>
      <c r="AA279" s="718"/>
      <c r="AB279" s="718"/>
      <c r="AC279" s="718"/>
      <c r="AD279" s="718"/>
      <c r="AE279" s="718"/>
      <c r="AF279" s="718"/>
      <c r="AG279" s="718"/>
      <c r="AH279" s="718"/>
      <c r="AI279" s="718"/>
      <c r="AJ279" s="194"/>
      <c r="AQ279" s="163"/>
      <c r="AR279" s="163"/>
      <c r="AS279" s="170"/>
      <c r="AT279" s="163"/>
      <c r="AU279" s="163"/>
      <c r="AV279" s="163"/>
      <c r="AW279" s="169"/>
      <c r="AX279" s="163"/>
      <c r="AY279" s="163"/>
      <c r="AZ279" s="164"/>
      <c r="BA279" s="163"/>
      <c r="BB279" s="163"/>
      <c r="BC279" s="163"/>
      <c r="BD279" s="163"/>
      <c r="BE279" s="163"/>
      <c r="BF279" s="163"/>
      <c r="BH279" s="163"/>
      <c r="BI279" s="171"/>
    </row>
    <row r="280" spans="2:61" s="158" customFormat="1" ht="48.75" customHeight="1" x14ac:dyDescent="0.25">
      <c r="B280" s="446" t="s">
        <v>811</v>
      </c>
      <c r="C280" s="188">
        <v>0</v>
      </c>
      <c r="D280" s="188">
        <v>0.01</v>
      </c>
      <c r="E280" s="188">
        <v>0.02</v>
      </c>
      <c r="F280" s="188">
        <v>0.03</v>
      </c>
      <c r="G280" s="188">
        <v>0.04</v>
      </c>
      <c r="H280" s="188">
        <v>0.05</v>
      </c>
      <c r="I280" s="188">
        <v>0.06</v>
      </c>
      <c r="J280" s="188">
        <v>7.0000000000000007E-2</v>
      </c>
      <c r="K280" s="188">
        <v>0.08</v>
      </c>
      <c r="L280" s="188">
        <v>0.09</v>
      </c>
      <c r="M280" s="729"/>
      <c r="N280" s="446" t="s">
        <v>811</v>
      </c>
      <c r="O280" s="188">
        <v>0</v>
      </c>
      <c r="P280" s="188">
        <v>0.01</v>
      </c>
      <c r="Q280" s="188">
        <v>0.02</v>
      </c>
      <c r="R280" s="188">
        <v>0.03</v>
      </c>
      <c r="S280" s="188">
        <v>0.04</v>
      </c>
      <c r="T280" s="188">
        <v>0.05</v>
      </c>
      <c r="U280" s="188">
        <v>0.06</v>
      </c>
      <c r="V280" s="188">
        <v>7.0000000000000007E-2</v>
      </c>
      <c r="W280" s="188">
        <v>0.08</v>
      </c>
      <c r="X280" s="188">
        <v>0.09</v>
      </c>
      <c r="Y280" s="729"/>
      <c r="Z280" s="446" t="s">
        <v>811</v>
      </c>
      <c r="AA280" s="188">
        <v>0</v>
      </c>
      <c r="AB280" s="188">
        <v>0.01</v>
      </c>
      <c r="AC280" s="188">
        <v>0.02</v>
      </c>
      <c r="AD280" s="188">
        <v>0.03</v>
      </c>
      <c r="AE280" s="188">
        <v>0.04</v>
      </c>
      <c r="AF280" s="188">
        <v>0.05</v>
      </c>
      <c r="AG280" s="188">
        <v>0.06</v>
      </c>
      <c r="AH280" s="188">
        <v>7.0000000000000007E-2</v>
      </c>
      <c r="AI280" s="188">
        <v>0.08</v>
      </c>
      <c r="AJ280" s="188">
        <v>0.09</v>
      </c>
      <c r="AQ280" s="163"/>
      <c r="AR280" s="163"/>
      <c r="AS280" s="170"/>
      <c r="AT280" s="163"/>
      <c r="AU280" s="163"/>
      <c r="AV280" s="163"/>
      <c r="AW280" s="169"/>
      <c r="AX280" s="163"/>
      <c r="AY280" s="163"/>
      <c r="AZ280" s="164"/>
      <c r="BA280" s="163"/>
      <c r="BB280" s="163"/>
      <c r="BC280" s="163"/>
      <c r="BD280" s="163"/>
      <c r="BE280" s="163"/>
      <c r="BF280" s="163"/>
      <c r="BH280" s="163"/>
      <c r="BI280" s="171"/>
    </row>
    <row r="281" spans="2:61" s="158" customFormat="1" ht="48.75" customHeight="1" x14ac:dyDescent="0.25">
      <c r="B281" s="446"/>
      <c r="C281" s="446" t="s">
        <v>812</v>
      </c>
      <c r="D281" s="446"/>
      <c r="E281" s="446"/>
      <c r="F281" s="446"/>
      <c r="G281" s="446"/>
      <c r="H281" s="446"/>
      <c r="I281" s="446"/>
      <c r="J281" s="446"/>
      <c r="K281" s="446"/>
      <c r="L281" s="446"/>
      <c r="M281" s="729"/>
      <c r="N281" s="446"/>
      <c r="O281" s="446" t="s">
        <v>812</v>
      </c>
      <c r="P281" s="446"/>
      <c r="Q281" s="446"/>
      <c r="R281" s="446"/>
      <c r="S281" s="446"/>
      <c r="T281" s="446"/>
      <c r="U281" s="446"/>
      <c r="V281" s="446"/>
      <c r="W281" s="446"/>
      <c r="X281" s="446"/>
      <c r="Y281" s="729"/>
      <c r="Z281" s="446"/>
      <c r="AA281" s="446" t="s">
        <v>812</v>
      </c>
      <c r="AB281" s="446"/>
      <c r="AC281" s="446"/>
      <c r="AD281" s="446"/>
      <c r="AE281" s="446"/>
      <c r="AF281" s="446"/>
      <c r="AG281" s="446"/>
      <c r="AH281" s="446"/>
      <c r="AI281" s="446"/>
      <c r="AJ281" s="446"/>
      <c r="AQ281" s="163"/>
      <c r="AR281" s="163"/>
      <c r="AS281" s="170"/>
      <c r="AT281" s="163"/>
      <c r="AU281" s="163"/>
      <c r="AV281" s="163"/>
      <c r="AW281" s="169"/>
      <c r="AX281" s="163"/>
      <c r="AY281" s="163"/>
      <c r="AZ281" s="164"/>
      <c r="BA281" s="163"/>
      <c r="BB281" s="163"/>
      <c r="BC281" s="163"/>
      <c r="BD281" s="163"/>
      <c r="BE281" s="163"/>
      <c r="BF281" s="163"/>
      <c r="BH281" s="163"/>
      <c r="BI281" s="171"/>
    </row>
    <row r="282" spans="2:61" s="158" customFormat="1" ht="48.75" customHeight="1" x14ac:dyDescent="0.25">
      <c r="B282" s="188">
        <v>0.4</v>
      </c>
      <c r="C282" s="188">
        <v>56</v>
      </c>
      <c r="D282" s="188">
        <v>56</v>
      </c>
      <c r="E282" s="188">
        <v>57</v>
      </c>
      <c r="F282" s="188">
        <v>58</v>
      </c>
      <c r="G282" s="188">
        <v>59</v>
      </c>
      <c r="H282" s="188">
        <v>60</v>
      </c>
      <c r="I282" s="188">
        <v>60</v>
      </c>
      <c r="J282" s="188">
        <v>61</v>
      </c>
      <c r="K282" s="188">
        <v>61</v>
      </c>
      <c r="L282" s="188">
        <v>62</v>
      </c>
      <c r="M282" s="195"/>
      <c r="N282" s="188">
        <v>0.4</v>
      </c>
      <c r="O282" s="188">
        <v>52</v>
      </c>
      <c r="P282" s="188">
        <v>53</v>
      </c>
      <c r="Q282" s="188">
        <v>54</v>
      </c>
      <c r="R282" s="188">
        <v>55</v>
      </c>
      <c r="S282" s="188">
        <v>56</v>
      </c>
      <c r="T282" s="188">
        <v>58</v>
      </c>
      <c r="U282" s="188">
        <v>59</v>
      </c>
      <c r="V282" s="188">
        <v>60</v>
      </c>
      <c r="W282" s="188">
        <v>61</v>
      </c>
      <c r="X282" s="188">
        <v>62</v>
      </c>
      <c r="Y282" s="195"/>
      <c r="Z282" s="188">
        <v>0.4</v>
      </c>
      <c r="AA282" s="188">
        <v>124</v>
      </c>
      <c r="AB282" s="188">
        <v>127</v>
      </c>
      <c r="AC282" s="188">
        <v>130</v>
      </c>
      <c r="AD282" s="188">
        <v>133</v>
      </c>
      <c r="AE282" s="188">
        <v>136</v>
      </c>
      <c r="AF282" s="188">
        <v>138</v>
      </c>
      <c r="AG282" s="188">
        <v>141</v>
      </c>
      <c r="AH282" s="188">
        <v>144</v>
      </c>
      <c r="AI282" s="188">
        <v>147</v>
      </c>
      <c r="AJ282" s="188">
        <v>150</v>
      </c>
      <c r="AQ282" s="163"/>
      <c r="AR282" s="163"/>
      <c r="AS282" s="170"/>
      <c r="AT282" s="163"/>
      <c r="AU282" s="163"/>
      <c r="AV282" s="163"/>
      <c r="AW282" s="169"/>
      <c r="AX282" s="163"/>
      <c r="AY282" s="163"/>
      <c r="AZ282" s="164"/>
      <c r="BA282" s="163"/>
      <c r="BB282" s="163"/>
      <c r="BC282" s="163"/>
      <c r="BD282" s="163"/>
      <c r="BE282" s="163"/>
      <c r="BF282" s="163"/>
      <c r="BH282" s="163"/>
      <c r="BI282" s="171"/>
    </row>
    <row r="283" spans="2:61" s="158" customFormat="1" ht="48.75" customHeight="1" x14ac:dyDescent="0.25">
      <c r="B283" s="188">
        <v>0.5</v>
      </c>
      <c r="C283" s="188">
        <v>63</v>
      </c>
      <c r="D283" s="188">
        <v>63</v>
      </c>
      <c r="E283" s="188">
        <v>64</v>
      </c>
      <c r="F283" s="188">
        <v>65</v>
      </c>
      <c r="G283" s="188">
        <v>66</v>
      </c>
      <c r="H283" s="188">
        <v>67</v>
      </c>
      <c r="I283" s="188">
        <v>67</v>
      </c>
      <c r="J283" s="188">
        <v>68</v>
      </c>
      <c r="K283" s="188">
        <v>68</v>
      </c>
      <c r="L283" s="188">
        <v>69</v>
      </c>
      <c r="M283" s="195"/>
      <c r="N283" s="188">
        <v>0.5</v>
      </c>
      <c r="O283" s="188">
        <v>64</v>
      </c>
      <c r="P283" s="188">
        <v>65</v>
      </c>
      <c r="Q283" s="188">
        <v>66</v>
      </c>
      <c r="R283" s="188">
        <v>67</v>
      </c>
      <c r="S283" s="188">
        <v>69</v>
      </c>
      <c r="T283" s="188">
        <v>71</v>
      </c>
      <c r="U283" s="188">
        <v>72</v>
      </c>
      <c r="V283" s="188">
        <v>74</v>
      </c>
      <c r="W283" s="188">
        <v>76</v>
      </c>
      <c r="X283" s="188">
        <v>78</v>
      </c>
      <c r="Y283" s="195"/>
      <c r="Z283" s="188">
        <v>0.5</v>
      </c>
      <c r="AA283" s="188">
        <v>154</v>
      </c>
      <c r="AB283" s="188">
        <v>157</v>
      </c>
      <c r="AC283" s="188">
        <v>160</v>
      </c>
      <c r="AD283" s="188">
        <v>164</v>
      </c>
      <c r="AE283" s="188">
        <v>167</v>
      </c>
      <c r="AF283" s="188">
        <v>171</v>
      </c>
      <c r="AG283" s="188">
        <v>174</v>
      </c>
      <c r="AH283" s="188">
        <v>177</v>
      </c>
      <c r="AI283" s="188">
        <v>180</v>
      </c>
      <c r="AJ283" s="188">
        <v>184</v>
      </c>
      <c r="AQ283" s="163"/>
      <c r="AR283" s="163"/>
      <c r="AS283" s="170"/>
      <c r="AT283" s="163"/>
      <c r="AU283" s="163"/>
      <c r="AV283" s="163"/>
      <c r="AW283" s="169"/>
      <c r="AX283" s="163"/>
      <c r="AY283" s="163"/>
      <c r="AZ283" s="164"/>
      <c r="BA283" s="163"/>
      <c r="BB283" s="163"/>
      <c r="BC283" s="163"/>
      <c r="BD283" s="163"/>
      <c r="BE283" s="163"/>
      <c r="BF283" s="163"/>
      <c r="BH283" s="163"/>
      <c r="BI283" s="171"/>
    </row>
    <row r="284" spans="2:61" s="158" customFormat="1" ht="48.75" customHeight="1" x14ac:dyDescent="0.25">
      <c r="B284" s="188">
        <v>0.6</v>
      </c>
      <c r="C284" s="188">
        <v>70</v>
      </c>
      <c r="D284" s="188">
        <v>70</v>
      </c>
      <c r="E284" s="188">
        <v>71</v>
      </c>
      <c r="F284" s="188">
        <v>72</v>
      </c>
      <c r="G284" s="188">
        <v>73</v>
      </c>
      <c r="H284" s="188">
        <v>74</v>
      </c>
      <c r="I284" s="188">
        <v>74</v>
      </c>
      <c r="J284" s="188">
        <v>75</v>
      </c>
      <c r="K284" s="188">
        <v>76</v>
      </c>
      <c r="L284" s="188">
        <v>77</v>
      </c>
      <c r="M284" s="195"/>
      <c r="N284" s="188">
        <v>0.6</v>
      </c>
      <c r="O284" s="188">
        <v>80</v>
      </c>
      <c r="P284" s="188">
        <v>81</v>
      </c>
      <c r="Q284" s="188">
        <v>83</v>
      </c>
      <c r="R284" s="188">
        <v>85</v>
      </c>
      <c r="S284" s="188">
        <v>87</v>
      </c>
      <c r="T284" s="188">
        <v>89</v>
      </c>
      <c r="U284" s="188">
        <v>91</v>
      </c>
      <c r="V284" s="188">
        <v>93</v>
      </c>
      <c r="W284" s="188">
        <v>95</v>
      </c>
      <c r="X284" s="188">
        <v>97</v>
      </c>
      <c r="Y284" s="195"/>
      <c r="Z284" s="188">
        <v>0.6</v>
      </c>
      <c r="AA284" s="188">
        <v>188</v>
      </c>
      <c r="AB284" s="188">
        <v>191</v>
      </c>
      <c r="AC284" s="188">
        <v>194</v>
      </c>
      <c r="AD284" s="188">
        <v>198</v>
      </c>
      <c r="AE284" s="188">
        <v>201</v>
      </c>
      <c r="AF284" s="188">
        <v>205</v>
      </c>
      <c r="AG284" s="188">
        <v>208</v>
      </c>
      <c r="AH284" s="188">
        <v>212</v>
      </c>
      <c r="AI284" s="188">
        <v>216</v>
      </c>
      <c r="AJ284" s="188">
        <v>220</v>
      </c>
      <c r="AQ284" s="163"/>
      <c r="AR284" s="163"/>
      <c r="AS284" s="170"/>
      <c r="AT284" s="163"/>
      <c r="AU284" s="163"/>
      <c r="AV284" s="163"/>
      <c r="AW284" s="169"/>
      <c r="AX284" s="163"/>
      <c r="AY284" s="163"/>
      <c r="AZ284" s="164"/>
      <c r="BA284" s="163"/>
      <c r="BB284" s="163"/>
      <c r="BC284" s="163"/>
      <c r="BD284" s="163"/>
      <c r="BE284" s="163"/>
      <c r="BF284" s="163"/>
      <c r="BH284" s="163"/>
      <c r="BI284" s="171"/>
    </row>
    <row r="285" spans="2:61" s="158" customFormat="1" ht="48.75" customHeight="1" x14ac:dyDescent="0.25">
      <c r="B285" s="188">
        <v>0.7</v>
      </c>
      <c r="C285" s="188">
        <v>78</v>
      </c>
      <c r="D285" s="188">
        <v>79</v>
      </c>
      <c r="E285" s="188">
        <v>80</v>
      </c>
      <c r="F285" s="188">
        <v>81</v>
      </c>
      <c r="G285" s="188">
        <v>82</v>
      </c>
      <c r="H285" s="188">
        <v>83</v>
      </c>
      <c r="I285" s="188">
        <v>84</v>
      </c>
      <c r="J285" s="188">
        <v>85</v>
      </c>
      <c r="K285" s="188">
        <v>86</v>
      </c>
      <c r="L285" s="188">
        <v>87</v>
      </c>
      <c r="M285" s="195"/>
      <c r="N285" s="188">
        <v>0.7</v>
      </c>
      <c r="O285" s="188">
        <v>100</v>
      </c>
      <c r="P285" s="188">
        <v>102</v>
      </c>
      <c r="Q285" s="188">
        <v>104</v>
      </c>
      <c r="R285" s="188">
        <v>106</v>
      </c>
      <c r="S285" s="188">
        <v>108</v>
      </c>
      <c r="T285" s="188">
        <v>111</v>
      </c>
      <c r="U285" s="188">
        <v>113</v>
      </c>
      <c r="V285" s="188">
        <v>115</v>
      </c>
      <c r="W285" s="188">
        <v>118</v>
      </c>
      <c r="X285" s="188">
        <v>121</v>
      </c>
      <c r="Y285" s="195"/>
      <c r="Z285" s="188">
        <v>0.7</v>
      </c>
      <c r="AA285" s="188">
        <v>223</v>
      </c>
      <c r="AB285" s="188">
        <v>226</v>
      </c>
      <c r="AC285" s="188">
        <v>229</v>
      </c>
      <c r="AD285" s="188">
        <v>233</v>
      </c>
      <c r="AE285" s="188">
        <v>236</v>
      </c>
      <c r="AF285" s="188">
        <v>240</v>
      </c>
      <c r="AG285" s="188">
        <v>243</v>
      </c>
      <c r="AH285" s="188">
        <v>247</v>
      </c>
      <c r="AI285" s="188">
        <v>250</v>
      </c>
      <c r="AJ285" s="188">
        <v>253</v>
      </c>
      <c r="AQ285" s="163"/>
      <c r="AR285" s="163"/>
      <c r="AS285" s="170"/>
      <c r="AT285" s="163"/>
      <c r="AU285" s="163"/>
      <c r="AV285" s="163"/>
      <c r="AW285" s="169"/>
      <c r="AX285" s="163"/>
      <c r="AY285" s="163"/>
      <c r="AZ285" s="164"/>
      <c r="BA285" s="163"/>
      <c r="BB285" s="163"/>
      <c r="BC285" s="163"/>
      <c r="BD285" s="163"/>
      <c r="BE285" s="163"/>
      <c r="BF285" s="163"/>
      <c r="BH285" s="163"/>
      <c r="BI285" s="171"/>
    </row>
    <row r="286" spans="2:61" s="158" customFormat="1" ht="48.75" customHeight="1" x14ac:dyDescent="0.25">
      <c r="B286" s="188">
        <v>0.8</v>
      </c>
      <c r="C286" s="188">
        <v>88</v>
      </c>
      <c r="D286" s="188">
        <v>89</v>
      </c>
      <c r="E286" s="188">
        <v>90</v>
      </c>
      <c r="F286" s="188">
        <v>91</v>
      </c>
      <c r="G286" s="188">
        <v>92</v>
      </c>
      <c r="H286" s="188">
        <v>93</v>
      </c>
      <c r="I286" s="188">
        <v>94</v>
      </c>
      <c r="J286" s="188">
        <v>95</v>
      </c>
      <c r="K286" s="188">
        <v>96</v>
      </c>
      <c r="L286" s="188">
        <v>97</v>
      </c>
      <c r="M286" s="195"/>
      <c r="N286" s="188">
        <v>0.8</v>
      </c>
      <c r="O286" s="188">
        <v>124</v>
      </c>
      <c r="P286" s="188">
        <v>126</v>
      </c>
      <c r="Q286" s="188">
        <v>129</v>
      </c>
      <c r="R286" s="188">
        <v>132</v>
      </c>
      <c r="S286" s="188">
        <v>135</v>
      </c>
      <c r="T286" s="188">
        <v>138</v>
      </c>
      <c r="U286" s="188">
        <v>140</v>
      </c>
      <c r="V286" s="188">
        <v>143</v>
      </c>
      <c r="W286" s="188">
        <v>146</v>
      </c>
      <c r="X286" s="188">
        <v>149</v>
      </c>
      <c r="Y286" s="195"/>
      <c r="Z286" s="188">
        <v>0.8</v>
      </c>
      <c r="AA286" s="188">
        <v>256</v>
      </c>
      <c r="AB286" s="188">
        <v>259</v>
      </c>
      <c r="AC286" s="188">
        <v>262</v>
      </c>
      <c r="AD286" s="188">
        <v>265</v>
      </c>
      <c r="AE286" s="188">
        <v>268</v>
      </c>
      <c r="AF286" s="188">
        <v>271</v>
      </c>
      <c r="AG286" s="188">
        <v>274</v>
      </c>
      <c r="AH286" s="188">
        <v>277</v>
      </c>
      <c r="AI286" s="188">
        <v>280</v>
      </c>
      <c r="AJ286" s="188">
        <v>283</v>
      </c>
      <c r="AQ286" s="163"/>
      <c r="AR286" s="163"/>
      <c r="AS286" s="170"/>
      <c r="AT286" s="163"/>
      <c r="AU286" s="163"/>
      <c r="AV286" s="163"/>
      <c r="AW286" s="169"/>
      <c r="AX286" s="163"/>
      <c r="AY286" s="163"/>
      <c r="AZ286" s="164"/>
      <c r="BA286" s="163"/>
      <c r="BB286" s="163"/>
      <c r="BC286" s="163"/>
      <c r="BD286" s="163"/>
      <c r="BE286" s="163"/>
      <c r="BF286" s="163"/>
      <c r="BH286" s="163"/>
      <c r="BI286" s="171"/>
    </row>
    <row r="287" spans="2:61" s="158" customFormat="1" ht="48.75" customHeight="1" x14ac:dyDescent="0.25">
      <c r="B287" s="188">
        <v>0.9</v>
      </c>
      <c r="C287" s="188">
        <v>99</v>
      </c>
      <c r="D287" s="188">
        <v>100</v>
      </c>
      <c r="E287" s="188">
        <v>101</v>
      </c>
      <c r="F287" s="188">
        <v>102</v>
      </c>
      <c r="G287" s="188">
        <v>103</v>
      </c>
      <c r="H287" s="188">
        <v>104</v>
      </c>
      <c r="I287" s="188">
        <v>105</v>
      </c>
      <c r="J287" s="188">
        <v>106</v>
      </c>
      <c r="K287" s="188">
        <v>107</v>
      </c>
      <c r="L287" s="188">
        <v>108</v>
      </c>
      <c r="M287" s="195"/>
      <c r="N287" s="188">
        <v>0.9</v>
      </c>
      <c r="O287" s="188">
        <v>152</v>
      </c>
      <c r="P287" s="188">
        <v>155</v>
      </c>
      <c r="Q287" s="188">
        <v>158</v>
      </c>
      <c r="R287" s="188">
        <v>161</v>
      </c>
      <c r="S287" s="188">
        <v>164</v>
      </c>
      <c r="T287" s="188">
        <v>168</v>
      </c>
      <c r="U287" s="188">
        <v>171</v>
      </c>
      <c r="V287" s="188">
        <v>174</v>
      </c>
      <c r="W287" s="188">
        <v>177</v>
      </c>
      <c r="X287" s="188">
        <v>181</v>
      </c>
      <c r="Y287" s="195"/>
      <c r="Z287" s="188">
        <v>0.9</v>
      </c>
      <c r="AA287" s="188">
        <v>286</v>
      </c>
      <c r="AB287" s="188">
        <v>290</v>
      </c>
      <c r="AC287" s="188">
        <v>293</v>
      </c>
      <c r="AD287" s="188">
        <v>297</v>
      </c>
      <c r="AE287" s="188">
        <v>301</v>
      </c>
      <c r="AF287" s="188">
        <v>304</v>
      </c>
      <c r="AG287" s="188">
        <v>308</v>
      </c>
      <c r="AH287" s="188">
        <v>312</v>
      </c>
      <c r="AI287" s="188">
        <v>316</v>
      </c>
      <c r="AJ287" s="188">
        <v>320</v>
      </c>
      <c r="AQ287" s="163"/>
      <c r="AR287" s="163"/>
      <c r="AS287" s="170"/>
      <c r="AT287" s="163"/>
      <c r="AU287" s="163"/>
      <c r="AV287" s="163"/>
      <c r="AW287" s="169"/>
      <c r="AX287" s="163"/>
      <c r="AY287" s="163"/>
      <c r="AZ287" s="164"/>
      <c r="BA287" s="163"/>
      <c r="BB287" s="163"/>
      <c r="BC287" s="163"/>
      <c r="BD287" s="163"/>
      <c r="BE287" s="163"/>
      <c r="BF287" s="163"/>
      <c r="BH287" s="163"/>
      <c r="BI287" s="171"/>
    </row>
    <row r="288" spans="2:61" s="158" customFormat="1" ht="48.75" customHeight="1" x14ac:dyDescent="0.25">
      <c r="B288" s="188">
        <v>1</v>
      </c>
      <c r="C288" s="188">
        <v>110</v>
      </c>
      <c r="D288" s="188">
        <v>111</v>
      </c>
      <c r="E288" s="188">
        <v>113</v>
      </c>
      <c r="F288" s="188">
        <v>114</v>
      </c>
      <c r="G288" s="188">
        <v>115</v>
      </c>
      <c r="H288" s="188">
        <v>117</v>
      </c>
      <c r="I288" s="188">
        <v>118</v>
      </c>
      <c r="J288" s="188">
        <v>120</v>
      </c>
      <c r="K288" s="188">
        <v>121</v>
      </c>
      <c r="L288" s="188">
        <v>123</v>
      </c>
      <c r="M288" s="195"/>
      <c r="N288" s="188">
        <v>1</v>
      </c>
      <c r="O288" s="188">
        <v>185</v>
      </c>
      <c r="P288" s="188">
        <v>188</v>
      </c>
      <c r="Q288" s="188">
        <v>191</v>
      </c>
      <c r="R288" s="188">
        <v>195</v>
      </c>
      <c r="S288" s="188">
        <v>199</v>
      </c>
      <c r="T288" s="188">
        <v>203</v>
      </c>
      <c r="U288" s="188">
        <v>206</v>
      </c>
      <c r="V288" s="188">
        <v>209</v>
      </c>
      <c r="W288" s="188">
        <v>213</v>
      </c>
      <c r="X288" s="188">
        <v>217</v>
      </c>
      <c r="Y288" s="195"/>
      <c r="Z288" s="188">
        <v>1</v>
      </c>
      <c r="AA288" s="188">
        <v>324</v>
      </c>
      <c r="AB288" s="188">
        <v>329</v>
      </c>
      <c r="AC288" s="188">
        <v>333</v>
      </c>
      <c r="AD288" s="188">
        <v>338</v>
      </c>
      <c r="AE288" s="188">
        <v>342</v>
      </c>
      <c r="AF288" s="188">
        <v>346</v>
      </c>
      <c r="AG288" s="188">
        <v>350</v>
      </c>
      <c r="AH288" s="188">
        <v>355</v>
      </c>
      <c r="AI288" s="188">
        <v>360</v>
      </c>
      <c r="AJ288" s="188">
        <v>365</v>
      </c>
      <c r="AQ288" s="163"/>
      <c r="AR288" s="163"/>
      <c r="AS288" s="170"/>
      <c r="AT288" s="163"/>
      <c r="AU288" s="163"/>
      <c r="AV288" s="163"/>
      <c r="AW288" s="169"/>
      <c r="AX288" s="163"/>
      <c r="AY288" s="163"/>
      <c r="AZ288" s="164"/>
      <c r="BA288" s="163"/>
      <c r="BB288" s="163"/>
      <c r="BC288" s="163"/>
      <c r="BD288" s="163"/>
      <c r="BE288" s="163"/>
      <c r="BF288" s="163"/>
      <c r="BH288" s="163"/>
      <c r="BI288" s="171"/>
    </row>
    <row r="289" spans="2:72" s="158" customFormat="1" ht="48.75" customHeight="1" x14ac:dyDescent="0.25">
      <c r="B289" s="188">
        <v>1.1000000000000001</v>
      </c>
      <c r="C289" s="188">
        <v>125</v>
      </c>
      <c r="D289" s="188">
        <v>126</v>
      </c>
      <c r="E289" s="188">
        <v>127</v>
      </c>
      <c r="F289" s="188">
        <v>128</v>
      </c>
      <c r="G289" s="188">
        <v>129</v>
      </c>
      <c r="H289" s="188">
        <v>132</v>
      </c>
      <c r="I289" s="188">
        <v>133</v>
      </c>
      <c r="J289" s="188">
        <v>134</v>
      </c>
      <c r="K289" s="188">
        <v>136</v>
      </c>
      <c r="L289" s="188">
        <v>138</v>
      </c>
      <c r="M289" s="195"/>
      <c r="N289" s="188">
        <v>1.1000000000000001</v>
      </c>
      <c r="O289" s="188">
        <v>221</v>
      </c>
      <c r="P289" s="188">
        <v>225</v>
      </c>
      <c r="Q289" s="188">
        <v>229</v>
      </c>
      <c r="R289" s="188">
        <v>233</v>
      </c>
      <c r="S289" s="188">
        <v>237</v>
      </c>
      <c r="T289" s="188">
        <v>241</v>
      </c>
      <c r="U289" s="188">
        <v>245</v>
      </c>
      <c r="V289" s="188">
        <v>249</v>
      </c>
      <c r="W289" s="188">
        <v>253</v>
      </c>
      <c r="X289" s="188">
        <v>257</v>
      </c>
      <c r="Y289" s="195"/>
      <c r="Z289" s="188">
        <v>1.1000000000000001</v>
      </c>
      <c r="AA289" s="188">
        <v>370</v>
      </c>
      <c r="AB289" s="188">
        <v>375</v>
      </c>
      <c r="AC289" s="188">
        <v>380</v>
      </c>
      <c r="AD289" s="188">
        <v>385</v>
      </c>
      <c r="AE289" s="188">
        <v>391</v>
      </c>
      <c r="AF289" s="188">
        <v>396</v>
      </c>
      <c r="AG289" s="188">
        <v>401</v>
      </c>
      <c r="AH289" s="188">
        <v>406</v>
      </c>
      <c r="AI289" s="188">
        <v>411</v>
      </c>
      <c r="AJ289" s="188">
        <v>417</v>
      </c>
      <c r="AQ289" s="163"/>
      <c r="AR289" s="163"/>
      <c r="AS289" s="170"/>
      <c r="AT289" s="163"/>
      <c r="AU289" s="163"/>
      <c r="AV289" s="163"/>
      <c r="AW289" s="169"/>
      <c r="AX289" s="163"/>
      <c r="AY289" s="163"/>
      <c r="AZ289" s="164"/>
      <c r="BA289" s="163"/>
      <c r="BB289" s="163"/>
      <c r="BC289" s="163"/>
      <c r="BD289" s="163"/>
      <c r="BE289" s="163"/>
      <c r="BF289" s="163"/>
      <c r="BH289" s="163"/>
      <c r="BI289" s="171"/>
    </row>
    <row r="290" spans="2:72" s="158" customFormat="1" ht="48.75" customHeight="1" x14ac:dyDescent="0.25">
      <c r="B290" s="188">
        <v>1.2</v>
      </c>
      <c r="C290" s="188">
        <v>141</v>
      </c>
      <c r="D290" s="188">
        <v>146</v>
      </c>
      <c r="E290" s="188">
        <v>152</v>
      </c>
      <c r="F290" s="188">
        <v>158</v>
      </c>
      <c r="G290" s="188">
        <v>164</v>
      </c>
      <c r="H290" s="188">
        <v>170</v>
      </c>
      <c r="I290" s="188">
        <v>176</v>
      </c>
      <c r="J290" s="188">
        <v>182</v>
      </c>
      <c r="K290" s="188">
        <v>188</v>
      </c>
      <c r="L290" s="188">
        <v>194</v>
      </c>
      <c r="M290" s="195"/>
      <c r="N290" s="188">
        <v>1.2</v>
      </c>
      <c r="O290" s="188">
        <v>262</v>
      </c>
      <c r="P290" s="188">
        <v>267</v>
      </c>
      <c r="Q290" s="188">
        <v>272</v>
      </c>
      <c r="R290" s="188">
        <v>277</v>
      </c>
      <c r="S290" s="188">
        <v>283</v>
      </c>
      <c r="T290" s="188">
        <v>289</v>
      </c>
      <c r="U290" s="188">
        <v>295</v>
      </c>
      <c r="V290" s="188">
        <v>301</v>
      </c>
      <c r="W290" s="188">
        <v>307</v>
      </c>
      <c r="X290" s="188">
        <v>313</v>
      </c>
      <c r="Y290" s="195"/>
      <c r="Z290" s="188">
        <v>1.2</v>
      </c>
      <c r="AA290" s="188">
        <v>424</v>
      </c>
      <c r="AB290" s="188">
        <v>430</v>
      </c>
      <c r="AC290" s="188">
        <v>436</v>
      </c>
      <c r="AD290" s="188">
        <v>442</v>
      </c>
      <c r="AE290" s="188">
        <v>448</v>
      </c>
      <c r="AF290" s="188">
        <v>455</v>
      </c>
      <c r="AG290" s="188">
        <v>461</v>
      </c>
      <c r="AH290" s="188">
        <v>467</v>
      </c>
      <c r="AI290" s="188">
        <v>473</v>
      </c>
      <c r="AJ290" s="188">
        <v>479</v>
      </c>
      <c r="AQ290" s="163"/>
      <c r="AR290" s="163"/>
      <c r="AS290" s="170"/>
      <c r="AT290" s="163"/>
      <c r="AU290" s="163"/>
      <c r="AV290" s="163"/>
      <c r="AW290" s="169"/>
      <c r="AX290" s="163"/>
      <c r="AY290" s="163"/>
      <c r="AZ290" s="164"/>
      <c r="BA290" s="163"/>
      <c r="BB290" s="163"/>
      <c r="BC290" s="163"/>
      <c r="BD290" s="163"/>
      <c r="BE290" s="163"/>
      <c r="BF290" s="163"/>
      <c r="BH290" s="163"/>
      <c r="BI290" s="171"/>
    </row>
    <row r="291" spans="2:72" s="158" customFormat="1" ht="48.75" customHeight="1" x14ac:dyDescent="0.25">
      <c r="B291" s="188">
        <v>1.3</v>
      </c>
      <c r="C291" s="188">
        <v>200</v>
      </c>
      <c r="D291" s="188">
        <v>210</v>
      </c>
      <c r="E291" s="188">
        <v>220</v>
      </c>
      <c r="F291" s="188">
        <v>230</v>
      </c>
      <c r="G291" s="188">
        <v>240</v>
      </c>
      <c r="H291" s="188">
        <v>250</v>
      </c>
      <c r="I291" s="188">
        <v>260</v>
      </c>
      <c r="J291" s="188">
        <v>270</v>
      </c>
      <c r="K291" s="188">
        <v>280</v>
      </c>
      <c r="L291" s="188">
        <v>290</v>
      </c>
      <c r="M291" s="195"/>
      <c r="N291" s="188">
        <v>1.3</v>
      </c>
      <c r="O291" s="188">
        <v>320</v>
      </c>
      <c r="P291" s="188">
        <v>327</v>
      </c>
      <c r="Q291" s="188">
        <v>334</v>
      </c>
      <c r="R291" s="188">
        <v>341</v>
      </c>
      <c r="S291" s="188">
        <v>349</v>
      </c>
      <c r="T291" s="188">
        <v>357</v>
      </c>
      <c r="U291" s="188">
        <v>365</v>
      </c>
      <c r="V291" s="188">
        <v>373</v>
      </c>
      <c r="W291" s="188">
        <v>382</v>
      </c>
      <c r="X291" s="188">
        <v>391</v>
      </c>
      <c r="Y291" s="195"/>
      <c r="Z291" s="188">
        <v>1.3</v>
      </c>
      <c r="AA291" s="188">
        <v>486</v>
      </c>
      <c r="AB291" s="188">
        <v>495</v>
      </c>
      <c r="AC291" s="188">
        <v>504</v>
      </c>
      <c r="AD291" s="188">
        <v>514</v>
      </c>
      <c r="AE291" s="188">
        <v>524</v>
      </c>
      <c r="AF291" s="188">
        <v>533</v>
      </c>
      <c r="AG291" s="188">
        <v>563</v>
      </c>
      <c r="AH291" s="188">
        <v>574</v>
      </c>
      <c r="AI291" s="188">
        <v>584</v>
      </c>
      <c r="AJ291" s="188">
        <v>585</v>
      </c>
      <c r="AQ291" s="163"/>
      <c r="AR291" s="163"/>
      <c r="AS291" s="170"/>
      <c r="AT291" s="163"/>
      <c r="AU291" s="163"/>
      <c r="AV291" s="163"/>
      <c r="AW291" s="169"/>
      <c r="AX291" s="163"/>
      <c r="AY291" s="163"/>
      <c r="AZ291" s="164"/>
      <c r="BA291" s="163"/>
      <c r="BB291" s="163"/>
      <c r="BC291" s="163"/>
      <c r="BD291" s="163"/>
      <c r="BE291" s="163"/>
      <c r="BF291" s="163"/>
      <c r="BH291" s="163"/>
      <c r="BI291" s="171"/>
    </row>
    <row r="292" spans="2:72" s="158" customFormat="1" ht="48.75" customHeight="1" x14ac:dyDescent="0.25">
      <c r="B292" s="188">
        <v>1.4</v>
      </c>
      <c r="C292" s="188">
        <v>300</v>
      </c>
      <c r="D292" s="188">
        <v>320</v>
      </c>
      <c r="E292" s="188">
        <v>350</v>
      </c>
      <c r="F292" s="188">
        <v>380</v>
      </c>
      <c r="G292" s="188">
        <v>410</v>
      </c>
      <c r="H292" s="188">
        <v>430</v>
      </c>
      <c r="I292" s="188">
        <v>460</v>
      </c>
      <c r="J292" s="188">
        <v>500</v>
      </c>
      <c r="K292" s="188">
        <v>540</v>
      </c>
      <c r="L292" s="188">
        <v>580</v>
      </c>
      <c r="M292" s="195"/>
      <c r="N292" s="188">
        <v>1.4</v>
      </c>
      <c r="O292" s="188">
        <v>400</v>
      </c>
      <c r="P292" s="188">
        <v>410</v>
      </c>
      <c r="Q292" s="188">
        <v>420</v>
      </c>
      <c r="R292" s="188">
        <v>430</v>
      </c>
      <c r="S292" s="188">
        <v>440</v>
      </c>
      <c r="T292" s="188">
        <v>450</v>
      </c>
      <c r="U292" s="188">
        <v>464</v>
      </c>
      <c r="V292" s="188">
        <v>478</v>
      </c>
      <c r="W292" s="188">
        <v>492</v>
      </c>
      <c r="X292" s="188">
        <v>506</v>
      </c>
      <c r="Y292" s="195"/>
      <c r="Z292" s="188">
        <v>1.4</v>
      </c>
      <c r="AA292" s="188">
        <v>586</v>
      </c>
      <c r="AB292" s="188">
        <v>598</v>
      </c>
      <c r="AC292" s="188">
        <v>610</v>
      </c>
      <c r="AD292" s="188">
        <v>622</v>
      </c>
      <c r="AE292" s="188">
        <v>634</v>
      </c>
      <c r="AF292" s="188">
        <v>646</v>
      </c>
      <c r="AG292" s="188">
        <v>658</v>
      </c>
      <c r="AH292" s="188">
        <v>670</v>
      </c>
      <c r="AI292" s="188">
        <v>683</v>
      </c>
      <c r="AJ292" s="188">
        <v>696</v>
      </c>
      <c r="AQ292" s="163"/>
      <c r="AR292" s="163"/>
      <c r="AS292" s="170"/>
      <c r="AT292" s="163"/>
      <c r="AU292" s="163"/>
      <c r="AV292" s="163"/>
      <c r="AW292" s="169"/>
      <c r="AX292" s="163"/>
      <c r="AY292" s="163"/>
      <c r="AZ292" s="164"/>
      <c r="BA292" s="163"/>
      <c r="BB292" s="163"/>
      <c r="BC292" s="163"/>
      <c r="BD292" s="163"/>
      <c r="BE292" s="163"/>
      <c r="BF292" s="163"/>
      <c r="BH292" s="163"/>
      <c r="BI292" s="171"/>
    </row>
    <row r="293" spans="2:72" s="158" customFormat="1" ht="48.75" customHeight="1" x14ac:dyDescent="0.25">
      <c r="B293" s="188">
        <v>1.5</v>
      </c>
      <c r="C293" s="188">
        <v>620</v>
      </c>
      <c r="D293" s="188">
        <v>670</v>
      </c>
      <c r="E293" s="188">
        <v>780</v>
      </c>
      <c r="F293" s="188">
        <v>890</v>
      </c>
      <c r="G293" s="188">
        <v>1000</v>
      </c>
      <c r="H293" s="188">
        <v>1130</v>
      </c>
      <c r="I293" s="188">
        <v>1240</v>
      </c>
      <c r="J293" s="188">
        <v>1350</v>
      </c>
      <c r="K293" s="188">
        <v>1460</v>
      </c>
      <c r="L293" s="188">
        <v>1580</v>
      </c>
      <c r="M293" s="195"/>
      <c r="N293" s="188">
        <v>1.5</v>
      </c>
      <c r="O293" s="188">
        <v>520</v>
      </c>
      <c r="P293" s="188">
        <v>542</v>
      </c>
      <c r="Q293" s="188">
        <v>564</v>
      </c>
      <c r="R293" s="188">
        <v>586</v>
      </c>
      <c r="S293" s="188">
        <v>608</v>
      </c>
      <c r="T293" s="188">
        <v>630</v>
      </c>
      <c r="U293" s="188">
        <v>654</v>
      </c>
      <c r="V293" s="188">
        <v>678</v>
      </c>
      <c r="W293" s="188">
        <v>702</v>
      </c>
      <c r="X293" s="188">
        <v>726</v>
      </c>
      <c r="Y293" s="195"/>
      <c r="Z293" s="188">
        <v>1.5</v>
      </c>
      <c r="AA293" s="188">
        <v>709</v>
      </c>
      <c r="AB293" s="188">
        <v>722</v>
      </c>
      <c r="AC293" s="188">
        <v>735</v>
      </c>
      <c r="AD293" s="188">
        <v>749</v>
      </c>
      <c r="AE293" s="188">
        <v>763</v>
      </c>
      <c r="AF293" s="188">
        <v>777</v>
      </c>
      <c r="AG293" s="188">
        <v>791</v>
      </c>
      <c r="AH293" s="188">
        <v>805</v>
      </c>
      <c r="AI293" s="188">
        <v>820</v>
      </c>
      <c r="AJ293" s="188">
        <v>835</v>
      </c>
      <c r="AQ293" s="163"/>
      <c r="AR293" s="163"/>
      <c r="AS293" s="170"/>
      <c r="AT293" s="163"/>
      <c r="AU293" s="163"/>
      <c r="AV293" s="163"/>
      <c r="AW293" s="169"/>
      <c r="AX293" s="163"/>
      <c r="AY293" s="163"/>
      <c r="AZ293" s="164"/>
      <c r="BA293" s="163"/>
      <c r="BB293" s="163"/>
    </row>
    <row r="294" spans="2:72" s="158" customFormat="1" ht="48.75" customHeight="1" x14ac:dyDescent="0.25">
      <c r="B294" s="188">
        <v>1.6</v>
      </c>
      <c r="C294" s="188">
        <v>1700</v>
      </c>
      <c r="D294" s="188">
        <v>1860</v>
      </c>
      <c r="E294" s="188">
        <v>2020</v>
      </c>
      <c r="F294" s="188">
        <v>2180</v>
      </c>
      <c r="G294" s="188">
        <v>2340</v>
      </c>
      <c r="H294" s="188">
        <v>2500</v>
      </c>
      <c r="I294" s="188">
        <v>2700</v>
      </c>
      <c r="J294" s="188">
        <v>2800</v>
      </c>
      <c r="K294" s="188">
        <v>3000</v>
      </c>
      <c r="L294" s="188">
        <v>3200</v>
      </c>
      <c r="M294" s="195"/>
      <c r="N294" s="188">
        <v>1.6</v>
      </c>
      <c r="O294" s="188">
        <v>750</v>
      </c>
      <c r="P294" s="188">
        <v>788</v>
      </c>
      <c r="Q294" s="188">
        <v>826</v>
      </c>
      <c r="R294" s="188">
        <v>864</v>
      </c>
      <c r="S294" s="188">
        <v>902</v>
      </c>
      <c r="T294" s="188">
        <v>940</v>
      </c>
      <c r="U294" s="188">
        <v>982</v>
      </c>
      <c r="V294" s="188">
        <v>1020</v>
      </c>
      <c r="W294" s="188">
        <v>1070</v>
      </c>
      <c r="X294" s="188">
        <v>1110</v>
      </c>
      <c r="Y294" s="195"/>
      <c r="Z294" s="188">
        <v>1.6</v>
      </c>
      <c r="AA294" s="188">
        <v>850</v>
      </c>
      <c r="AB294" s="188">
        <v>878</v>
      </c>
      <c r="AC294" s="188">
        <v>906</v>
      </c>
      <c r="AD294" s="188">
        <v>934</v>
      </c>
      <c r="AE294" s="188">
        <v>962</v>
      </c>
      <c r="AF294" s="188">
        <v>990</v>
      </c>
      <c r="AG294" s="188">
        <v>1020</v>
      </c>
      <c r="AH294" s="188">
        <v>1050</v>
      </c>
      <c r="AI294" s="188">
        <v>1080</v>
      </c>
      <c r="AJ294" s="188">
        <v>1110</v>
      </c>
      <c r="AQ294" s="163"/>
      <c r="AR294" s="163"/>
      <c r="AS294" s="170"/>
      <c r="AT294" s="163"/>
      <c r="AU294" s="163"/>
      <c r="AV294" s="163"/>
      <c r="AW294" s="169"/>
      <c r="AX294" s="163"/>
      <c r="AY294" s="163"/>
      <c r="AZ294" s="164"/>
      <c r="BA294" s="163"/>
      <c r="BB294" s="163"/>
    </row>
    <row r="295" spans="2:72" s="158" customFormat="1" ht="48.75" customHeight="1" x14ac:dyDescent="0.25">
      <c r="B295" s="188">
        <v>1.7</v>
      </c>
      <c r="C295" s="188">
        <v>3400</v>
      </c>
      <c r="D295" s="188">
        <v>3700</v>
      </c>
      <c r="E295" s="188">
        <v>4000</v>
      </c>
      <c r="F295" s="188">
        <v>4300</v>
      </c>
      <c r="G295" s="188">
        <v>4700</v>
      </c>
      <c r="H295" s="188">
        <v>5000</v>
      </c>
      <c r="I295" s="188">
        <v>5400</v>
      </c>
      <c r="J295" s="188">
        <v>5800</v>
      </c>
      <c r="K295" s="188">
        <v>6200</v>
      </c>
      <c r="L295" s="188">
        <v>6600</v>
      </c>
      <c r="M295" s="195"/>
      <c r="N295" s="188">
        <v>1.7</v>
      </c>
      <c r="O295" s="188">
        <v>1150</v>
      </c>
      <c r="P295" s="188">
        <v>1220</v>
      </c>
      <c r="Q295" s="188">
        <v>1290</v>
      </c>
      <c r="R295" s="188">
        <v>1360</v>
      </c>
      <c r="S295" s="188">
        <v>1430</v>
      </c>
      <c r="T295" s="188">
        <v>1500</v>
      </c>
      <c r="U295" s="188">
        <v>1600</v>
      </c>
      <c r="V295" s="188">
        <v>1700</v>
      </c>
      <c r="W295" s="188">
        <v>1800</v>
      </c>
      <c r="X295" s="188">
        <v>1900</v>
      </c>
      <c r="Y295" s="195"/>
      <c r="Z295" s="188">
        <v>1.7</v>
      </c>
      <c r="AA295" s="188">
        <v>1150</v>
      </c>
      <c r="AB295" s="188">
        <v>1180</v>
      </c>
      <c r="AC295" s="188">
        <v>1220</v>
      </c>
      <c r="AD295" s="188">
        <v>1250</v>
      </c>
      <c r="AE295" s="188">
        <v>1290</v>
      </c>
      <c r="AF295" s="188">
        <v>1330</v>
      </c>
      <c r="AG295" s="188">
        <v>1360</v>
      </c>
      <c r="AH295" s="188">
        <v>1400</v>
      </c>
      <c r="AI295" s="188">
        <v>1440</v>
      </c>
      <c r="AJ295" s="188">
        <v>1480</v>
      </c>
      <c r="AQ295" s="163"/>
      <c r="AR295" s="163"/>
      <c r="AS295" s="170"/>
      <c r="AT295" s="163"/>
      <c r="AU295" s="163"/>
      <c r="AV295" s="163"/>
      <c r="AW295" s="169"/>
      <c r="AX295" s="163"/>
      <c r="AY295" s="163"/>
      <c r="AZ295" s="164"/>
      <c r="BA295" s="163"/>
      <c r="BB295" s="163"/>
    </row>
    <row r="296" spans="2:72" ht="48.75" customHeight="1" x14ac:dyDescent="0.25">
      <c r="B296" s="188">
        <v>1.8</v>
      </c>
      <c r="C296" s="188">
        <v>7000</v>
      </c>
      <c r="D296" s="188">
        <v>7500</v>
      </c>
      <c r="E296" s="188">
        <v>8000</v>
      </c>
      <c r="F296" s="188">
        <v>8500</v>
      </c>
      <c r="G296" s="188">
        <v>9200</v>
      </c>
      <c r="H296" s="188">
        <v>10000</v>
      </c>
      <c r="I296" s="188">
        <v>10600</v>
      </c>
      <c r="J296" s="188">
        <v>11200</v>
      </c>
      <c r="K296" s="188">
        <v>11800</v>
      </c>
      <c r="L296" s="188">
        <v>12400</v>
      </c>
      <c r="M296" s="195"/>
      <c r="N296" s="188">
        <v>1.8</v>
      </c>
      <c r="O296" s="188">
        <v>2000</v>
      </c>
      <c r="P296" s="188">
        <v>2160</v>
      </c>
      <c r="Q296" s="188">
        <v>2320</v>
      </c>
      <c r="R296" s="188">
        <v>2490</v>
      </c>
      <c r="S296" s="188">
        <v>2650</v>
      </c>
      <c r="T296" s="188">
        <v>2810</v>
      </c>
      <c r="U296" s="188">
        <v>2960</v>
      </c>
      <c r="V296" s="188">
        <v>3110</v>
      </c>
      <c r="W296" s="188">
        <v>3270</v>
      </c>
      <c r="X296" s="188">
        <v>3420</v>
      </c>
      <c r="Y296" s="195"/>
      <c r="Z296" s="188">
        <v>1.8</v>
      </c>
      <c r="AA296" s="188">
        <v>1520</v>
      </c>
      <c r="AB296" s="188">
        <v>1570</v>
      </c>
      <c r="AC296" s="188">
        <v>1620</v>
      </c>
      <c r="AD296" s="188">
        <v>1670</v>
      </c>
      <c r="AE296" s="188">
        <v>1720</v>
      </c>
      <c r="AF296" s="188">
        <v>1770</v>
      </c>
      <c r="AG296" s="188">
        <v>1830</v>
      </c>
      <c r="AH296" s="188">
        <v>1890</v>
      </c>
      <c r="AI296" s="188">
        <v>1950</v>
      </c>
      <c r="AJ296" s="188">
        <v>2010</v>
      </c>
      <c r="AN296" s="136"/>
      <c r="AO296" s="136"/>
      <c r="AP296" s="136"/>
      <c r="AQ296" s="136"/>
      <c r="AR296" s="124"/>
      <c r="AS296" s="135"/>
      <c r="AT296" s="124"/>
      <c r="AU296" s="124"/>
      <c r="AV296" s="124"/>
      <c r="AW296" s="124"/>
      <c r="AX296" s="124"/>
      <c r="AY296" s="124"/>
      <c r="AZ296" s="124"/>
      <c r="BA296" s="124"/>
      <c r="BB296" s="124"/>
      <c r="BE296" s="124"/>
      <c r="BF296" s="124"/>
      <c r="BG296" s="124"/>
      <c r="BI296" s="140"/>
    </row>
    <row r="297" spans="2:72" ht="48.75" customHeight="1" x14ac:dyDescent="0.25">
      <c r="B297" s="188">
        <v>1.9</v>
      </c>
      <c r="C297" s="188">
        <v>13000</v>
      </c>
      <c r="D297" s="188">
        <v>13600</v>
      </c>
      <c r="E297" s="188">
        <v>14200</v>
      </c>
      <c r="F297" s="188">
        <v>14800</v>
      </c>
      <c r="G297" s="188">
        <v>15600</v>
      </c>
      <c r="H297" s="188">
        <v>16500</v>
      </c>
      <c r="I297" s="188">
        <v>17300</v>
      </c>
      <c r="J297" s="188">
        <v>18100</v>
      </c>
      <c r="K297" s="188">
        <v>18900</v>
      </c>
      <c r="L297" s="188">
        <v>19800</v>
      </c>
      <c r="M297" s="195"/>
      <c r="N297" s="188">
        <v>1.9</v>
      </c>
      <c r="O297" s="188">
        <v>3570</v>
      </c>
      <c r="P297" s="188">
        <v>3800</v>
      </c>
      <c r="Q297" s="188">
        <v>4030</v>
      </c>
      <c r="R297" s="188">
        <v>4260</v>
      </c>
      <c r="S297" s="188">
        <v>4490</v>
      </c>
      <c r="T297" s="188">
        <v>4720</v>
      </c>
      <c r="U297" s="188">
        <v>4930</v>
      </c>
      <c r="V297" s="188">
        <v>5140</v>
      </c>
      <c r="W297" s="188">
        <v>5350</v>
      </c>
      <c r="X297" s="188">
        <v>5560</v>
      </c>
      <c r="Y297" s="195"/>
      <c r="Z297" s="188">
        <v>1.9</v>
      </c>
      <c r="AA297" s="188">
        <v>2070</v>
      </c>
      <c r="AB297" s="188">
        <v>2160</v>
      </c>
      <c r="AC297" s="188">
        <v>2250</v>
      </c>
      <c r="AD297" s="188">
        <v>2340</v>
      </c>
      <c r="AE297" s="188">
        <v>2430</v>
      </c>
      <c r="AF297" s="188">
        <v>2520</v>
      </c>
      <c r="AG297" s="188">
        <v>2640</v>
      </c>
      <c r="AH297" s="188">
        <v>2760</v>
      </c>
      <c r="AI297" s="188">
        <v>2890</v>
      </c>
      <c r="AJ297" s="188">
        <v>3020</v>
      </c>
      <c r="AQ297" s="124"/>
      <c r="AR297" s="124"/>
      <c r="AS297" s="124"/>
      <c r="AT297" s="124"/>
      <c r="AU297" s="124"/>
      <c r="AV297" s="124"/>
      <c r="AW297" s="124"/>
      <c r="AX297" s="124"/>
      <c r="AY297" s="124"/>
      <c r="AZ297" s="124"/>
      <c r="BA297" s="124"/>
      <c r="BB297" s="124"/>
      <c r="BC297" s="124"/>
      <c r="BD297" s="124"/>
      <c r="BE297" s="124"/>
      <c r="BG297" s="124"/>
    </row>
    <row r="298" spans="2:72" ht="48.75" customHeight="1" x14ac:dyDescent="0.25">
      <c r="B298" s="188">
        <v>2</v>
      </c>
      <c r="C298" s="188">
        <v>20700</v>
      </c>
      <c r="D298" s="188">
        <v>22600</v>
      </c>
      <c r="E298" s="188">
        <v>24400</v>
      </c>
      <c r="F298" s="188">
        <v>26300</v>
      </c>
      <c r="G298" s="188">
        <v>28100</v>
      </c>
      <c r="H298" s="188">
        <v>30000</v>
      </c>
      <c r="I298" s="188">
        <v>36000</v>
      </c>
      <c r="J298" s="188">
        <v>42000</v>
      </c>
      <c r="K298" s="188">
        <v>48000</v>
      </c>
      <c r="L298" s="188">
        <v>54000</v>
      </c>
      <c r="M298" s="195"/>
      <c r="N298" s="188">
        <v>2</v>
      </c>
      <c r="O298" s="188">
        <v>5770</v>
      </c>
      <c r="P298" s="188">
        <v>6000</v>
      </c>
      <c r="Q298" s="188">
        <v>6300</v>
      </c>
      <c r="R298" s="188">
        <v>6600</v>
      </c>
      <c r="S298" s="188">
        <v>7000</v>
      </c>
      <c r="T298" s="188">
        <v>7400</v>
      </c>
      <c r="U298" s="188">
        <v>7900</v>
      </c>
      <c r="V298" s="188">
        <v>8400</v>
      </c>
      <c r="W298" s="188">
        <v>9000</v>
      </c>
      <c r="X298" s="188">
        <v>9700</v>
      </c>
      <c r="Y298" s="195"/>
      <c r="Z298" s="188">
        <v>2</v>
      </c>
      <c r="AA298" s="188">
        <v>3150</v>
      </c>
      <c r="AB298" s="188">
        <v>3320</v>
      </c>
      <c r="AC298" s="188">
        <v>3500</v>
      </c>
      <c r="AD298" s="188">
        <v>3680</v>
      </c>
      <c r="AE298" s="188">
        <v>3860</v>
      </c>
      <c r="AF298" s="188">
        <v>4040</v>
      </c>
      <c r="AG298" s="188">
        <v>4260</v>
      </c>
      <c r="AH298" s="188">
        <v>4480</v>
      </c>
      <c r="AI298" s="188">
        <v>4700</v>
      </c>
      <c r="AJ298" s="188">
        <v>4920</v>
      </c>
      <c r="AQ298" s="124"/>
      <c r="AR298" s="124"/>
      <c r="AS298" s="124"/>
      <c r="AT298" s="124"/>
      <c r="AU298" s="124"/>
      <c r="AV298" s="124"/>
      <c r="AW298" s="124"/>
      <c r="AX298" s="124"/>
      <c r="AY298" s="124"/>
      <c r="AZ298" s="124"/>
      <c r="BI298" s="124"/>
      <c r="BJ298" s="124"/>
      <c r="BK298" s="124"/>
      <c r="BL298" s="124"/>
      <c r="BM298" s="124"/>
      <c r="BN298" s="124"/>
      <c r="BO298" s="124"/>
      <c r="BP298" s="124"/>
      <c r="BQ298" s="124"/>
      <c r="BR298" s="124"/>
      <c r="BS298" s="139"/>
      <c r="BT298" s="124"/>
    </row>
    <row r="299" spans="2:72" ht="48.75" customHeight="1" x14ac:dyDescent="0.25">
      <c r="B299" s="188">
        <v>2.1</v>
      </c>
      <c r="C299" s="188">
        <v>60000</v>
      </c>
      <c r="D299" s="188">
        <v>67000</v>
      </c>
      <c r="E299" s="188">
        <v>74000</v>
      </c>
      <c r="F299" s="188">
        <v>81000</v>
      </c>
      <c r="G299" s="188">
        <v>88000</v>
      </c>
      <c r="H299" s="188">
        <v>95000</v>
      </c>
      <c r="I299" s="188">
        <v>102000</v>
      </c>
      <c r="J299" s="188">
        <v>109000</v>
      </c>
      <c r="K299" s="188">
        <v>116000</v>
      </c>
      <c r="L299" s="188">
        <v>123000</v>
      </c>
      <c r="M299" s="195"/>
      <c r="N299" s="731"/>
      <c r="O299" s="732"/>
      <c r="P299" s="732"/>
      <c r="Q299" s="732"/>
      <c r="R299" s="732"/>
      <c r="S299" s="732"/>
      <c r="T299" s="732"/>
      <c r="U299" s="732"/>
      <c r="V299" s="732"/>
      <c r="W299" s="732"/>
      <c r="X299" s="733"/>
      <c r="Y299" s="195"/>
      <c r="Z299" s="188">
        <v>2.1</v>
      </c>
      <c r="AA299" s="188">
        <v>5140</v>
      </c>
      <c r="AB299" s="188">
        <v>5440</v>
      </c>
      <c r="AC299" s="188">
        <v>5740</v>
      </c>
      <c r="AD299" s="188">
        <v>6050</v>
      </c>
      <c r="AE299" s="188">
        <v>6360</v>
      </c>
      <c r="AF299" s="188">
        <v>6670</v>
      </c>
      <c r="AG299" s="188">
        <v>7120</v>
      </c>
      <c r="AH299" s="188">
        <v>7570</v>
      </c>
      <c r="AI299" s="188">
        <v>8020</v>
      </c>
      <c r="AJ299" s="188">
        <v>8470</v>
      </c>
      <c r="AQ299" s="124"/>
      <c r="AR299" s="124"/>
      <c r="AS299" s="135"/>
      <c r="AT299" s="131"/>
      <c r="AU299" s="131"/>
      <c r="AV299" s="132"/>
      <c r="AW299" s="132"/>
      <c r="AX299" s="132"/>
      <c r="AY299" s="133"/>
      <c r="AZ299" s="137"/>
      <c r="BI299" s="23"/>
      <c r="BL299" s="125"/>
      <c r="BM299" s="125"/>
      <c r="BN299" s="125"/>
      <c r="BO299" s="125"/>
      <c r="BP299" s="125"/>
      <c r="BQ299" s="125"/>
      <c r="BR299" s="125"/>
      <c r="BS299" s="140"/>
      <c r="BT299" s="125"/>
    </row>
    <row r="300" spans="2:72" ht="48.75" customHeight="1" x14ac:dyDescent="0.25">
      <c r="B300" s="188">
        <v>2.2000000000000002</v>
      </c>
      <c r="C300" s="188">
        <v>130000</v>
      </c>
      <c r="D300" s="188">
        <v>138000</v>
      </c>
      <c r="E300" s="188">
        <v>146000</v>
      </c>
      <c r="F300" s="188">
        <v>154000</v>
      </c>
      <c r="G300" s="188">
        <v>162000</v>
      </c>
      <c r="H300" s="188">
        <v>170000</v>
      </c>
      <c r="I300" s="188">
        <v>178000</v>
      </c>
      <c r="J300" s="188">
        <v>186000</v>
      </c>
      <c r="K300" s="188">
        <v>194000</v>
      </c>
      <c r="L300" s="188">
        <v>202000</v>
      </c>
      <c r="M300" s="195"/>
      <c r="N300" s="734"/>
      <c r="O300" s="638"/>
      <c r="P300" s="638"/>
      <c r="Q300" s="638"/>
      <c r="R300" s="638"/>
      <c r="S300" s="638"/>
      <c r="T300" s="638"/>
      <c r="U300" s="638"/>
      <c r="V300" s="638"/>
      <c r="W300" s="638"/>
      <c r="X300" s="735"/>
      <c r="Y300" s="195"/>
      <c r="Z300" s="188">
        <v>2.2000000000000002</v>
      </c>
      <c r="AA300" s="188">
        <v>8920</v>
      </c>
      <c r="AB300" s="188">
        <v>9430</v>
      </c>
      <c r="AC300" s="188">
        <v>9940</v>
      </c>
      <c r="AD300" s="188">
        <v>10460</v>
      </c>
      <c r="AE300" s="188">
        <v>10980</v>
      </c>
      <c r="AF300" s="188">
        <v>11500</v>
      </c>
      <c r="AG300" s="188">
        <v>12000</v>
      </c>
      <c r="AH300" s="188">
        <v>12600</v>
      </c>
      <c r="AI300" s="188">
        <v>13200</v>
      </c>
      <c r="AJ300" s="188">
        <v>13800</v>
      </c>
      <c r="AQ300" s="124"/>
      <c r="AR300" s="124"/>
      <c r="AS300" s="135"/>
      <c r="AT300" s="138"/>
      <c r="AU300" s="138"/>
      <c r="AV300" s="138"/>
      <c r="AW300" s="138"/>
      <c r="AX300" s="138"/>
      <c r="AY300" s="138"/>
      <c r="AZ300" s="138"/>
      <c r="BI300" s="23"/>
      <c r="BL300" s="125"/>
      <c r="BM300" s="125"/>
      <c r="BN300" s="125"/>
      <c r="BO300" s="125"/>
      <c r="BP300" s="125"/>
      <c r="BQ300" s="125"/>
      <c r="BR300" s="125"/>
      <c r="BS300" s="140"/>
      <c r="BT300" s="125"/>
    </row>
    <row r="301" spans="2:72" ht="48.75" customHeight="1" x14ac:dyDescent="0.25">
      <c r="B301" s="188">
        <v>2.2999999999999998</v>
      </c>
      <c r="C301" s="188">
        <v>210000</v>
      </c>
      <c r="D301" s="188">
        <v>218000</v>
      </c>
      <c r="E301" s="188">
        <v>226000</v>
      </c>
      <c r="F301" s="188">
        <v>234000</v>
      </c>
      <c r="G301" s="188">
        <v>242000</v>
      </c>
      <c r="H301" s="188">
        <v>250000</v>
      </c>
      <c r="I301" s="188">
        <v>258000</v>
      </c>
      <c r="J301" s="188">
        <v>266000</v>
      </c>
      <c r="K301" s="188">
        <v>274000</v>
      </c>
      <c r="L301" s="188">
        <v>282000</v>
      </c>
      <c r="M301" s="195"/>
      <c r="N301" s="734"/>
      <c r="O301" s="638"/>
      <c r="P301" s="638"/>
      <c r="Q301" s="638"/>
      <c r="R301" s="638"/>
      <c r="S301" s="638"/>
      <c r="T301" s="638"/>
      <c r="U301" s="638"/>
      <c r="V301" s="638"/>
      <c r="W301" s="638"/>
      <c r="X301" s="735"/>
      <c r="Y301" s="195"/>
      <c r="Z301" s="188">
        <v>2.2999999999999998</v>
      </c>
      <c r="AA301" s="188">
        <v>14400</v>
      </c>
      <c r="AB301" s="188">
        <v>15100</v>
      </c>
      <c r="AC301" s="188">
        <v>15800</v>
      </c>
      <c r="AD301" s="188">
        <v>16500</v>
      </c>
      <c r="AE301" s="188">
        <v>17200</v>
      </c>
      <c r="AF301" s="188">
        <v>18000</v>
      </c>
      <c r="AG301" s="188">
        <v>18800</v>
      </c>
      <c r="AH301" s="188">
        <v>19600</v>
      </c>
      <c r="AI301" s="188">
        <v>20500</v>
      </c>
      <c r="AJ301" s="189">
        <v>21400</v>
      </c>
      <c r="AQ301" s="124"/>
      <c r="AR301" s="124"/>
      <c r="AS301" s="135"/>
      <c r="AT301" s="138"/>
      <c r="AU301" s="138"/>
      <c r="AV301" s="138"/>
      <c r="AW301" s="138"/>
      <c r="AX301" s="138"/>
      <c r="AY301" s="138"/>
      <c r="AZ301" s="138"/>
      <c r="BI301" s="23"/>
      <c r="BL301" s="125"/>
      <c r="BM301" s="125"/>
      <c r="BN301" s="125"/>
      <c r="BO301" s="125"/>
      <c r="BP301" s="125"/>
      <c r="BQ301" s="125"/>
      <c r="BR301" s="125"/>
      <c r="BS301" s="140"/>
      <c r="BT301" s="125"/>
    </row>
    <row r="302" spans="2:72" ht="48.75" customHeight="1" x14ac:dyDescent="0.25">
      <c r="B302" s="188">
        <v>2.4</v>
      </c>
      <c r="C302" s="188">
        <v>290000</v>
      </c>
      <c r="D302" s="188">
        <v>298000</v>
      </c>
      <c r="E302" s="188">
        <v>306000</v>
      </c>
      <c r="F302" s="188">
        <v>314000</v>
      </c>
      <c r="G302" s="188">
        <v>322000</v>
      </c>
      <c r="H302" s="188">
        <v>330000</v>
      </c>
      <c r="I302" s="188">
        <v>338000</v>
      </c>
      <c r="J302" s="188">
        <v>346000</v>
      </c>
      <c r="K302" s="188">
        <v>354000</v>
      </c>
      <c r="L302" s="188">
        <v>362000</v>
      </c>
      <c r="M302" s="196"/>
      <c r="N302" s="736"/>
      <c r="O302" s="639"/>
      <c r="P302" s="639"/>
      <c r="Q302" s="639"/>
      <c r="R302" s="639"/>
      <c r="S302" s="639"/>
      <c r="T302" s="639"/>
      <c r="U302" s="639"/>
      <c r="V302" s="639"/>
      <c r="W302" s="639"/>
      <c r="X302" s="737"/>
      <c r="Y302" s="196"/>
      <c r="Z302" s="197"/>
      <c r="AA302" s="197"/>
      <c r="AB302" s="197"/>
      <c r="AC302" s="197"/>
      <c r="AD302" s="197"/>
      <c r="AE302" s="197"/>
      <c r="AF302" s="197"/>
      <c r="AG302" s="197"/>
      <c r="AH302" s="197"/>
      <c r="AI302" s="197"/>
      <c r="AJ302" s="198"/>
      <c r="AQ302" s="124"/>
      <c r="AR302" s="124"/>
      <c r="AS302" s="124"/>
      <c r="AT302" s="124"/>
      <c r="AU302" s="124"/>
      <c r="AV302" s="124"/>
      <c r="AW302" s="124"/>
      <c r="AX302" s="124"/>
      <c r="AY302" s="124"/>
      <c r="AZ302" s="124"/>
      <c r="BS302" s="140"/>
      <c r="BT302" s="125"/>
    </row>
    <row r="303" spans="2:72" ht="48.75" customHeight="1" x14ac:dyDescent="0.25">
      <c r="B303" s="177"/>
      <c r="C303" s="177"/>
      <c r="D303" s="177"/>
      <c r="E303" s="177"/>
      <c r="F303" s="177"/>
      <c r="G303" s="177"/>
      <c r="H303" s="177"/>
      <c r="I303" s="177"/>
      <c r="J303" s="177"/>
      <c r="S303" s="22"/>
      <c r="T303" s="22"/>
      <c r="U303" s="22"/>
      <c r="AQ303" s="124"/>
      <c r="AR303" s="124"/>
      <c r="AS303" s="124"/>
      <c r="AT303" s="124"/>
      <c r="AU303" s="124"/>
      <c r="AV303" s="124"/>
      <c r="AW303" s="124"/>
      <c r="AX303" s="124"/>
      <c r="AY303" s="124"/>
      <c r="AZ303" s="124"/>
      <c r="BS303" s="140"/>
      <c r="BT303" s="125"/>
    </row>
    <row r="304" spans="2:72" ht="48.75" customHeight="1" x14ac:dyDescent="0.25">
      <c r="B304" s="177"/>
      <c r="C304" s="177"/>
      <c r="D304" s="177"/>
      <c r="E304" s="177"/>
      <c r="F304" s="177"/>
      <c r="G304" s="177"/>
      <c r="H304" s="177"/>
      <c r="I304" s="177"/>
      <c r="J304" s="177"/>
      <c r="S304" s="22"/>
      <c r="T304" s="22"/>
      <c r="U304" s="22"/>
      <c r="AQ304" s="124"/>
      <c r="AR304" s="124"/>
      <c r="AS304" s="124"/>
      <c r="AT304" s="124"/>
      <c r="AU304" s="124"/>
      <c r="AV304" s="124"/>
      <c r="AW304" s="124"/>
      <c r="AX304" s="124"/>
      <c r="AY304" s="124"/>
      <c r="AZ304" s="124"/>
      <c r="BS304" s="140"/>
      <c r="BT304" s="125"/>
    </row>
    <row r="305" spans="2:72" ht="48.75" customHeight="1" x14ac:dyDescent="0.25">
      <c r="B305" s="177"/>
      <c r="C305" s="177"/>
      <c r="D305" s="177"/>
      <c r="E305" s="177"/>
      <c r="F305" s="177"/>
      <c r="G305" s="177"/>
      <c r="H305" s="177"/>
      <c r="I305" s="177"/>
      <c r="J305" s="177"/>
      <c r="S305" s="22"/>
      <c r="T305" s="22"/>
      <c r="U305" s="22"/>
      <c r="AS305" s="124"/>
      <c r="AT305" s="124"/>
      <c r="AU305" s="124"/>
      <c r="AV305" s="124"/>
      <c r="AW305" s="124"/>
      <c r="AX305" s="124"/>
      <c r="AY305" s="124"/>
      <c r="AZ305" s="124"/>
      <c r="BS305" s="140"/>
      <c r="BT305" s="125"/>
    </row>
    <row r="306" spans="2:72" ht="48.75" customHeight="1" x14ac:dyDescent="0.25">
      <c r="B306" s="718" t="s">
        <v>830</v>
      </c>
      <c r="C306" s="718"/>
      <c r="D306" s="718"/>
      <c r="E306" s="718"/>
      <c r="F306" s="718"/>
      <c r="G306" s="718"/>
      <c r="H306" s="718"/>
      <c r="I306" s="718"/>
      <c r="J306" s="206"/>
      <c r="K306" s="158"/>
      <c r="L306" s="158"/>
      <c r="U306" s="22"/>
      <c r="AA306" s="288"/>
      <c r="AX306" s="22"/>
      <c r="AY306" s="124"/>
      <c r="AZ306" s="124"/>
      <c r="BI306" s="23"/>
      <c r="BL306" s="125"/>
      <c r="BM306" s="125"/>
      <c r="BN306" s="125"/>
      <c r="BO306" s="125"/>
      <c r="BP306" s="125"/>
      <c r="BQ306" s="125"/>
      <c r="BR306" s="125"/>
      <c r="BS306" s="140"/>
      <c r="BT306" s="125"/>
    </row>
    <row r="307" spans="2:72" ht="48.75" customHeight="1" x14ac:dyDescent="0.25">
      <c r="B307" s="446" t="s">
        <v>826</v>
      </c>
      <c r="C307" s="446" t="s">
        <v>827</v>
      </c>
      <c r="D307" s="446"/>
      <c r="E307" s="446"/>
      <c r="F307" s="446"/>
      <c r="G307" s="446"/>
      <c r="H307" s="446"/>
      <c r="I307" s="446"/>
      <c r="J307" s="446"/>
      <c r="K307" s="177"/>
      <c r="L307" s="177"/>
      <c r="M307" s="177"/>
      <c r="U307" s="22"/>
      <c r="AX307" s="22"/>
      <c r="AY307" s="124"/>
      <c r="AZ307" s="124"/>
      <c r="BI307" s="23"/>
      <c r="BL307" s="125"/>
      <c r="BM307" s="125"/>
      <c r="BN307" s="125"/>
      <c r="BO307" s="125"/>
      <c r="BP307" s="125"/>
      <c r="BQ307" s="125"/>
      <c r="BR307" s="125"/>
      <c r="BS307" s="140"/>
      <c r="BT307" s="125"/>
    </row>
    <row r="308" spans="2:72" ht="48.75" customHeight="1" x14ac:dyDescent="0.25">
      <c r="B308" s="446"/>
      <c r="C308" s="446" t="s">
        <v>828</v>
      </c>
      <c r="D308" s="446"/>
      <c r="E308" s="446"/>
      <c r="F308" s="446"/>
      <c r="G308" s="727" t="s">
        <v>829</v>
      </c>
      <c r="H308" s="728"/>
      <c r="I308" s="728"/>
      <c r="J308" s="797"/>
      <c r="K308" s="177"/>
      <c r="L308" s="177"/>
      <c r="M308" s="177"/>
      <c r="AA308" s="177"/>
      <c r="AB308" s="177"/>
      <c r="AC308" s="177"/>
      <c r="AD308" s="177"/>
      <c r="AX308" s="22"/>
      <c r="AY308" s="124"/>
      <c r="AZ308" s="124"/>
      <c r="BI308" s="23"/>
      <c r="BL308" s="125"/>
      <c r="BM308" s="125"/>
      <c r="BN308" s="125"/>
      <c r="BO308" s="125"/>
      <c r="BP308" s="125"/>
      <c r="BQ308" s="125"/>
      <c r="BR308" s="125"/>
      <c r="BS308" s="140"/>
      <c r="BT308" s="125"/>
    </row>
    <row r="309" spans="2:72" ht="48.75" customHeight="1" x14ac:dyDescent="0.25">
      <c r="B309" s="446"/>
      <c r="C309" s="446" t="s">
        <v>862</v>
      </c>
      <c r="D309" s="446"/>
      <c r="E309" s="446" t="s">
        <v>953</v>
      </c>
      <c r="F309" s="446"/>
      <c r="G309" s="446" t="s">
        <v>862</v>
      </c>
      <c r="H309" s="446"/>
      <c r="I309" s="727" t="s">
        <v>953</v>
      </c>
      <c r="J309" s="797"/>
      <c r="K309" s="177"/>
      <c r="L309" s="177"/>
      <c r="M309" s="800" t="s">
        <v>938</v>
      </c>
      <c r="N309" s="787"/>
      <c r="O309" s="787"/>
      <c r="P309" s="787"/>
      <c r="Q309" s="787"/>
      <c r="R309" s="787"/>
      <c r="S309" s="787"/>
      <c r="T309" s="787"/>
      <c r="U309" s="787"/>
      <c r="V309" s="788"/>
      <c r="W309" s="287"/>
      <c r="AA309" s="177"/>
      <c r="AB309" s="177"/>
      <c r="AC309" s="177"/>
      <c r="AD309" s="177"/>
      <c r="BI309" s="23"/>
      <c r="BL309" s="125"/>
      <c r="BM309" s="125"/>
      <c r="BN309" s="125"/>
      <c r="BO309" s="125"/>
      <c r="BP309" s="125"/>
      <c r="BQ309" s="125"/>
      <c r="BR309" s="125"/>
      <c r="BS309" s="140"/>
      <c r="BT309" s="125"/>
    </row>
    <row r="310" spans="2:72" ht="48.75" customHeight="1" x14ac:dyDescent="0.25">
      <c r="B310" s="205">
        <v>2</v>
      </c>
      <c r="C310" s="446">
        <v>1.2</v>
      </c>
      <c r="D310" s="446"/>
      <c r="E310" s="446">
        <v>0.26</v>
      </c>
      <c r="F310" s="446"/>
      <c r="G310" s="446">
        <v>1.45</v>
      </c>
      <c r="H310" s="446"/>
      <c r="I310" s="727">
        <v>0.44</v>
      </c>
      <c r="J310" s="797"/>
      <c r="K310" s="177"/>
      <c r="L310" s="177"/>
      <c r="M310" s="731"/>
      <c r="N310" s="732"/>
      <c r="O310" s="732"/>
      <c r="P310" s="732"/>
      <c r="Q310" s="732"/>
      <c r="R310" s="732"/>
      <c r="S310" s="732"/>
      <c r="T310" s="732"/>
      <c r="U310" s="732"/>
      <c r="V310" s="732"/>
      <c r="W310" s="733"/>
      <c r="AA310" s="177"/>
      <c r="AB310" s="177"/>
      <c r="AC310" s="177"/>
      <c r="AD310" s="177"/>
      <c r="BI310" s="23"/>
      <c r="BL310" s="125"/>
      <c r="BM310" s="125"/>
      <c r="BN310" s="125"/>
      <c r="BO310" s="125"/>
      <c r="BP310" s="125"/>
      <c r="BQ310" s="125"/>
      <c r="BR310" s="125"/>
      <c r="BS310" s="140"/>
      <c r="BT310" s="125"/>
    </row>
    <row r="311" spans="2:72" ht="48.75" customHeight="1" x14ac:dyDescent="0.25">
      <c r="B311" s="205">
        <v>4</v>
      </c>
      <c r="C311" s="446">
        <v>1.3</v>
      </c>
      <c r="D311" s="446"/>
      <c r="E311" s="446">
        <v>0.4</v>
      </c>
      <c r="F311" s="446"/>
      <c r="G311" s="446">
        <v>1.55</v>
      </c>
      <c r="H311" s="446"/>
      <c r="I311" s="727">
        <v>0.5</v>
      </c>
      <c r="J311" s="797"/>
      <c r="K311" s="177"/>
      <c r="L311" s="177"/>
      <c r="M311" s="734"/>
      <c r="N311" s="638"/>
      <c r="O311" s="638"/>
      <c r="P311" s="638"/>
      <c r="Q311" s="638"/>
      <c r="R311" s="638"/>
      <c r="S311" s="638"/>
      <c r="T311" s="638"/>
      <c r="U311" s="638"/>
      <c r="V311" s="638"/>
      <c r="W311" s="735"/>
      <c r="AA311" s="177"/>
      <c r="AB311" s="177"/>
      <c r="AC311" s="177"/>
      <c r="AD311" s="177"/>
      <c r="BI311" s="23"/>
    </row>
    <row r="312" spans="2:72" ht="48.75" customHeight="1" x14ac:dyDescent="0.25">
      <c r="B312" s="205">
        <v>6</v>
      </c>
      <c r="C312" s="446">
        <v>1.4</v>
      </c>
      <c r="D312" s="446"/>
      <c r="E312" s="446">
        <v>0.5</v>
      </c>
      <c r="F312" s="446"/>
      <c r="G312" s="446">
        <v>1.75</v>
      </c>
      <c r="H312" s="446"/>
      <c r="I312" s="727">
        <v>0.62</v>
      </c>
      <c r="J312" s="797"/>
      <c r="K312" s="177"/>
      <c r="L312" s="177"/>
      <c r="M312" s="734"/>
      <c r="N312" s="638"/>
      <c r="O312" s="638"/>
      <c r="P312" s="638"/>
      <c r="Q312" s="638"/>
      <c r="R312" s="638"/>
      <c r="S312" s="638"/>
      <c r="T312" s="638"/>
      <c r="U312" s="638"/>
      <c r="V312" s="638"/>
      <c r="W312" s="735"/>
      <c r="BI312" s="23"/>
    </row>
    <row r="313" spans="2:72" ht="48.75" customHeight="1" x14ac:dyDescent="0.25">
      <c r="B313" s="213" t="s">
        <v>863</v>
      </c>
      <c r="C313" s="446">
        <v>1.5</v>
      </c>
      <c r="D313" s="446"/>
      <c r="E313" s="446">
        <v>0.5</v>
      </c>
      <c r="F313" s="446"/>
      <c r="G313" s="446">
        <v>1.9</v>
      </c>
      <c r="H313" s="446"/>
      <c r="I313" s="727">
        <v>0.72</v>
      </c>
      <c r="J313" s="797"/>
      <c r="K313" s="177"/>
      <c r="L313" s="177"/>
      <c r="M313" s="734"/>
      <c r="N313" s="638"/>
      <c r="O313" s="638"/>
      <c r="P313" s="638"/>
      <c r="Q313" s="638"/>
      <c r="R313" s="638"/>
      <c r="S313" s="638"/>
      <c r="T313" s="638"/>
      <c r="U313" s="638"/>
      <c r="V313" s="638"/>
      <c r="W313" s="735"/>
      <c r="BI313" s="23"/>
    </row>
    <row r="314" spans="2:72" ht="48.75" customHeight="1" x14ac:dyDescent="0.25">
      <c r="B314" s="177"/>
      <c r="C314" s="177"/>
      <c r="D314" s="177"/>
      <c r="E314" s="177"/>
      <c r="F314" s="177"/>
      <c r="G314" s="177"/>
      <c r="H314" s="177"/>
      <c r="I314" s="177"/>
      <c r="J314" s="177"/>
      <c r="K314" s="177"/>
      <c r="L314" s="177"/>
      <c r="M314" s="734"/>
      <c r="N314" s="638"/>
      <c r="O314" s="638"/>
      <c r="P314" s="638"/>
      <c r="Q314" s="638"/>
      <c r="R314" s="638"/>
      <c r="S314" s="638"/>
      <c r="T314" s="638"/>
      <c r="U314" s="638"/>
      <c r="V314" s="638"/>
      <c r="W314" s="735"/>
      <c r="BI314" s="23"/>
    </row>
    <row r="315" spans="2:72" s="158" customFormat="1" ht="48.75" customHeight="1" x14ac:dyDescent="0.25">
      <c r="B315" s="177"/>
      <c r="C315" s="177"/>
      <c r="D315" s="177"/>
      <c r="E315" s="177"/>
      <c r="F315" s="177"/>
      <c r="G315" s="177"/>
      <c r="H315" s="177"/>
      <c r="I315" s="177"/>
      <c r="J315" s="177"/>
      <c r="K315" s="177"/>
      <c r="L315" s="177"/>
      <c r="M315" s="734"/>
      <c r="N315" s="638"/>
      <c r="O315" s="638"/>
      <c r="P315" s="638"/>
      <c r="Q315" s="638"/>
      <c r="R315" s="638"/>
      <c r="S315" s="638"/>
      <c r="T315" s="638"/>
      <c r="U315" s="638"/>
      <c r="V315" s="638"/>
      <c r="W315" s="735"/>
    </row>
    <row r="316" spans="2:72" s="158" customFormat="1" ht="48.75" customHeight="1" x14ac:dyDescent="0.25">
      <c r="B316" s="177"/>
      <c r="C316" s="177"/>
      <c r="D316" s="177"/>
      <c r="E316" s="177"/>
      <c r="F316" s="177"/>
      <c r="G316" s="177"/>
      <c r="H316" s="177"/>
      <c r="I316" s="177"/>
      <c r="J316" s="177"/>
      <c r="K316" s="177"/>
      <c r="L316" s="177"/>
      <c r="M316" s="734"/>
      <c r="N316" s="638"/>
      <c r="O316" s="638"/>
      <c r="P316" s="638"/>
      <c r="Q316" s="638"/>
      <c r="R316" s="638"/>
      <c r="S316" s="638"/>
      <c r="T316" s="638"/>
      <c r="U316" s="638"/>
      <c r="V316" s="638"/>
      <c r="W316" s="735"/>
    </row>
    <row r="317" spans="2:72" s="158" customFormat="1" ht="48.75" customHeight="1" x14ac:dyDescent="0.25">
      <c r="B317" s="177"/>
      <c r="C317" s="177"/>
      <c r="D317" s="177"/>
      <c r="E317" s="177"/>
      <c r="F317" s="177"/>
      <c r="G317" s="177"/>
      <c r="H317" s="177"/>
      <c r="I317" s="177"/>
      <c r="J317" s="177"/>
      <c r="K317" s="177"/>
      <c r="L317" s="177"/>
      <c r="M317" s="734"/>
      <c r="N317" s="638"/>
      <c r="O317" s="638"/>
      <c r="P317" s="638"/>
      <c r="Q317" s="638"/>
      <c r="R317" s="638"/>
      <c r="S317" s="638"/>
      <c r="T317" s="638"/>
      <c r="U317" s="638"/>
      <c r="V317" s="638"/>
      <c r="W317" s="735"/>
    </row>
    <row r="318" spans="2:72" s="158" customFormat="1" ht="48.75" customHeight="1" x14ac:dyDescent="0.25">
      <c r="B318" s="177"/>
      <c r="C318" s="177"/>
      <c r="D318" s="177"/>
      <c r="E318" s="177"/>
      <c r="F318" s="177"/>
      <c r="G318" s="177"/>
      <c r="H318" s="177"/>
      <c r="I318" s="177"/>
      <c r="J318" s="177"/>
      <c r="K318" s="177"/>
      <c r="L318" s="177"/>
      <c r="M318" s="734"/>
      <c r="N318" s="638"/>
      <c r="O318" s="638"/>
      <c r="P318" s="638"/>
      <c r="Q318" s="638"/>
      <c r="R318" s="638"/>
      <c r="S318" s="638"/>
      <c r="T318" s="638"/>
      <c r="U318" s="638"/>
      <c r="V318" s="638"/>
      <c r="W318" s="735"/>
    </row>
    <row r="319" spans="2:72" s="158" customFormat="1" ht="48.75" customHeight="1" x14ac:dyDescent="0.25">
      <c r="B319" s="177"/>
      <c r="C319" s="177"/>
      <c r="D319" s="177"/>
      <c r="E319" s="177"/>
      <c r="F319" s="177"/>
      <c r="G319" s="177"/>
      <c r="H319" s="177"/>
      <c r="I319" s="177"/>
      <c r="J319" s="177"/>
      <c r="K319" s="177"/>
      <c r="L319" s="177"/>
      <c r="M319" s="734"/>
      <c r="N319" s="638"/>
      <c r="O319" s="638"/>
      <c r="P319" s="638"/>
      <c r="Q319" s="638"/>
      <c r="R319" s="638"/>
      <c r="S319" s="638"/>
      <c r="T319" s="638"/>
      <c r="U319" s="638"/>
      <c r="V319" s="638"/>
      <c r="W319" s="735"/>
    </row>
    <row r="320" spans="2:72" s="158" customFormat="1" ht="48.75" customHeight="1" x14ac:dyDescent="0.25">
      <c r="B320" s="177"/>
      <c r="C320" s="177"/>
      <c r="D320" s="177"/>
      <c r="E320" s="177"/>
      <c r="F320" s="177"/>
      <c r="G320" s="177"/>
      <c r="H320" s="177"/>
      <c r="I320" s="177"/>
      <c r="J320" s="177"/>
      <c r="K320" s="177"/>
      <c r="L320" s="177"/>
      <c r="M320" s="734"/>
      <c r="N320" s="638"/>
      <c r="O320" s="638"/>
      <c r="P320" s="638"/>
      <c r="Q320" s="638"/>
      <c r="R320" s="638"/>
      <c r="S320" s="638"/>
      <c r="T320" s="638"/>
      <c r="U320" s="638"/>
      <c r="V320" s="638"/>
      <c r="W320" s="735"/>
    </row>
    <row r="321" spans="2:43" s="158" customFormat="1" ht="48.75" customHeight="1" x14ac:dyDescent="0.25">
      <c r="B321" s="177"/>
      <c r="C321" s="177"/>
      <c r="D321" s="177"/>
      <c r="E321" s="177"/>
      <c r="F321" s="177"/>
      <c r="G321" s="177"/>
      <c r="H321" s="177"/>
      <c r="I321" s="177"/>
      <c r="J321" s="177"/>
      <c r="K321" s="177"/>
      <c r="L321" s="177"/>
      <c r="M321" s="734"/>
      <c r="N321" s="638"/>
      <c r="O321" s="638"/>
      <c r="P321" s="638"/>
      <c r="Q321" s="638"/>
      <c r="R321" s="638"/>
      <c r="S321" s="638"/>
      <c r="T321" s="638"/>
      <c r="U321" s="638"/>
      <c r="V321" s="638"/>
      <c r="W321" s="735"/>
    </row>
    <row r="322" spans="2:43" s="158" customFormat="1" ht="48.75" customHeight="1" x14ac:dyDescent="0.25">
      <c r="B322" s="177"/>
      <c r="C322" s="177"/>
      <c r="D322" s="177"/>
      <c r="E322" s="177"/>
      <c r="F322" s="177"/>
      <c r="G322" s="177"/>
      <c r="H322" s="177"/>
      <c r="I322" s="177"/>
      <c r="J322" s="177"/>
      <c r="K322" s="177"/>
      <c r="L322" s="177"/>
      <c r="M322" s="734"/>
      <c r="N322" s="638"/>
      <c r="O322" s="638"/>
      <c r="P322" s="638"/>
      <c r="Q322" s="638"/>
      <c r="R322" s="638"/>
      <c r="S322" s="638"/>
      <c r="T322" s="638"/>
      <c r="U322" s="638"/>
      <c r="V322" s="638"/>
      <c r="W322" s="735"/>
    </row>
    <row r="323" spans="2:43" s="158" customFormat="1" ht="48.75" customHeight="1" x14ac:dyDescent="0.25">
      <c r="B323" s="177"/>
      <c r="C323" s="177"/>
      <c r="D323" s="177"/>
      <c r="E323" s="177"/>
      <c r="F323" s="177"/>
      <c r="G323" s="177"/>
      <c r="H323" s="177"/>
      <c r="I323" s="177"/>
      <c r="J323" s="177"/>
      <c r="K323" s="177"/>
      <c r="L323" s="177"/>
      <c r="M323" s="736"/>
      <c r="N323" s="639"/>
      <c r="O323" s="639"/>
      <c r="P323" s="639"/>
      <c r="Q323" s="639"/>
      <c r="R323" s="639"/>
      <c r="S323" s="639"/>
      <c r="T323" s="639"/>
      <c r="U323" s="639"/>
      <c r="V323" s="639"/>
      <c r="W323" s="737"/>
    </row>
    <row r="324" spans="2:43" s="158" customFormat="1" ht="48.75" customHeight="1" x14ac:dyDescent="0.25">
      <c r="B324" s="177"/>
      <c r="C324" s="177"/>
      <c r="D324" s="177"/>
      <c r="E324" s="177"/>
      <c r="F324" s="177"/>
      <c r="G324" s="177"/>
      <c r="H324" s="177"/>
      <c r="I324" s="177"/>
      <c r="J324" s="177"/>
      <c r="K324" s="177"/>
      <c r="L324" s="177"/>
    </row>
    <row r="325" spans="2:43" s="158" customFormat="1" ht="48.75" customHeight="1" x14ac:dyDescent="0.25">
      <c r="B325" s="177"/>
      <c r="C325" s="177"/>
      <c r="D325" s="177"/>
      <c r="E325" s="177"/>
      <c r="F325" s="177"/>
      <c r="G325" s="177"/>
      <c r="H325" s="177"/>
      <c r="I325" s="177"/>
      <c r="J325" s="177"/>
      <c r="K325" s="177"/>
      <c r="L325" s="177"/>
      <c r="M325" s="177"/>
      <c r="V325" s="163"/>
      <c r="W325" s="163"/>
      <c r="X325" s="163"/>
      <c r="Y325" s="163"/>
      <c r="AC325" s="157"/>
      <c r="AD325" s="142"/>
    </row>
    <row r="326" spans="2:43" s="158" customFormat="1" ht="48.75" customHeight="1" x14ac:dyDescent="0.25">
      <c r="B326" s="177"/>
      <c r="C326" s="177"/>
      <c r="D326" s="177"/>
      <c r="E326" s="177"/>
      <c r="F326" s="177"/>
      <c r="G326" s="177"/>
      <c r="H326" s="177"/>
      <c r="I326" s="177"/>
      <c r="J326" s="177"/>
      <c r="K326" s="177"/>
      <c r="L326" s="177"/>
      <c r="M326" s="177"/>
      <c r="V326" s="163"/>
      <c r="W326" s="163"/>
      <c r="X326" s="163"/>
      <c r="Y326" s="163"/>
      <c r="AC326" s="157"/>
      <c r="AD326" s="142"/>
      <c r="AK326" s="800" t="s">
        <v>937</v>
      </c>
      <c r="AL326" s="787"/>
      <c r="AM326" s="787"/>
      <c r="AN326" s="787"/>
      <c r="AO326" s="787"/>
      <c r="AP326" s="788"/>
      <c r="AQ326" s="287"/>
    </row>
    <row r="327" spans="2:43" s="158" customFormat="1" ht="48.75" customHeight="1" x14ac:dyDescent="0.25">
      <c r="B327" s="707" t="s">
        <v>856</v>
      </c>
      <c r="C327" s="708"/>
      <c r="D327" s="708"/>
      <c r="E327" s="708"/>
      <c r="F327" s="708"/>
      <c r="G327" s="708"/>
      <c r="H327" s="708"/>
      <c r="I327" s="708"/>
      <c r="J327" s="738"/>
      <c r="M327" s="707" t="s">
        <v>857</v>
      </c>
      <c r="N327" s="708"/>
      <c r="O327" s="708"/>
      <c r="P327" s="708"/>
      <c r="Q327" s="708"/>
      <c r="R327" s="708"/>
      <c r="S327" s="738"/>
      <c r="U327" s="163"/>
      <c r="V327" s="163"/>
      <c r="W327" s="23"/>
      <c r="X327" s="707" t="s">
        <v>855</v>
      </c>
      <c r="Y327" s="708"/>
      <c r="Z327" s="708"/>
      <c r="AA327" s="708"/>
      <c r="AB327" s="719"/>
      <c r="AC327" s="242"/>
      <c r="AD327" s="142"/>
      <c r="AK327" s="731"/>
      <c r="AL327" s="732"/>
      <c r="AM327" s="732"/>
      <c r="AN327" s="732"/>
      <c r="AO327" s="732"/>
      <c r="AP327" s="732"/>
      <c r="AQ327" s="733"/>
    </row>
    <row r="328" spans="2:43" s="158" customFormat="1" ht="48.75" customHeight="1" x14ac:dyDescent="0.25">
      <c r="B328" s="709"/>
      <c r="C328" s="710"/>
      <c r="D328" s="710"/>
      <c r="E328" s="710"/>
      <c r="F328" s="710"/>
      <c r="G328" s="710"/>
      <c r="H328" s="710"/>
      <c r="I328" s="710"/>
      <c r="J328" s="739"/>
      <c r="M328" s="709"/>
      <c r="N328" s="710"/>
      <c r="O328" s="710"/>
      <c r="P328" s="710"/>
      <c r="Q328" s="710"/>
      <c r="R328" s="710"/>
      <c r="S328" s="740"/>
      <c r="U328" s="163"/>
      <c r="V328" s="163"/>
      <c r="W328" s="23"/>
      <c r="X328" s="720"/>
      <c r="Y328" s="721"/>
      <c r="Z328" s="721"/>
      <c r="AA328" s="721"/>
      <c r="AB328" s="722"/>
      <c r="AC328" s="239"/>
      <c r="AD328" s="142"/>
      <c r="AK328" s="734"/>
      <c r="AL328" s="638"/>
      <c r="AM328" s="638"/>
      <c r="AN328" s="638"/>
      <c r="AO328" s="638"/>
      <c r="AP328" s="638"/>
      <c r="AQ328" s="735"/>
    </row>
    <row r="329" spans="2:43" s="158" customFormat="1" ht="48.75" customHeight="1" x14ac:dyDescent="0.25">
      <c r="B329" s="821"/>
      <c r="C329" s="821"/>
      <c r="D329" s="821"/>
      <c r="E329" s="821"/>
      <c r="F329" s="821"/>
      <c r="G329" s="821"/>
      <c r="H329" s="821"/>
      <c r="I329" s="821"/>
      <c r="J329" s="821"/>
      <c r="M329" s="731"/>
      <c r="N329" s="732"/>
      <c r="O329" s="732"/>
      <c r="P329" s="732"/>
      <c r="Q329" s="732"/>
      <c r="R329" s="732"/>
      <c r="S329" s="733"/>
      <c r="U329" s="163"/>
      <c r="V329" s="163"/>
      <c r="W329" s="23"/>
      <c r="X329" s="709"/>
      <c r="Y329" s="710"/>
      <c r="Z329" s="710"/>
      <c r="AA329" s="710"/>
      <c r="AB329" s="724"/>
      <c r="AC329" s="243"/>
      <c r="AD329" s="142"/>
      <c r="AK329" s="734"/>
      <c r="AL329" s="638"/>
      <c r="AM329" s="638"/>
      <c r="AN329" s="638"/>
      <c r="AO329" s="638"/>
      <c r="AP329" s="638"/>
      <c r="AQ329" s="735"/>
    </row>
    <row r="330" spans="2:43" s="158" customFormat="1" ht="48.75" customHeight="1" x14ac:dyDescent="0.25">
      <c r="B330" s="821"/>
      <c r="C330" s="821"/>
      <c r="D330" s="821"/>
      <c r="E330" s="821"/>
      <c r="F330" s="821"/>
      <c r="G330" s="821"/>
      <c r="H330" s="821"/>
      <c r="I330" s="821"/>
      <c r="J330" s="821"/>
      <c r="M330" s="734"/>
      <c r="N330" s="638"/>
      <c r="O330" s="638"/>
      <c r="P330" s="638"/>
      <c r="Q330" s="638"/>
      <c r="R330" s="638"/>
      <c r="S330" s="735"/>
      <c r="U330" s="163"/>
      <c r="V330" s="163"/>
      <c r="W330" s="23"/>
      <c r="X330" s="731"/>
      <c r="Y330" s="732"/>
      <c r="Z330" s="732"/>
      <c r="AA330" s="732"/>
      <c r="AB330" s="732"/>
      <c r="AC330" s="733"/>
      <c r="AD330" s="142"/>
      <c r="AK330" s="734"/>
      <c r="AL330" s="638"/>
      <c r="AM330" s="638"/>
      <c r="AN330" s="638"/>
      <c r="AO330" s="638"/>
      <c r="AP330" s="638"/>
      <c r="AQ330" s="735"/>
    </row>
    <row r="331" spans="2:43" s="158" customFormat="1" ht="48.75" customHeight="1" x14ac:dyDescent="0.25">
      <c r="B331" s="821"/>
      <c r="C331" s="821"/>
      <c r="D331" s="821"/>
      <c r="E331" s="821"/>
      <c r="F331" s="821"/>
      <c r="G331" s="821"/>
      <c r="H331" s="821"/>
      <c r="I331" s="821"/>
      <c r="J331" s="821"/>
      <c r="M331" s="734"/>
      <c r="N331" s="638"/>
      <c r="O331" s="638"/>
      <c r="P331" s="638"/>
      <c r="Q331" s="638"/>
      <c r="R331" s="638"/>
      <c r="S331" s="735"/>
      <c r="U331" s="163"/>
      <c r="V331" s="163"/>
      <c r="W331" s="23"/>
      <c r="X331" s="734"/>
      <c r="Y331" s="638"/>
      <c r="Z331" s="638"/>
      <c r="AA331" s="638"/>
      <c r="AB331" s="638"/>
      <c r="AC331" s="735"/>
      <c r="AD331" s="142"/>
      <c r="AK331" s="734"/>
      <c r="AL331" s="638"/>
      <c r="AM331" s="638"/>
      <c r="AN331" s="638"/>
      <c r="AO331" s="638"/>
      <c r="AP331" s="638"/>
      <c r="AQ331" s="735"/>
    </row>
    <row r="332" spans="2:43" s="158" customFormat="1" ht="48.75" customHeight="1" x14ac:dyDescent="0.25">
      <c r="B332" s="821"/>
      <c r="C332" s="821"/>
      <c r="D332" s="821"/>
      <c r="E332" s="821"/>
      <c r="F332" s="821"/>
      <c r="G332" s="821"/>
      <c r="H332" s="821"/>
      <c r="I332" s="821"/>
      <c r="J332" s="821"/>
      <c r="M332" s="734"/>
      <c r="N332" s="638"/>
      <c r="O332" s="638"/>
      <c r="P332" s="638"/>
      <c r="Q332" s="638"/>
      <c r="R332" s="638"/>
      <c r="S332" s="735"/>
      <c r="U332" s="163"/>
      <c r="V332" s="163"/>
      <c r="W332" s="23"/>
      <c r="X332" s="734"/>
      <c r="Y332" s="638"/>
      <c r="Z332" s="638"/>
      <c r="AA332" s="638"/>
      <c r="AB332" s="638"/>
      <c r="AC332" s="735"/>
      <c r="AD332" s="142"/>
      <c r="AK332" s="734"/>
      <c r="AL332" s="638"/>
      <c r="AM332" s="638"/>
      <c r="AN332" s="638"/>
      <c r="AO332" s="638"/>
      <c r="AP332" s="638"/>
      <c r="AQ332" s="735"/>
    </row>
    <row r="333" spans="2:43" s="158" customFormat="1" ht="48.75" customHeight="1" x14ac:dyDescent="0.25">
      <c r="B333" s="821"/>
      <c r="C333" s="821"/>
      <c r="D333" s="821"/>
      <c r="E333" s="821"/>
      <c r="F333" s="821"/>
      <c r="G333" s="821"/>
      <c r="H333" s="821"/>
      <c r="I333" s="821"/>
      <c r="J333" s="821"/>
      <c r="M333" s="734"/>
      <c r="N333" s="638"/>
      <c r="O333" s="638"/>
      <c r="P333" s="638"/>
      <c r="Q333" s="638"/>
      <c r="R333" s="638"/>
      <c r="S333" s="735"/>
      <c r="U333" s="163"/>
      <c r="V333" s="163"/>
      <c r="X333" s="734"/>
      <c r="Y333" s="638"/>
      <c r="Z333" s="638"/>
      <c r="AA333" s="638"/>
      <c r="AB333" s="638"/>
      <c r="AC333" s="735"/>
      <c r="AD333" s="142"/>
      <c r="AK333" s="734"/>
      <c r="AL333" s="638"/>
      <c r="AM333" s="638"/>
      <c r="AN333" s="638"/>
      <c r="AO333" s="638"/>
      <c r="AP333" s="638"/>
      <c r="AQ333" s="735"/>
    </row>
    <row r="334" spans="2:43" s="158" customFormat="1" ht="48.75" customHeight="1" x14ac:dyDescent="0.25">
      <c r="B334" s="821"/>
      <c r="C334" s="821"/>
      <c r="D334" s="821"/>
      <c r="E334" s="821"/>
      <c r="F334" s="821"/>
      <c r="G334" s="821"/>
      <c r="H334" s="821"/>
      <c r="I334" s="821"/>
      <c r="J334" s="821"/>
      <c r="M334" s="734"/>
      <c r="N334" s="638"/>
      <c r="O334" s="638"/>
      <c r="P334" s="638"/>
      <c r="Q334" s="638"/>
      <c r="R334" s="638"/>
      <c r="S334" s="735"/>
      <c r="U334" s="163"/>
      <c r="V334" s="163"/>
      <c r="X334" s="734"/>
      <c r="Y334" s="638"/>
      <c r="Z334" s="638"/>
      <c r="AA334" s="638"/>
      <c r="AB334" s="638"/>
      <c r="AC334" s="735"/>
      <c r="AD334" s="142"/>
      <c r="AK334" s="734"/>
      <c r="AL334" s="638"/>
      <c r="AM334" s="638"/>
      <c r="AN334" s="638"/>
      <c r="AO334" s="638"/>
      <c r="AP334" s="638"/>
      <c r="AQ334" s="735"/>
    </row>
    <row r="335" spans="2:43" s="158" customFormat="1" ht="48.75" customHeight="1" x14ac:dyDescent="0.25">
      <c r="B335" s="821"/>
      <c r="C335" s="821"/>
      <c r="D335" s="821"/>
      <c r="E335" s="821"/>
      <c r="F335" s="821"/>
      <c r="G335" s="821"/>
      <c r="H335" s="821"/>
      <c r="I335" s="821"/>
      <c r="J335" s="821"/>
      <c r="M335" s="734"/>
      <c r="N335" s="638"/>
      <c r="O335" s="638"/>
      <c r="P335" s="638"/>
      <c r="Q335" s="638"/>
      <c r="R335" s="638"/>
      <c r="S335" s="735"/>
      <c r="U335" s="163"/>
      <c r="V335" s="163"/>
      <c r="X335" s="734"/>
      <c r="Y335" s="638"/>
      <c r="Z335" s="638"/>
      <c r="AA335" s="638"/>
      <c r="AB335" s="638"/>
      <c r="AC335" s="735"/>
      <c r="AD335" s="142"/>
      <c r="AK335" s="734"/>
      <c r="AL335" s="638"/>
      <c r="AM335" s="638"/>
      <c r="AN335" s="638"/>
      <c r="AO335" s="638"/>
      <c r="AP335" s="638"/>
      <c r="AQ335" s="735"/>
    </row>
    <row r="336" spans="2:43" s="158" customFormat="1" ht="48.75" customHeight="1" x14ac:dyDescent="0.25">
      <c r="B336" s="821"/>
      <c r="C336" s="821"/>
      <c r="D336" s="821"/>
      <c r="E336" s="821"/>
      <c r="F336" s="821"/>
      <c r="G336" s="821"/>
      <c r="H336" s="821"/>
      <c r="I336" s="821"/>
      <c r="J336" s="821"/>
      <c r="M336" s="734"/>
      <c r="N336" s="638"/>
      <c r="O336" s="638"/>
      <c r="P336" s="638"/>
      <c r="Q336" s="638"/>
      <c r="R336" s="638"/>
      <c r="S336" s="735"/>
      <c r="U336" s="163"/>
      <c r="V336" s="163"/>
      <c r="X336" s="734"/>
      <c r="Y336" s="638"/>
      <c r="Z336" s="638"/>
      <c r="AA336" s="638"/>
      <c r="AB336" s="638"/>
      <c r="AC336" s="735"/>
      <c r="AD336" s="142"/>
      <c r="AK336" s="734"/>
      <c r="AL336" s="638"/>
      <c r="AM336" s="638"/>
      <c r="AN336" s="638"/>
      <c r="AO336" s="638"/>
      <c r="AP336" s="638"/>
      <c r="AQ336" s="735"/>
    </row>
    <row r="337" spans="2:43" s="158" customFormat="1" ht="48.75" customHeight="1" x14ac:dyDescent="0.25">
      <c r="B337" s="821"/>
      <c r="C337" s="821"/>
      <c r="D337" s="821"/>
      <c r="E337" s="821"/>
      <c r="F337" s="821"/>
      <c r="G337" s="821"/>
      <c r="H337" s="821"/>
      <c r="I337" s="821"/>
      <c r="J337" s="821"/>
      <c r="M337" s="734"/>
      <c r="N337" s="638"/>
      <c r="O337" s="638"/>
      <c r="P337" s="638"/>
      <c r="Q337" s="638"/>
      <c r="R337" s="638"/>
      <c r="S337" s="735"/>
      <c r="U337" s="163"/>
      <c r="V337" s="163"/>
      <c r="X337" s="734"/>
      <c r="Y337" s="638"/>
      <c r="Z337" s="638"/>
      <c r="AA337" s="638"/>
      <c r="AB337" s="638"/>
      <c r="AC337" s="735"/>
      <c r="AD337" s="142"/>
      <c r="AK337" s="734"/>
      <c r="AL337" s="638"/>
      <c r="AM337" s="638"/>
      <c r="AN337" s="638"/>
      <c r="AO337" s="638"/>
      <c r="AP337" s="638"/>
      <c r="AQ337" s="735"/>
    </row>
    <row r="338" spans="2:43" s="158" customFormat="1" ht="48.75" customHeight="1" x14ac:dyDescent="0.25">
      <c r="B338" s="821"/>
      <c r="C338" s="821"/>
      <c r="D338" s="821"/>
      <c r="E338" s="821"/>
      <c r="F338" s="821"/>
      <c r="G338" s="821"/>
      <c r="H338" s="821"/>
      <c r="I338" s="821"/>
      <c r="J338" s="821"/>
      <c r="M338" s="736"/>
      <c r="N338" s="639"/>
      <c r="O338" s="639"/>
      <c r="P338" s="639"/>
      <c r="Q338" s="639"/>
      <c r="R338" s="639"/>
      <c r="S338" s="737"/>
      <c r="U338" s="163"/>
      <c r="V338" s="163"/>
      <c r="X338" s="734"/>
      <c r="Y338" s="638"/>
      <c r="Z338" s="638"/>
      <c r="AA338" s="638"/>
      <c r="AB338" s="638"/>
      <c r="AC338" s="735"/>
      <c r="AD338" s="142"/>
      <c r="AK338" s="736"/>
      <c r="AL338" s="639"/>
      <c r="AM338" s="639"/>
      <c r="AN338" s="639"/>
      <c r="AO338" s="639"/>
      <c r="AP338" s="639"/>
      <c r="AQ338" s="737"/>
    </row>
    <row r="339" spans="2:43" s="158" customFormat="1" ht="48.75" customHeight="1" x14ac:dyDescent="0.25">
      <c r="B339" s="821"/>
      <c r="C339" s="821"/>
      <c r="D339" s="821"/>
      <c r="E339" s="821"/>
      <c r="F339" s="821"/>
      <c r="G339" s="821"/>
      <c r="H339" s="821"/>
      <c r="I339" s="821"/>
      <c r="J339" s="821"/>
      <c r="M339" s="163"/>
      <c r="U339" s="163"/>
      <c r="V339" s="163"/>
      <c r="X339" s="734"/>
      <c r="Y339" s="638"/>
      <c r="Z339" s="638"/>
      <c r="AA339" s="638"/>
      <c r="AB339" s="638"/>
      <c r="AC339" s="735"/>
      <c r="AD339" s="142"/>
    </row>
    <row r="340" spans="2:43" s="158" customFormat="1" ht="48.75" customHeight="1" x14ac:dyDescent="0.25">
      <c r="U340" s="163"/>
      <c r="V340" s="163"/>
      <c r="X340" s="734"/>
      <c r="Y340" s="638"/>
      <c r="Z340" s="638"/>
      <c r="AA340" s="638"/>
      <c r="AB340" s="638"/>
      <c r="AC340" s="735"/>
      <c r="AD340" s="142"/>
    </row>
    <row r="341" spans="2:43" s="158" customFormat="1" ht="48.75" customHeight="1" x14ac:dyDescent="0.25">
      <c r="X341" s="734"/>
      <c r="Y341" s="638"/>
      <c r="Z341" s="638"/>
      <c r="AA341" s="638"/>
      <c r="AB341" s="638"/>
      <c r="AC341" s="735"/>
      <c r="AD341" s="142"/>
    </row>
    <row r="342" spans="2:43" s="158" customFormat="1" ht="48.75" customHeight="1" x14ac:dyDescent="0.25">
      <c r="X342" s="736"/>
      <c r="Y342" s="639"/>
      <c r="Z342" s="639"/>
      <c r="AA342" s="639"/>
      <c r="AB342" s="639"/>
      <c r="AC342" s="737"/>
      <c r="AD342" s="142"/>
    </row>
    <row r="343" spans="2:43" s="158" customFormat="1" ht="48.75" customHeight="1" x14ac:dyDescent="0.25">
      <c r="B343" s="177"/>
      <c r="C343" s="177"/>
      <c r="D343" s="177"/>
      <c r="E343" s="177"/>
      <c r="F343" s="177"/>
      <c r="G343" s="177"/>
      <c r="H343" s="177"/>
      <c r="I343" s="177"/>
      <c r="J343" s="177"/>
      <c r="K343" s="177"/>
      <c r="L343" s="177"/>
      <c r="M343" s="177"/>
      <c r="V343" s="163"/>
      <c r="W343" s="163"/>
      <c r="X343" s="163"/>
      <c r="Y343" s="163"/>
      <c r="AC343" s="157"/>
      <c r="AD343" s="142"/>
    </row>
    <row r="344" spans="2:43" s="158" customFormat="1" ht="48.75" customHeight="1" x14ac:dyDescent="0.25">
      <c r="B344" s="177"/>
      <c r="C344" s="177"/>
      <c r="D344" s="177"/>
      <c r="E344" s="177"/>
      <c r="F344" s="177"/>
      <c r="G344" s="177"/>
      <c r="H344" s="177"/>
      <c r="I344" s="177"/>
      <c r="J344" s="177"/>
      <c r="K344" s="177"/>
      <c r="L344" s="177"/>
      <c r="M344" s="177"/>
      <c r="P344" s="157"/>
      <c r="Q344" s="157"/>
      <c r="R344" s="157"/>
      <c r="S344" s="157"/>
      <c r="T344" s="157"/>
      <c r="U344" s="157"/>
      <c r="AG344" s="157"/>
      <c r="AH344" s="157"/>
      <c r="AI344" s="157"/>
      <c r="AJ344" s="157"/>
      <c r="AK344" s="157"/>
      <c r="AL344" s="157"/>
      <c r="AM344" s="157"/>
      <c r="AN344" s="157"/>
      <c r="AO344" s="157"/>
    </row>
    <row r="345" spans="2:43" s="158" customFormat="1" ht="48.75" customHeight="1" x14ac:dyDescent="0.25">
      <c r="B345" s="790" t="s">
        <v>846</v>
      </c>
      <c r="C345" s="791"/>
      <c r="D345" s="791"/>
      <c r="E345" s="791"/>
      <c r="F345" s="791"/>
      <c r="G345" s="791"/>
      <c r="H345" s="791"/>
      <c r="I345" s="791"/>
      <c r="J345" s="792"/>
      <c r="K345" s="738"/>
      <c r="N345" s="707" t="s">
        <v>859</v>
      </c>
      <c r="O345" s="774"/>
      <c r="P345" s="774"/>
      <c r="Q345" s="774"/>
      <c r="R345" s="774"/>
      <c r="S345" s="775"/>
      <c r="T345" s="779"/>
      <c r="X345" s="707" t="s">
        <v>849</v>
      </c>
      <c r="Y345" s="708"/>
      <c r="Z345" s="708"/>
      <c r="AA345" s="708"/>
      <c r="AB345" s="708"/>
      <c r="AC345" s="708"/>
      <c r="AD345" s="708"/>
      <c r="AE345" s="708"/>
      <c r="AF345" s="708"/>
      <c r="AG345" s="708"/>
      <c r="AH345" s="708"/>
      <c r="AI345" s="708"/>
      <c r="AJ345" s="764"/>
    </row>
    <row r="346" spans="2:43" ht="48.75" customHeight="1" x14ac:dyDescent="0.25">
      <c r="B346" s="793"/>
      <c r="C346" s="794"/>
      <c r="D346" s="794"/>
      <c r="E346" s="794"/>
      <c r="F346" s="794"/>
      <c r="G346" s="794"/>
      <c r="H346" s="794"/>
      <c r="I346" s="794"/>
      <c r="J346" s="795"/>
      <c r="K346" s="739"/>
      <c r="N346" s="776"/>
      <c r="O346" s="777"/>
      <c r="P346" s="777"/>
      <c r="Q346" s="777"/>
      <c r="R346" s="777"/>
      <c r="S346" s="778"/>
      <c r="T346" s="779"/>
      <c r="X346" s="709"/>
      <c r="Y346" s="710"/>
      <c r="Z346" s="710"/>
      <c r="AA346" s="710"/>
      <c r="AB346" s="710"/>
      <c r="AC346" s="710"/>
      <c r="AD346" s="710"/>
      <c r="AE346" s="710"/>
      <c r="AF346" s="710"/>
      <c r="AG346" s="710"/>
      <c r="AH346" s="710"/>
      <c r="AI346" s="710"/>
      <c r="AJ346" s="765"/>
    </row>
    <row r="347" spans="2:43" ht="48.75" customHeight="1" x14ac:dyDescent="0.25">
      <c r="B347" s="446" t="s">
        <v>724</v>
      </c>
      <c r="C347" s="446" t="s">
        <v>725</v>
      </c>
      <c r="D347" s="446"/>
      <c r="E347" s="707" t="s">
        <v>832</v>
      </c>
      <c r="F347" s="708"/>
      <c r="G347" s="708"/>
      <c r="H347" s="708"/>
      <c r="I347" s="708"/>
      <c r="J347" s="708"/>
      <c r="K347" s="719"/>
      <c r="N347" s="208" t="s">
        <v>724</v>
      </c>
      <c r="O347" s="760" t="s">
        <v>832</v>
      </c>
      <c r="P347" s="761"/>
      <c r="Q347" s="761"/>
      <c r="R347" s="761"/>
      <c r="S347" s="761"/>
      <c r="T347" s="762"/>
      <c r="X347" s="711" t="s">
        <v>724</v>
      </c>
      <c r="Y347" s="727" t="s">
        <v>832</v>
      </c>
      <c r="Z347" s="728"/>
      <c r="AA347" s="728"/>
      <c r="AB347" s="728"/>
      <c r="AC347" s="728"/>
      <c r="AD347" s="728"/>
      <c r="AE347" s="728"/>
      <c r="AF347" s="728"/>
      <c r="AG347" s="728"/>
      <c r="AH347" s="728"/>
      <c r="AI347" s="728"/>
      <c r="AJ347" s="797"/>
    </row>
    <row r="348" spans="2:43" ht="48.75" customHeight="1" x14ac:dyDescent="0.25">
      <c r="B348" s="446"/>
      <c r="C348" s="446"/>
      <c r="D348" s="446"/>
      <c r="E348" s="709"/>
      <c r="F348" s="710"/>
      <c r="G348" s="710"/>
      <c r="H348" s="710"/>
      <c r="I348" s="710"/>
      <c r="J348" s="710"/>
      <c r="K348" s="724"/>
      <c r="N348" s="766" t="s">
        <v>850</v>
      </c>
      <c r="O348" s="786"/>
      <c r="P348" s="786"/>
      <c r="Q348" s="786"/>
      <c r="R348" s="786"/>
      <c r="S348" s="786"/>
      <c r="T348" s="786"/>
      <c r="X348" s="802"/>
      <c r="Y348" s="446" t="s">
        <v>847</v>
      </c>
      <c r="Z348" s="446"/>
      <c r="AA348" s="446"/>
      <c r="AB348" s="446"/>
      <c r="AC348" s="446"/>
      <c r="AD348" s="446"/>
      <c r="AE348" s="446" t="s">
        <v>848</v>
      </c>
      <c r="AF348" s="446"/>
      <c r="AG348" s="446"/>
      <c r="AH348" s="446"/>
      <c r="AI348" s="446"/>
      <c r="AJ348" s="446"/>
    </row>
    <row r="349" spans="2:43" ht="48.75" customHeight="1" x14ac:dyDescent="0.25">
      <c r="B349" s="446" t="s">
        <v>833</v>
      </c>
      <c r="C349" s="446" t="s">
        <v>743</v>
      </c>
      <c r="D349" s="446"/>
      <c r="E349" s="742"/>
      <c r="F349" s="743"/>
      <c r="G349" s="743"/>
      <c r="H349" s="743"/>
      <c r="I349" s="743"/>
      <c r="J349" s="743"/>
      <c r="K349" s="744"/>
      <c r="N349" s="767"/>
      <c r="O349" s="786"/>
      <c r="P349" s="786"/>
      <c r="Q349" s="786"/>
      <c r="R349" s="786"/>
      <c r="S349" s="786"/>
      <c r="T349" s="786"/>
      <c r="X349" s="446" t="s">
        <v>839</v>
      </c>
      <c r="Y349" s="742"/>
      <c r="Z349" s="743"/>
      <c r="AA349" s="743"/>
      <c r="AB349" s="743"/>
      <c r="AC349" s="743"/>
      <c r="AD349" s="743"/>
      <c r="AE349" s="741"/>
      <c r="AF349" s="741"/>
      <c r="AG349" s="741"/>
      <c r="AH349" s="741"/>
      <c r="AI349" s="741"/>
      <c r="AJ349" s="741"/>
    </row>
    <row r="350" spans="2:43" ht="48.75" customHeight="1" x14ac:dyDescent="0.25">
      <c r="B350" s="446"/>
      <c r="C350" s="446"/>
      <c r="D350" s="446"/>
      <c r="E350" s="745"/>
      <c r="F350" s="746"/>
      <c r="G350" s="746"/>
      <c r="H350" s="746"/>
      <c r="I350" s="746"/>
      <c r="J350" s="746"/>
      <c r="K350" s="747"/>
      <c r="N350" s="763" t="s">
        <v>851</v>
      </c>
      <c r="O350" s="768"/>
      <c r="P350" s="769"/>
      <c r="Q350" s="769"/>
      <c r="R350" s="769"/>
      <c r="S350" s="769"/>
      <c r="T350" s="770"/>
      <c r="X350" s="446"/>
      <c r="Y350" s="745"/>
      <c r="Z350" s="746"/>
      <c r="AA350" s="746"/>
      <c r="AB350" s="746"/>
      <c r="AC350" s="746"/>
      <c r="AD350" s="746"/>
      <c r="AE350" s="741"/>
      <c r="AF350" s="741"/>
      <c r="AG350" s="741"/>
      <c r="AH350" s="741"/>
      <c r="AI350" s="741"/>
      <c r="AJ350" s="741"/>
    </row>
    <row r="351" spans="2:43" ht="48.75" customHeight="1" x14ac:dyDescent="0.25">
      <c r="B351" s="446"/>
      <c r="C351" s="446"/>
      <c r="D351" s="446"/>
      <c r="E351" s="748"/>
      <c r="F351" s="749"/>
      <c r="G351" s="749"/>
      <c r="H351" s="749"/>
      <c r="I351" s="749"/>
      <c r="J351" s="749"/>
      <c r="K351" s="750"/>
      <c r="N351" s="763"/>
      <c r="O351" s="771"/>
      <c r="P351" s="772"/>
      <c r="Q351" s="772"/>
      <c r="R351" s="772"/>
      <c r="S351" s="772"/>
      <c r="T351" s="773"/>
      <c r="X351" s="446"/>
      <c r="Y351" s="748"/>
      <c r="Z351" s="749"/>
      <c r="AA351" s="749"/>
      <c r="AB351" s="749"/>
      <c r="AC351" s="749"/>
      <c r="AD351" s="749"/>
      <c r="AE351" s="741"/>
      <c r="AF351" s="741"/>
      <c r="AG351" s="741"/>
      <c r="AH351" s="741"/>
      <c r="AI351" s="741"/>
      <c r="AJ351" s="741"/>
    </row>
    <row r="352" spans="2:43" ht="48.75" customHeight="1" x14ac:dyDescent="0.25">
      <c r="B352" s="446"/>
      <c r="C352" s="446" t="s">
        <v>736</v>
      </c>
      <c r="D352" s="446"/>
      <c r="E352" s="742"/>
      <c r="F352" s="743"/>
      <c r="G352" s="743"/>
      <c r="H352" s="743"/>
      <c r="I352" s="743"/>
      <c r="J352" s="743"/>
      <c r="K352" s="744"/>
      <c r="N352" s="763" t="s">
        <v>852</v>
      </c>
      <c r="O352" s="780"/>
      <c r="P352" s="781"/>
      <c r="Q352" s="781"/>
      <c r="R352" s="781"/>
      <c r="S352" s="781"/>
      <c r="T352" s="782"/>
      <c r="X352" s="446" t="s">
        <v>840</v>
      </c>
      <c r="Y352" s="742"/>
      <c r="Z352" s="743"/>
      <c r="AA352" s="743"/>
      <c r="AB352" s="743"/>
      <c r="AC352" s="743"/>
      <c r="AD352" s="743"/>
      <c r="AE352" s="741"/>
      <c r="AF352" s="741"/>
      <c r="AG352" s="741"/>
      <c r="AH352" s="741"/>
      <c r="AI352" s="741"/>
      <c r="AJ352" s="741"/>
    </row>
    <row r="353" spans="1:36" ht="48.75" customHeight="1" x14ac:dyDescent="0.25">
      <c r="B353" s="446"/>
      <c r="C353" s="446"/>
      <c r="D353" s="446"/>
      <c r="E353" s="745"/>
      <c r="F353" s="746"/>
      <c r="G353" s="746"/>
      <c r="H353" s="746"/>
      <c r="I353" s="746"/>
      <c r="J353" s="746"/>
      <c r="K353" s="747"/>
      <c r="N353" s="763"/>
      <c r="O353" s="783"/>
      <c r="P353" s="784"/>
      <c r="Q353" s="784"/>
      <c r="R353" s="784"/>
      <c r="S353" s="784"/>
      <c r="T353" s="785"/>
      <c r="X353" s="446"/>
      <c r="Y353" s="745"/>
      <c r="Z353" s="746"/>
      <c r="AA353" s="746"/>
      <c r="AB353" s="746"/>
      <c r="AC353" s="746"/>
      <c r="AD353" s="746"/>
      <c r="AE353" s="741"/>
      <c r="AF353" s="741"/>
      <c r="AG353" s="741"/>
      <c r="AH353" s="741"/>
      <c r="AI353" s="741"/>
      <c r="AJ353" s="741"/>
    </row>
    <row r="354" spans="1:36" ht="48.75" customHeight="1" x14ac:dyDescent="0.25">
      <c r="A354" s="22"/>
      <c r="B354" s="446"/>
      <c r="C354" s="446"/>
      <c r="D354" s="446"/>
      <c r="E354" s="748"/>
      <c r="F354" s="749"/>
      <c r="G354" s="749"/>
      <c r="H354" s="749"/>
      <c r="I354" s="749"/>
      <c r="J354" s="749"/>
      <c r="K354" s="750"/>
      <c r="N354" s="763" t="s">
        <v>853</v>
      </c>
      <c r="O354" s="780"/>
      <c r="P354" s="781"/>
      <c r="Q354" s="781"/>
      <c r="R354" s="781"/>
      <c r="S354" s="781"/>
      <c r="T354" s="782"/>
      <c r="X354" s="446"/>
      <c r="Y354" s="748"/>
      <c r="Z354" s="749"/>
      <c r="AA354" s="749"/>
      <c r="AB354" s="749"/>
      <c r="AC354" s="749"/>
      <c r="AD354" s="749"/>
      <c r="AE354" s="741"/>
      <c r="AF354" s="741"/>
      <c r="AG354" s="741"/>
      <c r="AH354" s="741"/>
      <c r="AI354" s="741"/>
      <c r="AJ354" s="741"/>
    </row>
    <row r="355" spans="1:36" ht="48.75" customHeight="1" x14ac:dyDescent="0.25">
      <c r="A355" s="22"/>
      <c r="B355" s="446" t="s">
        <v>834</v>
      </c>
      <c r="C355" s="446" t="s">
        <v>743</v>
      </c>
      <c r="D355" s="446"/>
      <c r="E355" s="742"/>
      <c r="F355" s="743"/>
      <c r="G355" s="743"/>
      <c r="H355" s="743"/>
      <c r="I355" s="743"/>
      <c r="J355" s="743"/>
      <c r="K355" s="744"/>
      <c r="N355" s="763"/>
      <c r="O355" s="783"/>
      <c r="P355" s="784"/>
      <c r="Q355" s="784"/>
      <c r="R355" s="784"/>
      <c r="S355" s="784"/>
      <c r="T355" s="785"/>
      <c r="X355" s="446" t="s">
        <v>841</v>
      </c>
      <c r="Y355" s="742"/>
      <c r="Z355" s="743"/>
      <c r="AA355" s="743"/>
      <c r="AB355" s="743"/>
      <c r="AC355" s="743"/>
      <c r="AD355" s="743"/>
      <c r="AE355" s="741"/>
      <c r="AF355" s="741"/>
      <c r="AG355" s="741"/>
      <c r="AH355" s="741"/>
      <c r="AI355" s="741"/>
      <c r="AJ355" s="741"/>
    </row>
    <row r="356" spans="1:36" ht="48.75" customHeight="1" x14ac:dyDescent="0.25">
      <c r="A356" s="22"/>
      <c r="B356" s="446"/>
      <c r="C356" s="446"/>
      <c r="D356" s="446"/>
      <c r="E356" s="745"/>
      <c r="F356" s="746"/>
      <c r="G356" s="746"/>
      <c r="H356" s="746"/>
      <c r="I356" s="746"/>
      <c r="J356" s="746"/>
      <c r="K356" s="747"/>
      <c r="N356" s="763" t="s">
        <v>854</v>
      </c>
      <c r="O356" s="768"/>
      <c r="P356" s="769"/>
      <c r="Q356" s="769"/>
      <c r="R356" s="769"/>
      <c r="S356" s="769"/>
      <c r="T356" s="770"/>
      <c r="X356" s="446"/>
      <c r="Y356" s="745"/>
      <c r="Z356" s="746"/>
      <c r="AA356" s="746"/>
      <c r="AB356" s="746"/>
      <c r="AC356" s="746"/>
      <c r="AD356" s="746"/>
      <c r="AE356" s="741"/>
      <c r="AF356" s="741"/>
      <c r="AG356" s="741"/>
      <c r="AH356" s="741"/>
      <c r="AI356" s="741"/>
      <c r="AJ356" s="741"/>
    </row>
    <row r="357" spans="1:36" ht="48.75" customHeight="1" x14ac:dyDescent="0.25">
      <c r="A357" s="22"/>
      <c r="B357" s="446"/>
      <c r="C357" s="446"/>
      <c r="D357" s="446"/>
      <c r="E357" s="748"/>
      <c r="F357" s="749"/>
      <c r="G357" s="749"/>
      <c r="H357" s="749"/>
      <c r="I357" s="749"/>
      <c r="J357" s="749"/>
      <c r="K357" s="750"/>
      <c r="N357" s="763"/>
      <c r="O357" s="771"/>
      <c r="P357" s="772"/>
      <c r="Q357" s="772"/>
      <c r="R357" s="772"/>
      <c r="S357" s="772"/>
      <c r="T357" s="773"/>
      <c r="X357" s="446"/>
      <c r="Y357" s="748"/>
      <c r="Z357" s="749"/>
      <c r="AA357" s="749"/>
      <c r="AB357" s="749"/>
      <c r="AC357" s="749"/>
      <c r="AD357" s="749"/>
      <c r="AE357" s="741"/>
      <c r="AF357" s="741"/>
      <c r="AG357" s="741"/>
      <c r="AH357" s="741"/>
      <c r="AI357" s="741"/>
      <c r="AJ357" s="741"/>
    </row>
    <row r="358" spans="1:36" ht="48.75" customHeight="1" x14ac:dyDescent="0.25">
      <c r="B358" s="711" t="s">
        <v>835</v>
      </c>
      <c r="C358" s="446" t="s">
        <v>845</v>
      </c>
      <c r="D358" s="446"/>
      <c r="E358" s="742"/>
      <c r="F358" s="743"/>
      <c r="G358" s="743"/>
      <c r="H358" s="743"/>
      <c r="I358" s="743"/>
      <c r="J358" s="743"/>
      <c r="K358" s="744"/>
      <c r="X358" s="446" t="s">
        <v>842</v>
      </c>
      <c r="Y358" s="742"/>
      <c r="Z358" s="743"/>
      <c r="AA358" s="743"/>
      <c r="AB358" s="743"/>
      <c r="AC358" s="743"/>
      <c r="AD358" s="743"/>
      <c r="AE358" s="741"/>
      <c r="AF358" s="741"/>
      <c r="AG358" s="741"/>
      <c r="AH358" s="741"/>
      <c r="AI358" s="741"/>
      <c r="AJ358" s="741"/>
    </row>
    <row r="359" spans="1:36" s="158" customFormat="1" ht="48.75" customHeight="1" x14ac:dyDescent="0.25">
      <c r="B359" s="712"/>
      <c r="C359" s="446"/>
      <c r="D359" s="446"/>
      <c r="E359" s="745"/>
      <c r="F359" s="746"/>
      <c r="G359" s="746"/>
      <c r="H359" s="746"/>
      <c r="I359" s="746"/>
      <c r="J359" s="746"/>
      <c r="K359" s="747"/>
      <c r="M359" s="727" t="s">
        <v>880</v>
      </c>
      <c r="N359" s="728"/>
      <c r="O359" s="728"/>
      <c r="P359" s="728"/>
      <c r="Q359" s="728"/>
      <c r="R359" s="728"/>
      <c r="S359" s="797"/>
      <c r="T359" s="216"/>
      <c r="X359" s="446"/>
      <c r="Y359" s="745"/>
      <c r="Z359" s="746"/>
      <c r="AA359" s="746"/>
      <c r="AB359" s="746"/>
      <c r="AC359" s="746"/>
      <c r="AD359" s="746"/>
      <c r="AE359" s="741"/>
      <c r="AF359" s="741"/>
      <c r="AG359" s="741"/>
      <c r="AH359" s="741"/>
      <c r="AI359" s="741"/>
      <c r="AJ359" s="741"/>
    </row>
    <row r="360" spans="1:36" ht="48.75" customHeight="1" x14ac:dyDescent="0.25">
      <c r="B360" s="712"/>
      <c r="C360" s="446"/>
      <c r="D360" s="446"/>
      <c r="E360" s="748"/>
      <c r="F360" s="749"/>
      <c r="G360" s="749"/>
      <c r="H360" s="749"/>
      <c r="I360" s="749"/>
      <c r="J360" s="749"/>
      <c r="K360" s="750"/>
      <c r="M360" s="817" t="s">
        <v>875</v>
      </c>
      <c r="N360" s="817"/>
      <c r="O360" s="817"/>
      <c r="P360" s="817"/>
      <c r="Q360" s="817"/>
      <c r="R360" s="718" t="s">
        <v>878</v>
      </c>
      <c r="S360" s="718"/>
      <c r="T360" s="718"/>
      <c r="X360" s="446"/>
      <c r="Y360" s="748"/>
      <c r="Z360" s="749"/>
      <c r="AA360" s="749"/>
      <c r="AB360" s="749"/>
      <c r="AC360" s="749"/>
      <c r="AD360" s="749"/>
      <c r="AE360" s="741"/>
      <c r="AF360" s="741"/>
      <c r="AG360" s="741"/>
      <c r="AH360" s="741"/>
      <c r="AI360" s="741"/>
      <c r="AJ360" s="741"/>
    </row>
    <row r="361" spans="1:36" ht="48.75" customHeight="1" x14ac:dyDescent="0.25">
      <c r="B361" s="446" t="s">
        <v>836</v>
      </c>
      <c r="C361" s="446" t="s">
        <v>837</v>
      </c>
      <c r="D361" s="446"/>
      <c r="E361" s="751"/>
      <c r="F361" s="752"/>
      <c r="G361" s="752"/>
      <c r="H361" s="752"/>
      <c r="I361" s="752"/>
      <c r="J361" s="752"/>
      <c r="K361" s="753"/>
      <c r="M361" s="817"/>
      <c r="N361" s="817"/>
      <c r="O361" s="817"/>
      <c r="P361" s="817"/>
      <c r="Q361" s="817"/>
      <c r="R361" s="707" t="s">
        <v>879</v>
      </c>
      <c r="S361" s="708"/>
      <c r="T361" s="719"/>
      <c r="X361" s="446" t="s">
        <v>843</v>
      </c>
      <c r="Y361" s="742"/>
      <c r="Z361" s="743"/>
      <c r="AA361" s="743"/>
      <c r="AB361" s="743"/>
      <c r="AC361" s="743"/>
      <c r="AD361" s="743"/>
      <c r="AE361" s="741"/>
      <c r="AF361" s="741"/>
      <c r="AG361" s="741"/>
      <c r="AH361" s="741"/>
      <c r="AI361" s="741"/>
      <c r="AJ361" s="741"/>
    </row>
    <row r="362" spans="1:36" ht="48.75" customHeight="1" x14ac:dyDescent="0.25">
      <c r="B362" s="446"/>
      <c r="C362" s="446"/>
      <c r="D362" s="446"/>
      <c r="E362" s="754"/>
      <c r="F362" s="755"/>
      <c r="G362" s="755"/>
      <c r="H362" s="755"/>
      <c r="I362" s="755"/>
      <c r="J362" s="755"/>
      <c r="K362" s="756"/>
      <c r="M362" s="217" t="s">
        <v>598</v>
      </c>
      <c r="N362" s="718" t="s">
        <v>877</v>
      </c>
      <c r="O362" s="718"/>
      <c r="P362" s="718" t="s">
        <v>876</v>
      </c>
      <c r="Q362" s="718"/>
      <c r="R362" s="720"/>
      <c r="S362" s="721"/>
      <c r="T362" s="722"/>
      <c r="X362" s="446"/>
      <c r="Y362" s="745"/>
      <c r="Z362" s="746"/>
      <c r="AA362" s="746"/>
      <c r="AB362" s="746"/>
      <c r="AC362" s="746"/>
      <c r="AD362" s="746"/>
      <c r="AE362" s="741"/>
      <c r="AF362" s="741"/>
      <c r="AG362" s="741"/>
      <c r="AH362" s="741"/>
      <c r="AI362" s="741"/>
      <c r="AJ362" s="741"/>
    </row>
    <row r="363" spans="1:36" ht="48.75" customHeight="1" x14ac:dyDescent="0.25">
      <c r="B363" s="446"/>
      <c r="C363" s="446"/>
      <c r="D363" s="446"/>
      <c r="E363" s="757"/>
      <c r="F363" s="758"/>
      <c r="G363" s="758"/>
      <c r="H363" s="758"/>
      <c r="I363" s="758"/>
      <c r="J363" s="758"/>
      <c r="K363" s="759"/>
      <c r="M363" s="217">
        <v>1</v>
      </c>
      <c r="N363" s="718" t="s">
        <v>183</v>
      </c>
      <c r="O363" s="718"/>
      <c r="P363" s="718" t="s">
        <v>183</v>
      </c>
      <c r="Q363" s="718"/>
      <c r="R363" s="720"/>
      <c r="S363" s="721"/>
      <c r="T363" s="722"/>
      <c r="X363" s="446"/>
      <c r="Y363" s="748"/>
      <c r="Z363" s="749"/>
      <c r="AA363" s="749"/>
      <c r="AB363" s="749"/>
      <c r="AC363" s="749"/>
      <c r="AD363" s="749"/>
      <c r="AE363" s="741"/>
      <c r="AF363" s="741"/>
      <c r="AG363" s="741"/>
      <c r="AH363" s="741"/>
      <c r="AI363" s="741"/>
      <c r="AJ363" s="741"/>
    </row>
    <row r="364" spans="1:36" ht="48.75" customHeight="1" x14ac:dyDescent="0.25">
      <c r="B364" s="446" t="s">
        <v>838</v>
      </c>
      <c r="C364" s="446" t="s">
        <v>743</v>
      </c>
      <c r="D364" s="446"/>
      <c r="E364" s="742"/>
      <c r="F364" s="743"/>
      <c r="G364" s="743"/>
      <c r="H364" s="743"/>
      <c r="I364" s="743"/>
      <c r="J364" s="743"/>
      <c r="K364" s="744"/>
      <c r="M364" s="217">
        <v>2</v>
      </c>
      <c r="N364" s="718" t="s">
        <v>184</v>
      </c>
      <c r="O364" s="718"/>
      <c r="P364" s="718" t="s">
        <v>184</v>
      </c>
      <c r="Q364" s="718"/>
      <c r="R364" s="720"/>
      <c r="S364" s="721"/>
      <c r="T364" s="722"/>
      <c r="U364" s="157"/>
      <c r="V364" s="157"/>
      <c r="X364" s="446" t="s">
        <v>844</v>
      </c>
      <c r="Y364" s="742"/>
      <c r="Z364" s="743"/>
      <c r="AA364" s="743"/>
      <c r="AB364" s="743"/>
      <c r="AC364" s="743"/>
      <c r="AD364" s="743"/>
      <c r="AE364" s="741"/>
      <c r="AF364" s="741"/>
      <c r="AG364" s="741"/>
      <c r="AH364" s="741"/>
      <c r="AI364" s="741"/>
      <c r="AJ364" s="741"/>
    </row>
    <row r="365" spans="1:36" ht="48.75" customHeight="1" x14ac:dyDescent="0.25">
      <c r="B365" s="446"/>
      <c r="C365" s="446"/>
      <c r="D365" s="446"/>
      <c r="E365" s="745"/>
      <c r="F365" s="746"/>
      <c r="G365" s="746"/>
      <c r="H365" s="746"/>
      <c r="I365" s="746"/>
      <c r="J365" s="746"/>
      <c r="K365" s="747"/>
      <c r="M365" s="217">
        <v>3</v>
      </c>
      <c r="N365" s="718" t="s">
        <v>185</v>
      </c>
      <c r="O365" s="718"/>
      <c r="P365" s="718" t="s">
        <v>185</v>
      </c>
      <c r="Q365" s="718"/>
      <c r="R365" s="720"/>
      <c r="S365" s="721"/>
      <c r="T365" s="722"/>
      <c r="U365" s="212"/>
      <c r="V365" s="157"/>
      <c r="X365" s="446"/>
      <c r="Y365" s="745"/>
      <c r="Z365" s="746"/>
      <c r="AA365" s="746"/>
      <c r="AB365" s="746"/>
      <c r="AC365" s="746"/>
      <c r="AD365" s="746"/>
      <c r="AE365" s="741"/>
      <c r="AF365" s="741"/>
      <c r="AG365" s="741"/>
      <c r="AH365" s="741"/>
      <c r="AI365" s="741"/>
      <c r="AJ365" s="741"/>
    </row>
    <row r="366" spans="1:36" ht="48.75" customHeight="1" x14ac:dyDescent="0.25">
      <c r="B366" s="446"/>
      <c r="C366" s="446"/>
      <c r="D366" s="446"/>
      <c r="E366" s="748"/>
      <c r="F366" s="749"/>
      <c r="G366" s="749"/>
      <c r="H366" s="749"/>
      <c r="I366" s="749"/>
      <c r="J366" s="749"/>
      <c r="K366" s="750"/>
      <c r="M366" s="217">
        <v>4</v>
      </c>
      <c r="N366" s="718" t="s">
        <v>207</v>
      </c>
      <c r="O366" s="718"/>
      <c r="P366" s="718" t="s">
        <v>205</v>
      </c>
      <c r="Q366" s="718"/>
      <c r="R366" s="720"/>
      <c r="S366" s="721"/>
      <c r="T366" s="722"/>
      <c r="V366" s="157"/>
      <c r="X366" s="446"/>
      <c r="Y366" s="748"/>
      <c r="Z366" s="749"/>
      <c r="AA366" s="749"/>
      <c r="AB366" s="749"/>
      <c r="AC366" s="749"/>
      <c r="AD366" s="749"/>
      <c r="AE366" s="741"/>
      <c r="AF366" s="741"/>
      <c r="AG366" s="741"/>
      <c r="AH366" s="741"/>
      <c r="AI366" s="741"/>
      <c r="AJ366" s="741"/>
    </row>
    <row r="367" spans="1:36" ht="48.75" customHeight="1" x14ac:dyDescent="0.25">
      <c r="K367" s="157"/>
      <c r="M367" s="217">
        <v>5</v>
      </c>
      <c r="N367" s="718" t="s">
        <v>208</v>
      </c>
      <c r="O367" s="718"/>
      <c r="P367" s="718" t="s">
        <v>206</v>
      </c>
      <c r="Q367" s="718"/>
      <c r="R367" s="818"/>
      <c r="S367" s="819"/>
      <c r="T367" s="820"/>
      <c r="X367" s="823"/>
      <c r="Y367" s="824"/>
      <c r="Z367" s="824"/>
      <c r="AA367" s="824"/>
      <c r="AB367" s="824"/>
      <c r="AC367" s="824"/>
      <c r="AD367" s="824"/>
      <c r="AE367" s="824"/>
      <c r="AF367" s="824"/>
      <c r="AG367" s="824"/>
      <c r="AH367" s="824"/>
      <c r="AI367" s="824"/>
      <c r="AJ367" s="825"/>
    </row>
    <row r="368" spans="1:36" ht="48.75" customHeight="1" x14ac:dyDescent="0.25">
      <c r="K368" s="157"/>
      <c r="X368" s="707" t="s">
        <v>858</v>
      </c>
      <c r="Y368" s="708"/>
      <c r="Z368" s="708"/>
      <c r="AA368" s="708"/>
      <c r="AB368" s="708"/>
      <c r="AC368" s="708"/>
      <c r="AD368" s="708"/>
      <c r="AE368" s="708"/>
      <c r="AF368" s="708"/>
      <c r="AG368" s="708"/>
      <c r="AH368" s="708"/>
      <c r="AI368" s="708"/>
      <c r="AJ368" s="719"/>
    </row>
    <row r="369" spans="2:95" ht="48.75" customHeight="1" x14ac:dyDescent="0.25">
      <c r="K369" s="157"/>
      <c r="R369" s="177"/>
      <c r="S369" s="177"/>
      <c r="T369" s="177"/>
      <c r="U369" s="177"/>
      <c r="X369" s="709"/>
      <c r="Y369" s="710"/>
      <c r="Z369" s="710"/>
      <c r="AA369" s="710"/>
      <c r="AB369" s="710"/>
      <c r="AC369" s="710"/>
      <c r="AD369" s="710"/>
      <c r="AE369" s="710"/>
      <c r="AF369" s="710"/>
      <c r="AG369" s="710"/>
      <c r="AH369" s="710"/>
      <c r="AI369" s="710"/>
      <c r="AJ369" s="724"/>
      <c r="AY369" s="124"/>
      <c r="AZ369" s="124"/>
      <c r="BA369" s="124"/>
      <c r="BB369" s="124"/>
      <c r="BC369" s="124"/>
    </row>
    <row r="370" spans="2:95" ht="48.75" customHeight="1" x14ac:dyDescent="0.25">
      <c r="C370" s="157"/>
      <c r="D370" s="157"/>
      <c r="F370" s="157"/>
      <c r="G370" s="157"/>
      <c r="H370" s="157"/>
      <c r="I370" s="157"/>
      <c r="J370" s="157"/>
      <c r="K370" s="157"/>
      <c r="R370" s="177"/>
      <c r="S370" s="177"/>
      <c r="T370" s="177"/>
      <c r="U370" s="49"/>
      <c r="V370" s="212"/>
      <c r="W370" s="212"/>
      <c r="X370" s="211"/>
      <c r="Y370" s="211"/>
      <c r="Z370" s="211"/>
      <c r="AA370" s="177"/>
      <c r="AB370" s="177"/>
      <c r="AC370" s="177"/>
      <c r="AD370" s="177"/>
      <c r="AE370" s="177"/>
      <c r="AF370" s="177"/>
      <c r="AG370" s="177"/>
      <c r="AH370" s="177"/>
      <c r="AI370" s="177"/>
      <c r="AJ370" s="177"/>
      <c r="AY370" s="124"/>
      <c r="AZ370" s="124"/>
      <c r="BA370" s="124"/>
      <c r="BB370" s="124"/>
      <c r="BC370" s="124"/>
    </row>
    <row r="371" spans="2:95" ht="48.75" customHeight="1" x14ac:dyDescent="0.25">
      <c r="C371" s="157"/>
      <c r="D371" s="157"/>
      <c r="F371" s="157"/>
      <c r="G371" s="157"/>
      <c r="H371" s="157"/>
      <c r="I371" s="157"/>
      <c r="J371" s="157"/>
      <c r="K371" s="157"/>
      <c r="R371" s="177"/>
      <c r="S371" s="177"/>
      <c r="T371" s="177"/>
      <c r="U371" s="49"/>
      <c r="V371" s="212"/>
      <c r="W371" s="212"/>
      <c r="X371" s="211"/>
      <c r="Y371" s="211"/>
      <c r="Z371" s="211"/>
      <c r="AA371" s="177"/>
      <c r="AB371" s="177"/>
      <c r="AC371" s="177"/>
      <c r="AD371" s="177"/>
      <c r="AE371" s="177"/>
      <c r="AF371" s="177"/>
      <c r="AG371" s="177"/>
      <c r="AH371" s="177"/>
      <c r="AI371" s="177"/>
      <c r="AJ371" s="177"/>
      <c r="AY371" s="124"/>
      <c r="AZ371" s="124"/>
      <c r="BA371" s="124"/>
      <c r="BB371" s="124"/>
      <c r="BC371" s="124"/>
    </row>
    <row r="372" spans="2:95" ht="48.75" customHeight="1" x14ac:dyDescent="0.25">
      <c r="C372" s="157"/>
      <c r="D372" s="157"/>
      <c r="F372" s="157"/>
      <c r="G372" s="157"/>
      <c r="H372" s="157"/>
      <c r="I372" s="157"/>
      <c r="J372" s="157"/>
      <c r="K372" s="157"/>
      <c r="R372" s="177"/>
      <c r="S372" s="177"/>
      <c r="T372" s="177"/>
      <c r="U372" s="49"/>
      <c r="V372" s="212"/>
      <c r="W372" s="212"/>
      <c r="X372" s="211"/>
      <c r="Y372" s="211"/>
      <c r="Z372" s="211"/>
      <c r="AA372" s="177"/>
      <c r="AB372" s="177"/>
      <c r="AC372" s="177"/>
      <c r="AD372" s="177"/>
      <c r="AE372" s="177"/>
      <c r="AF372" s="177"/>
      <c r="AG372" s="177"/>
      <c r="AH372" s="177"/>
      <c r="AI372" s="177"/>
      <c r="AJ372" s="177"/>
      <c r="BU372" s="125"/>
      <c r="BV372" s="125"/>
      <c r="BW372" s="125"/>
      <c r="BX372" s="125"/>
      <c r="BY372" s="125"/>
      <c r="BZ372" s="125"/>
      <c r="CA372" s="125"/>
      <c r="CB372" s="125"/>
      <c r="CC372" s="125"/>
      <c r="CD372" s="125"/>
      <c r="CE372" s="125"/>
      <c r="CF372" s="125"/>
      <c r="CG372" s="125"/>
      <c r="CH372" s="125"/>
      <c r="CI372" s="125"/>
      <c r="CJ372" s="125"/>
      <c r="CK372" s="125"/>
      <c r="CL372" s="125"/>
      <c r="CM372" s="125"/>
      <c r="CN372" s="125"/>
      <c r="CO372" s="125"/>
      <c r="CP372" s="125"/>
      <c r="CQ372" s="125"/>
    </row>
    <row r="373" spans="2:95" ht="48.75" customHeight="1" x14ac:dyDescent="0.25">
      <c r="C373" s="157"/>
      <c r="D373" s="157"/>
      <c r="F373" s="157"/>
      <c r="G373" s="157"/>
      <c r="H373" s="157"/>
      <c r="I373" s="157"/>
      <c r="J373" s="157"/>
      <c r="K373" s="157"/>
      <c r="R373" s="177"/>
      <c r="S373" s="177"/>
      <c r="T373" s="177"/>
      <c r="U373" s="49"/>
      <c r="V373" s="49"/>
      <c r="W373" s="49"/>
      <c r="X373" s="177"/>
      <c r="Y373" s="177"/>
      <c r="Z373" s="177"/>
      <c r="AA373" s="177"/>
      <c r="AB373" s="177"/>
      <c r="AC373" s="177"/>
      <c r="AD373" s="177"/>
      <c r="AE373" s="177"/>
      <c r="AF373" s="177"/>
      <c r="AG373" s="177"/>
      <c r="AH373" s="177"/>
      <c r="AI373" s="177"/>
      <c r="AJ373" s="177"/>
      <c r="BU373" s="125"/>
      <c r="BV373" s="125"/>
      <c r="BW373" s="125"/>
      <c r="BX373" s="125"/>
      <c r="BY373" s="125"/>
      <c r="BZ373" s="125"/>
      <c r="CA373" s="125"/>
      <c r="CB373" s="125"/>
      <c r="CC373" s="125"/>
      <c r="CD373" s="125"/>
      <c r="CE373" s="125"/>
      <c r="CF373" s="125"/>
      <c r="CG373" s="125"/>
      <c r="CH373" s="125"/>
      <c r="CI373" s="125"/>
      <c r="CJ373" s="125"/>
      <c r="CK373" s="125"/>
      <c r="CL373" s="125"/>
      <c r="CM373" s="125"/>
      <c r="CN373" s="125"/>
      <c r="CO373" s="125"/>
      <c r="CP373" s="125"/>
      <c r="CQ373" s="125"/>
    </row>
    <row r="374" spans="2:95" ht="48.75" customHeight="1" x14ac:dyDescent="0.25">
      <c r="C374" s="157"/>
      <c r="D374" s="157"/>
      <c r="F374" s="157"/>
      <c r="G374" s="157"/>
      <c r="H374" s="157"/>
      <c r="I374" s="157"/>
      <c r="J374" s="157"/>
      <c r="K374" s="157"/>
      <c r="L374" s="157"/>
      <c r="M374" s="157"/>
      <c r="N374" s="157"/>
      <c r="O374" s="157"/>
      <c r="P374" s="157"/>
      <c r="Q374" s="157"/>
      <c r="R374" s="177"/>
      <c r="S374" s="177"/>
      <c r="T374" s="177"/>
      <c r="U374" s="177"/>
      <c r="V374" s="177"/>
      <c r="W374" s="177"/>
      <c r="X374" s="177"/>
      <c r="Y374" s="177"/>
      <c r="Z374" s="177"/>
      <c r="AA374" s="177"/>
      <c r="AB374" s="177"/>
      <c r="AC374" s="177"/>
      <c r="AD374" s="177"/>
      <c r="AE374" s="177"/>
      <c r="AF374" s="177"/>
      <c r="AG374" s="177"/>
      <c r="AH374" s="177"/>
      <c r="AI374" s="177"/>
      <c r="AJ374" s="177"/>
      <c r="BU374" s="125"/>
      <c r="BV374" s="125"/>
      <c r="BW374" s="125"/>
      <c r="BX374" s="125"/>
      <c r="BY374" s="125"/>
      <c r="BZ374" s="125"/>
      <c r="CA374" s="125"/>
      <c r="CB374" s="125"/>
      <c r="CC374" s="125"/>
      <c r="CD374" s="125"/>
      <c r="CE374" s="125"/>
      <c r="CF374" s="125"/>
      <c r="CG374" s="125"/>
      <c r="CH374" s="125"/>
      <c r="CI374" s="125"/>
      <c r="CJ374" s="125"/>
      <c r="CK374" s="125"/>
      <c r="CL374" s="125"/>
      <c r="CM374" s="125"/>
      <c r="CN374" s="125"/>
      <c r="CO374" s="125"/>
      <c r="CP374" s="125"/>
      <c r="CQ374" s="125"/>
    </row>
    <row r="375" spans="2:95" ht="48.75" customHeight="1" x14ac:dyDescent="0.25">
      <c r="D375" s="158"/>
      <c r="F375" s="158"/>
      <c r="H375" s="22"/>
      <c r="I375" s="22"/>
      <c r="J375" s="157"/>
      <c r="K375" s="157"/>
      <c r="L375" s="157"/>
      <c r="M375" s="157"/>
      <c r="N375" s="157"/>
      <c r="O375" s="157"/>
      <c r="P375" s="157"/>
      <c r="Q375" s="157"/>
      <c r="R375" s="177"/>
      <c r="S375" s="177"/>
      <c r="T375" s="177"/>
      <c r="U375" s="177"/>
      <c r="V375" s="177"/>
      <c r="W375" s="177"/>
      <c r="X375" s="177"/>
      <c r="Y375" s="177"/>
      <c r="Z375" s="177"/>
      <c r="AA375" s="177"/>
      <c r="AB375" s="177"/>
      <c r="AC375" s="177"/>
      <c r="AD375" s="177"/>
      <c r="AE375" s="177"/>
      <c r="AF375" s="177"/>
      <c r="AG375" s="177"/>
      <c r="AH375" s="177"/>
      <c r="AI375" s="177"/>
      <c r="AJ375" s="177"/>
      <c r="BI375" s="23"/>
      <c r="BK375" s="125"/>
      <c r="BL375" s="125"/>
      <c r="BM375" s="125"/>
      <c r="BN375" s="125"/>
      <c r="BO375" s="125"/>
      <c r="BP375" s="125"/>
      <c r="BQ375" s="125"/>
      <c r="BR375" s="125"/>
      <c r="BS375" s="125"/>
      <c r="BT375" s="125"/>
      <c r="BU375" s="125"/>
      <c r="BV375" s="125"/>
      <c r="BW375" s="125"/>
      <c r="BX375" s="125"/>
      <c r="BY375" s="125"/>
      <c r="BZ375" s="125"/>
      <c r="CA375" s="125"/>
      <c r="CB375" s="125"/>
      <c r="CC375" s="125"/>
      <c r="CD375" s="125"/>
      <c r="CE375" s="125"/>
      <c r="CF375" s="125"/>
      <c r="CG375" s="125"/>
      <c r="CH375" s="125"/>
      <c r="CI375" s="125"/>
      <c r="CJ375" s="125"/>
      <c r="CK375" s="125"/>
      <c r="CL375" s="125"/>
      <c r="CM375" s="125"/>
      <c r="CN375" s="125"/>
      <c r="CO375" s="125"/>
      <c r="CP375" s="125"/>
      <c r="CQ375" s="125"/>
    </row>
    <row r="376" spans="2:95" ht="48.75" customHeight="1" x14ac:dyDescent="0.25">
      <c r="D376" s="158"/>
      <c r="F376" s="158"/>
      <c r="H376" s="22"/>
      <c r="I376" s="22"/>
      <c r="J376" s="157"/>
      <c r="K376" s="157"/>
      <c r="L376" s="157"/>
      <c r="M376" s="157"/>
      <c r="N376" s="157"/>
      <c r="O376" s="157"/>
      <c r="P376" s="157"/>
      <c r="Q376" s="157"/>
      <c r="R376" s="177"/>
      <c r="S376" s="177"/>
      <c r="T376" s="177"/>
      <c r="U376" s="177"/>
      <c r="V376" s="177"/>
      <c r="W376" s="177"/>
      <c r="X376" s="177"/>
      <c r="Y376" s="177"/>
      <c r="Z376" s="177"/>
      <c r="AA376" s="177"/>
      <c r="AB376" s="177"/>
      <c r="AC376" s="177"/>
      <c r="AD376" s="177"/>
      <c r="AE376" s="177"/>
      <c r="AF376" s="177"/>
      <c r="AG376" s="177"/>
      <c r="AH376" s="177"/>
      <c r="AI376" s="177"/>
      <c r="AJ376" s="177"/>
      <c r="BI376" s="23"/>
      <c r="BK376" s="125"/>
      <c r="BL376" s="125"/>
      <c r="BM376" s="125"/>
      <c r="BN376" s="125"/>
      <c r="BO376" s="125"/>
      <c r="BP376" s="125"/>
      <c r="BQ376" s="125"/>
      <c r="BR376" s="125"/>
      <c r="BS376" s="125"/>
      <c r="BT376" s="125"/>
      <c r="BU376" s="125"/>
      <c r="BV376" s="125"/>
      <c r="BW376" s="125"/>
      <c r="BX376" s="125"/>
      <c r="BY376" s="125"/>
      <c r="BZ376" s="125"/>
      <c r="CA376" s="125"/>
      <c r="CB376" s="125"/>
      <c r="CC376" s="125"/>
      <c r="CD376" s="125"/>
      <c r="CE376" s="125"/>
      <c r="CF376" s="125"/>
      <c r="CG376" s="125"/>
      <c r="CH376" s="125"/>
      <c r="CI376" s="125"/>
      <c r="CJ376" s="125"/>
      <c r="CK376" s="125"/>
      <c r="CL376" s="125"/>
      <c r="CM376" s="125"/>
      <c r="CN376" s="125"/>
      <c r="CO376" s="125"/>
      <c r="CP376" s="125"/>
      <c r="CQ376" s="125"/>
    </row>
    <row r="377" spans="2:95" ht="48.75" customHeight="1" x14ac:dyDescent="0.25">
      <c r="D377" s="158"/>
      <c r="F377" s="158"/>
      <c r="H377" s="22"/>
      <c r="I377" s="22"/>
      <c r="J377" s="157"/>
      <c r="K377" s="157"/>
      <c r="R377" s="177"/>
      <c r="S377" s="177"/>
      <c r="T377" s="177"/>
      <c r="U377" s="177"/>
      <c r="V377" s="177"/>
      <c r="W377" s="177"/>
      <c r="X377" s="177"/>
      <c r="Y377" s="177"/>
      <c r="Z377" s="177"/>
      <c r="AA377" s="177"/>
      <c r="AB377" s="177"/>
      <c r="AC377" s="177"/>
      <c r="AD377" s="177"/>
      <c r="AE377" s="177"/>
      <c r="AF377" s="177"/>
      <c r="AG377" s="177"/>
      <c r="AH377" s="177"/>
      <c r="AI377" s="177"/>
      <c r="AJ377" s="177"/>
      <c r="BI377" s="23"/>
      <c r="BK377" s="125"/>
      <c r="BL377" s="125"/>
      <c r="BM377" s="125"/>
      <c r="BN377" s="125"/>
      <c r="BO377" s="125"/>
      <c r="BP377" s="125"/>
      <c r="BQ377" s="125"/>
      <c r="BR377" s="125"/>
      <c r="BS377" s="125"/>
      <c r="BT377" s="125"/>
      <c r="BU377" s="125"/>
      <c r="BV377" s="125"/>
      <c r="BW377" s="125"/>
      <c r="BX377" s="125"/>
      <c r="BY377" s="125"/>
      <c r="BZ377" s="125"/>
      <c r="CA377" s="125"/>
      <c r="CB377" s="125"/>
      <c r="CC377" s="125"/>
      <c r="CD377" s="125"/>
      <c r="CE377" s="125"/>
      <c r="CF377" s="125"/>
      <c r="CG377" s="125"/>
      <c r="CH377" s="125"/>
      <c r="CI377" s="125"/>
      <c r="CJ377" s="125"/>
      <c r="CK377" s="125"/>
      <c r="CL377" s="125"/>
      <c r="CM377" s="125"/>
      <c r="CN377" s="125"/>
      <c r="CO377" s="125"/>
      <c r="CP377" s="125"/>
      <c r="CQ377" s="125"/>
    </row>
    <row r="378" spans="2:95" ht="48.75" customHeight="1" x14ac:dyDescent="0.25">
      <c r="C378" s="22"/>
      <c r="D378" s="157"/>
      <c r="F378" s="157"/>
      <c r="G378" s="22"/>
      <c r="H378" s="22"/>
      <c r="I378" s="22"/>
      <c r="J378" s="157"/>
      <c r="K378" s="157"/>
      <c r="R378" s="177"/>
      <c r="S378" s="177"/>
      <c r="T378" s="177"/>
      <c r="U378" s="177"/>
      <c r="V378" s="177"/>
      <c r="W378" s="177"/>
      <c r="X378" s="177"/>
      <c r="Y378" s="177"/>
      <c r="Z378" s="177"/>
      <c r="AA378" s="177"/>
      <c r="AB378" s="177"/>
      <c r="AC378" s="177"/>
      <c r="AD378" s="177"/>
      <c r="AE378" s="177"/>
      <c r="AF378" s="177"/>
      <c r="AG378" s="177"/>
      <c r="AH378" s="177"/>
      <c r="AI378" s="177"/>
      <c r="AJ378" s="177"/>
      <c r="BI378" s="23"/>
      <c r="BK378" s="125"/>
      <c r="BL378" s="125"/>
      <c r="BM378" s="125"/>
      <c r="BN378" s="125"/>
      <c r="BO378" s="125"/>
      <c r="BP378" s="125"/>
      <c r="BQ378" s="125"/>
      <c r="BR378" s="125"/>
      <c r="BS378" s="125"/>
      <c r="BT378" s="125"/>
      <c r="BU378" s="125"/>
      <c r="BV378" s="125"/>
      <c r="BW378" s="125"/>
      <c r="BX378" s="125"/>
      <c r="BY378" s="125"/>
      <c r="BZ378" s="125"/>
      <c r="CA378" s="125"/>
      <c r="CB378" s="125"/>
      <c r="CC378" s="125"/>
      <c r="CD378" s="125"/>
      <c r="CE378" s="125"/>
      <c r="CF378" s="125"/>
      <c r="CG378" s="125"/>
      <c r="CH378" s="125"/>
      <c r="CI378" s="125"/>
      <c r="CJ378" s="125"/>
      <c r="CK378" s="125"/>
      <c r="CL378" s="125"/>
      <c r="CM378" s="125"/>
      <c r="CN378" s="125"/>
      <c r="CO378" s="125"/>
      <c r="CP378" s="125"/>
      <c r="CQ378" s="125"/>
    </row>
    <row r="379" spans="2:95" ht="48.75" customHeight="1" x14ac:dyDescent="0.25">
      <c r="C379" s="22"/>
      <c r="D379" s="157"/>
      <c r="F379" s="157"/>
      <c r="G379" s="22"/>
      <c r="H379" s="22"/>
      <c r="I379" s="22"/>
      <c r="J379" s="157"/>
      <c r="K379" s="157"/>
      <c r="R379" s="177"/>
      <c r="S379" s="177"/>
      <c r="T379" s="177"/>
      <c r="U379" s="177"/>
      <c r="V379" s="177"/>
      <c r="W379" s="177"/>
      <c r="X379" s="177"/>
      <c r="Y379" s="177"/>
      <c r="Z379" s="177"/>
      <c r="AA379" s="177"/>
      <c r="AB379" s="177"/>
      <c r="AC379" s="177"/>
      <c r="AD379" s="177"/>
      <c r="AE379" s="177"/>
      <c r="AF379" s="177"/>
      <c r="AG379" s="177"/>
      <c r="AH379" s="177"/>
      <c r="AI379" s="177"/>
      <c r="AJ379" s="177"/>
      <c r="BI379" s="23"/>
      <c r="BK379" s="125"/>
      <c r="BL379" s="125"/>
      <c r="BM379" s="125"/>
      <c r="BN379" s="125"/>
      <c r="BO379" s="125"/>
      <c r="BP379" s="125"/>
      <c r="BQ379" s="125"/>
      <c r="BR379" s="125"/>
      <c r="BS379" s="125"/>
      <c r="BT379" s="125"/>
      <c r="BU379" s="125"/>
      <c r="BV379" s="125"/>
      <c r="BW379" s="125"/>
      <c r="BX379" s="125"/>
      <c r="BY379" s="125"/>
      <c r="BZ379" s="125"/>
      <c r="CA379" s="125"/>
      <c r="CB379" s="125"/>
      <c r="CC379" s="125"/>
      <c r="CD379" s="125"/>
      <c r="CE379" s="125"/>
      <c r="CF379" s="125"/>
      <c r="CG379" s="125"/>
      <c r="CH379" s="125"/>
      <c r="CI379" s="125"/>
      <c r="CJ379" s="125"/>
      <c r="CK379" s="125"/>
      <c r="CL379" s="125"/>
      <c r="CM379" s="125"/>
      <c r="CN379" s="125"/>
      <c r="CO379" s="125"/>
      <c r="CP379" s="125"/>
      <c r="CQ379" s="125"/>
    </row>
    <row r="380" spans="2:95" ht="48.75" customHeight="1" x14ac:dyDescent="0.25">
      <c r="C380" s="22"/>
      <c r="D380" s="22"/>
      <c r="F380" s="22"/>
      <c r="G380" s="22"/>
      <c r="H380" s="22"/>
      <c r="I380" s="22"/>
      <c r="J380" s="157"/>
      <c r="K380" s="157"/>
      <c r="R380" s="177"/>
      <c r="S380" s="177"/>
      <c r="T380" s="177"/>
      <c r="U380" s="177"/>
      <c r="V380" s="177"/>
      <c r="W380" s="177"/>
      <c r="X380" s="177"/>
      <c r="Y380" s="177"/>
      <c r="Z380" s="177"/>
      <c r="AA380" s="177"/>
      <c r="AB380" s="177"/>
      <c r="AC380" s="177"/>
      <c r="AD380" s="177"/>
      <c r="AE380" s="177"/>
      <c r="AF380" s="177"/>
      <c r="AG380" s="177"/>
      <c r="AH380" s="177"/>
      <c r="AI380" s="177"/>
      <c r="AJ380" s="177"/>
      <c r="BI380" s="23"/>
      <c r="BK380" s="125"/>
      <c r="BL380" s="125"/>
      <c r="BM380" s="125"/>
      <c r="BN380" s="125"/>
      <c r="BO380" s="125"/>
      <c r="BP380" s="125"/>
      <c r="BQ380" s="125"/>
      <c r="BR380" s="125"/>
      <c r="BS380" s="125"/>
      <c r="BT380" s="125"/>
      <c r="BU380" s="125"/>
      <c r="BV380" s="125"/>
      <c r="BW380" s="125"/>
      <c r="BX380" s="125"/>
      <c r="BY380" s="125"/>
      <c r="BZ380" s="125"/>
      <c r="CA380" s="125"/>
      <c r="CB380" s="125"/>
      <c r="CC380" s="125"/>
      <c r="CD380" s="125"/>
      <c r="CE380" s="125"/>
      <c r="CF380" s="125"/>
      <c r="CG380" s="125"/>
      <c r="CH380" s="125"/>
      <c r="CI380" s="125"/>
      <c r="CJ380" s="125"/>
      <c r="CK380" s="125"/>
      <c r="CL380" s="125"/>
      <c r="CM380" s="125"/>
      <c r="CN380" s="125"/>
      <c r="CO380" s="125"/>
      <c r="CP380" s="125"/>
      <c r="CQ380" s="125"/>
    </row>
    <row r="381" spans="2:95" ht="48.75" customHeight="1" x14ac:dyDescent="0.25">
      <c r="H381" s="22"/>
      <c r="I381" s="22"/>
      <c r="J381" s="157"/>
      <c r="K381" s="157"/>
      <c r="R381" s="177"/>
      <c r="S381" s="177"/>
      <c r="T381" s="177"/>
      <c r="U381" s="177"/>
      <c r="V381" s="177"/>
      <c r="W381" s="177"/>
      <c r="X381" s="177"/>
      <c r="Y381" s="177"/>
      <c r="Z381" s="177"/>
      <c r="AA381" s="177"/>
      <c r="AB381" s="177"/>
      <c r="AC381" s="177"/>
      <c r="AD381" s="177"/>
      <c r="AE381" s="177"/>
      <c r="AF381" s="177"/>
      <c r="AG381" s="177"/>
      <c r="AH381" s="177"/>
      <c r="AI381" s="177"/>
      <c r="AJ381" s="177"/>
      <c r="BI381" s="23"/>
      <c r="BK381" s="125"/>
      <c r="BL381" s="125"/>
      <c r="BM381" s="125"/>
      <c r="BN381" s="125"/>
      <c r="BO381" s="125"/>
      <c r="BP381" s="125"/>
      <c r="BQ381" s="125"/>
      <c r="BR381" s="125"/>
      <c r="BS381" s="125"/>
      <c r="BT381" s="125"/>
      <c r="BU381" s="125"/>
      <c r="BV381" s="125"/>
      <c r="BW381" s="125"/>
      <c r="BX381" s="125"/>
      <c r="BY381" s="125"/>
      <c r="BZ381" s="125"/>
      <c r="CA381" s="125"/>
      <c r="CB381" s="125"/>
      <c r="CC381" s="125"/>
      <c r="CD381" s="125"/>
      <c r="CE381" s="125"/>
      <c r="CF381" s="125"/>
      <c r="CG381" s="125"/>
      <c r="CH381" s="125"/>
      <c r="CI381" s="125"/>
      <c r="CJ381" s="125"/>
      <c r="CK381" s="125"/>
      <c r="CL381" s="125"/>
      <c r="CM381" s="125"/>
      <c r="CN381" s="125"/>
      <c r="CO381" s="125"/>
      <c r="CP381" s="125"/>
      <c r="CQ381" s="125"/>
    </row>
    <row r="382" spans="2:95" ht="48.75" customHeight="1" x14ac:dyDescent="0.25">
      <c r="B382" s="22"/>
      <c r="H382" s="22"/>
      <c r="I382" s="22"/>
      <c r="J382" s="157"/>
      <c r="K382" s="157"/>
      <c r="R382" s="177"/>
      <c r="S382" s="177"/>
      <c r="T382" s="177"/>
      <c r="U382" s="177"/>
      <c r="V382" s="177"/>
      <c r="W382" s="177"/>
      <c r="X382" s="177"/>
      <c r="Y382" s="177"/>
      <c r="Z382" s="177"/>
      <c r="AA382" s="177"/>
      <c r="AB382" s="177"/>
      <c r="AC382" s="177"/>
      <c r="AD382" s="177"/>
      <c r="AE382" s="177"/>
      <c r="AF382" s="177"/>
      <c r="AG382" s="177"/>
      <c r="AH382" s="177"/>
      <c r="AI382" s="177"/>
      <c r="AJ382" s="177"/>
      <c r="BI382" s="23"/>
      <c r="BK382" s="125"/>
      <c r="BL382" s="125"/>
      <c r="BM382" s="125"/>
      <c r="BN382" s="125"/>
      <c r="BO382" s="125"/>
      <c r="BP382" s="125"/>
      <c r="BQ382" s="125"/>
      <c r="BR382" s="125"/>
      <c r="BS382" s="125"/>
      <c r="BT382" s="125"/>
      <c r="BU382" s="125"/>
      <c r="BV382" s="125"/>
      <c r="BW382" s="125"/>
      <c r="BX382" s="125"/>
      <c r="BY382" s="125"/>
      <c r="BZ382" s="125"/>
      <c r="CA382" s="125"/>
      <c r="CB382" s="125"/>
      <c r="CC382" s="125"/>
      <c r="CD382" s="125"/>
      <c r="CE382" s="125"/>
      <c r="CF382" s="125"/>
      <c r="CG382" s="125"/>
      <c r="CH382" s="125"/>
      <c r="CI382" s="125"/>
      <c r="CJ382" s="125"/>
      <c r="CK382" s="125"/>
      <c r="CL382" s="125"/>
      <c r="CM382" s="125"/>
      <c r="CN382" s="125"/>
      <c r="CO382" s="125"/>
      <c r="CP382" s="125"/>
      <c r="CQ382" s="125"/>
    </row>
    <row r="383" spans="2:95" ht="48.75" customHeight="1" x14ac:dyDescent="0.25">
      <c r="B383" s="22"/>
      <c r="H383" s="22"/>
      <c r="I383" s="22"/>
      <c r="J383" s="157"/>
      <c r="K383" s="157"/>
      <c r="BI383" s="23"/>
      <c r="BK383" s="125"/>
      <c r="BL383" s="125"/>
      <c r="BM383" s="125"/>
      <c r="BN383" s="125"/>
      <c r="BO383" s="125"/>
      <c r="BP383" s="125"/>
      <c r="BQ383" s="125"/>
      <c r="BR383" s="125"/>
      <c r="BS383" s="125"/>
      <c r="BT383" s="125"/>
      <c r="BU383" s="125"/>
      <c r="BV383" s="125"/>
      <c r="BW383" s="125"/>
      <c r="BX383" s="125"/>
      <c r="BY383" s="125"/>
      <c r="BZ383" s="125"/>
      <c r="CA383" s="125"/>
      <c r="CB383" s="125"/>
      <c r="CC383" s="125"/>
      <c r="CD383" s="125"/>
      <c r="CE383" s="125"/>
      <c r="CF383" s="125"/>
      <c r="CG383" s="125"/>
      <c r="CH383" s="125"/>
      <c r="CI383" s="125"/>
      <c r="CJ383" s="125"/>
      <c r="CK383" s="125"/>
      <c r="CL383" s="125"/>
      <c r="CM383" s="125"/>
      <c r="CN383" s="125"/>
      <c r="CO383" s="125"/>
      <c r="CP383" s="125"/>
      <c r="CQ383" s="125"/>
    </row>
    <row r="384" spans="2:95" ht="48.75" customHeight="1" x14ac:dyDescent="0.25">
      <c r="B384" s="22"/>
      <c r="H384" s="22"/>
      <c r="I384" s="22"/>
      <c r="J384" s="157"/>
      <c r="K384" s="157"/>
      <c r="BI384" s="23"/>
      <c r="BK384" s="125"/>
      <c r="BL384" s="125"/>
      <c r="BM384" s="125"/>
      <c r="BN384" s="125"/>
      <c r="BO384" s="125"/>
      <c r="BP384" s="125"/>
      <c r="BQ384" s="125"/>
      <c r="BR384" s="125"/>
      <c r="BS384" s="125"/>
      <c r="BT384" s="125"/>
      <c r="BU384" s="125"/>
      <c r="BV384" s="125"/>
      <c r="BW384" s="125"/>
      <c r="BX384" s="125"/>
      <c r="BY384" s="125"/>
      <c r="BZ384" s="125"/>
      <c r="CA384" s="125"/>
      <c r="CB384" s="125"/>
      <c r="CC384" s="125"/>
      <c r="CD384" s="125"/>
      <c r="CE384" s="125"/>
      <c r="CF384" s="125"/>
      <c r="CG384" s="125"/>
      <c r="CH384" s="125"/>
      <c r="CI384" s="125"/>
      <c r="CJ384" s="125"/>
      <c r="CK384" s="125"/>
      <c r="CL384" s="125"/>
      <c r="CM384" s="125"/>
      <c r="CN384" s="125"/>
      <c r="CO384" s="125"/>
      <c r="CP384" s="125"/>
      <c r="CQ384" s="125"/>
    </row>
    <row r="385" spans="2:95" ht="48.75" customHeight="1" x14ac:dyDescent="0.25">
      <c r="B385" s="22"/>
      <c r="H385" s="22"/>
      <c r="I385" s="22"/>
      <c r="J385" s="157"/>
      <c r="K385" s="157"/>
      <c r="BB385" s="125"/>
      <c r="BC385" s="125"/>
      <c r="BD385" s="125"/>
      <c r="BE385" s="125"/>
      <c r="BF385" s="125"/>
      <c r="BG385" s="125"/>
      <c r="BH385" s="125"/>
      <c r="BI385" s="140"/>
      <c r="BJ385" s="125"/>
      <c r="BK385" s="125"/>
      <c r="BL385" s="125"/>
      <c r="BM385" s="125"/>
      <c r="BN385" s="125"/>
      <c r="BO385" s="125"/>
      <c r="BP385" s="125"/>
      <c r="BQ385" s="125"/>
      <c r="BR385" s="125"/>
      <c r="BS385" s="125"/>
      <c r="BT385" s="125"/>
      <c r="BU385" s="125"/>
      <c r="BV385" s="125"/>
      <c r="BW385" s="125"/>
      <c r="BX385" s="125"/>
      <c r="BY385" s="125"/>
      <c r="BZ385" s="125"/>
      <c r="CA385" s="125"/>
      <c r="CB385" s="125"/>
      <c r="CC385" s="125"/>
      <c r="CD385" s="125"/>
      <c r="CE385" s="125"/>
      <c r="CF385" s="125"/>
      <c r="CG385" s="125"/>
      <c r="CH385" s="125"/>
      <c r="CI385" s="125"/>
      <c r="CJ385" s="125"/>
      <c r="CK385" s="125"/>
      <c r="CL385" s="125"/>
      <c r="CM385" s="125"/>
      <c r="CN385" s="125"/>
      <c r="CO385" s="125"/>
      <c r="CP385" s="125"/>
      <c r="CQ385" s="125"/>
    </row>
    <row r="386" spans="2:95" ht="48.75" customHeight="1" x14ac:dyDescent="0.25">
      <c r="B386" s="22"/>
      <c r="H386" s="22"/>
      <c r="I386" s="22"/>
      <c r="J386" s="22"/>
      <c r="K386" s="22"/>
      <c r="BB386" s="125"/>
      <c r="BC386" s="125"/>
      <c r="BD386" s="125"/>
      <c r="BE386" s="125"/>
      <c r="BF386" s="125"/>
      <c r="BG386" s="125"/>
      <c r="BH386" s="125"/>
      <c r="BI386" s="140"/>
      <c r="BJ386" s="125"/>
      <c r="BK386" s="125"/>
      <c r="BL386" s="125"/>
      <c r="BM386" s="125"/>
      <c r="BN386" s="125"/>
      <c r="BO386" s="125"/>
      <c r="BP386" s="125"/>
      <c r="BQ386" s="125"/>
      <c r="BR386" s="125"/>
      <c r="BS386" s="125"/>
      <c r="BT386" s="125"/>
      <c r="BU386" s="125"/>
      <c r="BV386" s="125"/>
      <c r="BW386" s="125"/>
      <c r="BX386" s="125"/>
      <c r="BY386" s="125"/>
      <c r="BZ386" s="125"/>
      <c r="CA386" s="125"/>
      <c r="CB386" s="125"/>
      <c r="CC386" s="125"/>
      <c r="CD386" s="125"/>
      <c r="CE386" s="125"/>
      <c r="CF386" s="125"/>
      <c r="CG386" s="125"/>
      <c r="CH386" s="125"/>
      <c r="CI386" s="125"/>
      <c r="CJ386" s="125"/>
      <c r="CK386" s="125"/>
      <c r="CL386" s="125"/>
      <c r="CM386" s="125"/>
      <c r="CN386" s="125"/>
      <c r="CO386" s="125"/>
      <c r="CP386" s="125"/>
      <c r="CQ386" s="125"/>
    </row>
    <row r="387" spans="2:95" ht="48.75" customHeight="1" x14ac:dyDescent="0.25">
      <c r="B387" s="22"/>
      <c r="H387" s="22"/>
      <c r="I387" s="22"/>
      <c r="J387" s="22"/>
      <c r="K387" s="22"/>
      <c r="BB387" s="125"/>
      <c r="BC387" s="125"/>
      <c r="BD387" s="125"/>
      <c r="BE387" s="125"/>
      <c r="BF387" s="125"/>
      <c r="BG387" s="125"/>
      <c r="BH387" s="125"/>
      <c r="BI387" s="140"/>
      <c r="BJ387" s="125"/>
      <c r="BK387" s="125"/>
      <c r="BL387" s="125"/>
      <c r="BM387" s="125"/>
      <c r="BN387" s="125"/>
      <c r="BO387" s="125"/>
      <c r="BP387" s="125"/>
      <c r="BQ387" s="125"/>
      <c r="BR387" s="125"/>
      <c r="BS387" s="125"/>
      <c r="BT387" s="125"/>
      <c r="BU387" s="125"/>
      <c r="BV387" s="125"/>
      <c r="BW387" s="125"/>
      <c r="BX387" s="125"/>
      <c r="BY387" s="125"/>
      <c r="BZ387" s="125"/>
      <c r="CA387" s="125"/>
      <c r="CB387" s="125"/>
      <c r="CC387" s="125"/>
      <c r="CD387" s="125"/>
      <c r="CE387" s="125"/>
      <c r="CF387" s="125"/>
      <c r="CG387" s="125"/>
      <c r="CH387" s="125"/>
      <c r="CI387" s="125"/>
      <c r="CJ387" s="125"/>
      <c r="CK387" s="125"/>
      <c r="CL387" s="125"/>
      <c r="CM387" s="125"/>
      <c r="CN387" s="125"/>
      <c r="CO387" s="125"/>
      <c r="CP387" s="125"/>
      <c r="CQ387" s="125"/>
    </row>
    <row r="388" spans="2:95" ht="48.75" customHeight="1" x14ac:dyDescent="0.25">
      <c r="B388" s="22"/>
      <c r="C388" s="22"/>
      <c r="D388" s="22"/>
      <c r="E388" s="22"/>
      <c r="F388" s="22"/>
      <c r="G388" s="22"/>
      <c r="H388" s="22"/>
      <c r="I388" s="22"/>
      <c r="J388" s="22"/>
      <c r="K388" s="22"/>
      <c r="BB388" s="125"/>
      <c r="BC388" s="125"/>
      <c r="BD388" s="125"/>
      <c r="BE388" s="125"/>
      <c r="BF388" s="125"/>
      <c r="BG388" s="125"/>
      <c r="BH388" s="125"/>
      <c r="BI388" s="140"/>
      <c r="BJ388" s="125"/>
      <c r="BK388" s="125"/>
      <c r="BL388" s="125"/>
      <c r="BM388" s="125"/>
      <c r="BN388" s="125"/>
      <c r="BO388" s="125"/>
      <c r="BP388" s="125"/>
      <c r="BQ388" s="125"/>
      <c r="BR388" s="125"/>
      <c r="BS388" s="125"/>
      <c r="BT388" s="125"/>
      <c r="BU388" s="125"/>
      <c r="BV388" s="125"/>
      <c r="BW388" s="125"/>
      <c r="BX388" s="125"/>
      <c r="BY388" s="125"/>
      <c r="BZ388" s="125"/>
      <c r="CA388" s="125"/>
      <c r="CB388" s="125"/>
      <c r="CC388" s="125"/>
      <c r="CD388" s="125"/>
      <c r="CE388" s="125"/>
      <c r="CF388" s="125"/>
      <c r="CG388" s="125"/>
      <c r="CH388" s="125"/>
      <c r="CI388" s="125"/>
      <c r="CJ388" s="125"/>
      <c r="CK388" s="125"/>
      <c r="CL388" s="125"/>
      <c r="CM388" s="125"/>
      <c r="CN388" s="125"/>
      <c r="CO388" s="125"/>
      <c r="CP388" s="125"/>
      <c r="CQ388" s="125"/>
    </row>
    <row r="389" spans="2:95" ht="48.75" customHeight="1" x14ac:dyDescent="0.25">
      <c r="B389" s="22"/>
      <c r="C389" s="22"/>
      <c r="D389" s="22"/>
      <c r="E389" s="22"/>
      <c r="F389" s="22"/>
      <c r="G389" s="22"/>
      <c r="H389" s="22"/>
      <c r="I389" s="22"/>
      <c r="J389" s="22"/>
      <c r="K389" s="22"/>
      <c r="BB389" s="125"/>
      <c r="BC389" s="125"/>
      <c r="BD389" s="125"/>
      <c r="BE389" s="125"/>
      <c r="BF389" s="125"/>
      <c r="BG389" s="125"/>
      <c r="BH389" s="125"/>
      <c r="BI389" s="140"/>
      <c r="BJ389" s="125"/>
      <c r="BK389" s="125"/>
      <c r="BL389" s="125"/>
      <c r="BM389" s="125"/>
      <c r="BN389" s="125"/>
      <c r="BO389" s="125"/>
      <c r="BP389" s="125"/>
      <c r="BQ389" s="125"/>
      <c r="BR389" s="125"/>
      <c r="BS389" s="125"/>
      <c r="BT389" s="125"/>
      <c r="BU389" s="125"/>
      <c r="BV389" s="125"/>
      <c r="BW389" s="125"/>
      <c r="BX389" s="125"/>
      <c r="BY389" s="125"/>
      <c r="BZ389" s="125"/>
      <c r="CA389" s="125"/>
      <c r="CB389" s="125"/>
      <c r="CC389" s="125"/>
      <c r="CD389" s="125"/>
      <c r="CE389" s="125"/>
      <c r="CF389" s="125"/>
      <c r="CG389" s="125"/>
      <c r="CH389" s="125"/>
      <c r="CI389" s="125"/>
      <c r="CJ389" s="125"/>
      <c r="CK389" s="125"/>
      <c r="CL389" s="125"/>
      <c r="CM389" s="125"/>
      <c r="CN389" s="125"/>
      <c r="CO389" s="125"/>
      <c r="CP389" s="125"/>
      <c r="CQ389" s="125"/>
    </row>
    <row r="390" spans="2:95" ht="48.75" customHeight="1" x14ac:dyDescent="0.25">
      <c r="B390" s="22"/>
      <c r="C390" s="22"/>
      <c r="D390" s="22"/>
      <c r="E390" s="22"/>
      <c r="F390" s="22"/>
      <c r="G390" s="22"/>
      <c r="H390" s="22"/>
      <c r="I390" s="22"/>
      <c r="J390" s="22"/>
      <c r="K390" s="22"/>
      <c r="BB390" s="125"/>
      <c r="BC390" s="125"/>
      <c r="BD390" s="125"/>
      <c r="BE390" s="125"/>
      <c r="BF390" s="125"/>
      <c r="BG390" s="125"/>
      <c r="BH390" s="125"/>
      <c r="BI390" s="140"/>
      <c r="BJ390" s="125"/>
      <c r="BK390" s="125"/>
      <c r="BL390" s="125"/>
      <c r="BM390" s="125"/>
      <c r="BN390" s="125"/>
      <c r="BO390" s="125"/>
      <c r="BP390" s="125"/>
      <c r="BQ390" s="125"/>
      <c r="BR390" s="125"/>
      <c r="BS390" s="125"/>
      <c r="BT390" s="125"/>
      <c r="BU390" s="125"/>
      <c r="BV390" s="125"/>
      <c r="BW390" s="125"/>
      <c r="BX390" s="125"/>
      <c r="BY390" s="125"/>
      <c r="BZ390" s="125"/>
      <c r="CA390" s="125"/>
      <c r="CB390" s="125"/>
      <c r="CC390" s="125"/>
      <c r="CD390" s="125"/>
      <c r="CE390" s="125"/>
      <c r="CF390" s="125"/>
      <c r="CG390" s="125"/>
      <c r="CH390" s="125"/>
      <c r="CI390" s="125"/>
      <c r="CJ390" s="125"/>
      <c r="CK390" s="125"/>
      <c r="CL390" s="125"/>
      <c r="CM390" s="125"/>
      <c r="CN390" s="125"/>
      <c r="CO390" s="125"/>
      <c r="CP390" s="125"/>
      <c r="CQ390" s="125"/>
    </row>
    <row r="391" spans="2:95" ht="48.75" customHeight="1" x14ac:dyDescent="0.25">
      <c r="B391" s="22"/>
      <c r="C391" s="22"/>
      <c r="D391" s="22"/>
      <c r="E391" s="22"/>
      <c r="F391" s="22"/>
      <c r="G391" s="22"/>
      <c r="H391" s="22"/>
      <c r="I391" s="22"/>
      <c r="J391" s="22"/>
      <c r="K391" s="22"/>
      <c r="AJ391" s="125"/>
      <c r="BB391" s="125"/>
      <c r="BC391" s="125"/>
      <c r="BD391" s="125"/>
      <c r="BE391" s="125"/>
      <c r="BF391" s="125"/>
      <c r="BG391" s="125"/>
      <c r="BH391" s="125"/>
      <c r="BI391" s="140"/>
      <c r="BJ391" s="125"/>
      <c r="BK391" s="125"/>
      <c r="BL391" s="125"/>
      <c r="BM391" s="125"/>
      <c r="BN391" s="125"/>
      <c r="BO391" s="125"/>
      <c r="BP391" s="125"/>
      <c r="BQ391" s="125"/>
      <c r="BR391" s="125"/>
      <c r="BS391" s="125"/>
      <c r="BT391" s="125"/>
      <c r="BU391" s="125"/>
      <c r="BV391" s="125"/>
      <c r="BW391" s="125"/>
      <c r="BX391" s="125"/>
      <c r="BY391" s="125"/>
      <c r="BZ391" s="125"/>
      <c r="CA391" s="125"/>
      <c r="CB391" s="125"/>
      <c r="CC391" s="125"/>
      <c r="CD391" s="125"/>
      <c r="CE391" s="125"/>
      <c r="CF391" s="125"/>
      <c r="CG391" s="125"/>
      <c r="CH391" s="125"/>
      <c r="CI391" s="125"/>
      <c r="CJ391" s="125"/>
      <c r="CK391" s="125"/>
      <c r="CL391" s="125"/>
      <c r="CM391" s="125"/>
      <c r="CN391" s="125"/>
      <c r="CO391" s="125"/>
      <c r="CP391" s="125"/>
      <c r="CQ391" s="125"/>
    </row>
    <row r="392" spans="2:95" ht="48.75" customHeight="1" x14ac:dyDescent="0.25">
      <c r="B392" s="22"/>
      <c r="C392" s="22"/>
      <c r="D392" s="22"/>
      <c r="E392" s="22"/>
      <c r="F392" s="22"/>
      <c r="G392" s="22"/>
      <c r="H392" s="22"/>
      <c r="I392" s="22"/>
      <c r="J392" s="22"/>
      <c r="K392" s="22"/>
      <c r="AJ392" s="124"/>
      <c r="BB392" s="125"/>
      <c r="BC392" s="125"/>
      <c r="BD392" s="125"/>
      <c r="BE392" s="125"/>
      <c r="BF392" s="125"/>
      <c r="BG392" s="125"/>
      <c r="BH392" s="125"/>
      <c r="BI392" s="140"/>
      <c r="BJ392" s="125"/>
      <c r="BK392" s="125"/>
      <c r="BL392" s="125"/>
      <c r="BM392" s="125"/>
      <c r="BN392" s="125"/>
      <c r="BO392" s="125"/>
      <c r="BP392" s="125"/>
      <c r="BQ392" s="125"/>
      <c r="BR392" s="125"/>
      <c r="BS392" s="125"/>
      <c r="BT392" s="125"/>
      <c r="BU392" s="125"/>
      <c r="BV392" s="125"/>
      <c r="BW392" s="125"/>
      <c r="BX392" s="125"/>
      <c r="BY392" s="125"/>
      <c r="BZ392" s="125"/>
      <c r="CA392" s="125"/>
      <c r="CB392" s="125"/>
      <c r="CC392" s="125"/>
      <c r="CD392" s="125"/>
      <c r="CE392" s="125"/>
      <c r="CF392" s="125"/>
      <c r="CG392" s="125"/>
      <c r="CH392" s="125"/>
      <c r="CI392" s="125"/>
      <c r="CJ392" s="125"/>
      <c r="CK392" s="125"/>
      <c r="CL392" s="125"/>
      <c r="CM392" s="125"/>
      <c r="CN392" s="125"/>
      <c r="CO392" s="125"/>
      <c r="CP392" s="125"/>
      <c r="CQ392" s="125"/>
    </row>
    <row r="393" spans="2:95" ht="48.75" customHeight="1" x14ac:dyDescent="0.25">
      <c r="K393" s="125"/>
      <c r="AC393" s="125"/>
      <c r="AD393" s="125"/>
      <c r="AE393" s="125"/>
      <c r="AF393" s="125"/>
      <c r="AG393" s="125"/>
      <c r="AH393" s="125"/>
      <c r="AI393" s="125"/>
      <c r="AJ393" s="124"/>
      <c r="BB393" s="125"/>
      <c r="BC393" s="125"/>
      <c r="BD393" s="125"/>
      <c r="BE393" s="125"/>
      <c r="BF393" s="125"/>
      <c r="BG393" s="125"/>
      <c r="BH393" s="125"/>
      <c r="BI393" s="140"/>
      <c r="BJ393" s="125"/>
      <c r="BK393" s="125"/>
      <c r="BL393" s="125"/>
      <c r="BM393" s="125"/>
      <c r="BN393" s="125"/>
      <c r="BO393" s="125"/>
      <c r="BP393" s="125"/>
      <c r="BQ393" s="125"/>
      <c r="BR393" s="125"/>
      <c r="BS393" s="125"/>
      <c r="BT393" s="125"/>
      <c r="BU393" s="125"/>
      <c r="BV393" s="125"/>
      <c r="BW393" s="125"/>
      <c r="BX393" s="125"/>
      <c r="BY393" s="125"/>
      <c r="BZ393" s="125"/>
      <c r="CA393" s="125"/>
      <c r="CB393" s="125"/>
      <c r="CC393" s="125"/>
      <c r="CD393" s="125"/>
      <c r="CE393" s="125"/>
      <c r="CF393" s="125"/>
      <c r="CG393" s="125"/>
      <c r="CH393" s="125"/>
      <c r="CI393" s="125"/>
      <c r="CJ393" s="125"/>
      <c r="CK393" s="125"/>
      <c r="CL393" s="125"/>
      <c r="CM393" s="125"/>
      <c r="CN393" s="125"/>
      <c r="CO393" s="125"/>
      <c r="CP393" s="125"/>
      <c r="CQ393" s="125"/>
    </row>
    <row r="394" spans="2:95" ht="48.75" customHeight="1" x14ac:dyDescent="0.25">
      <c r="AJ394" s="124"/>
      <c r="AK394" s="124"/>
      <c r="AL394" s="124"/>
      <c r="AM394" s="124"/>
      <c r="BB394" s="125"/>
      <c r="BC394" s="125"/>
      <c r="BD394" s="125"/>
      <c r="BE394" s="125"/>
      <c r="BF394" s="125"/>
      <c r="BG394" s="125"/>
      <c r="BH394" s="125"/>
      <c r="BI394" s="140"/>
      <c r="BJ394" s="125"/>
      <c r="BK394" s="125"/>
      <c r="BL394" s="125"/>
      <c r="BM394" s="125"/>
      <c r="BN394" s="125"/>
      <c r="BO394" s="125"/>
      <c r="BP394" s="125"/>
      <c r="BQ394" s="125"/>
      <c r="BR394" s="125"/>
      <c r="BS394" s="125"/>
      <c r="BT394" s="125"/>
      <c r="BU394" s="125"/>
      <c r="BV394" s="125"/>
      <c r="BW394" s="125"/>
      <c r="BX394" s="125"/>
      <c r="BY394" s="125"/>
      <c r="BZ394" s="125"/>
      <c r="CA394" s="125"/>
      <c r="CB394" s="125"/>
      <c r="CC394" s="125"/>
      <c r="CD394" s="125"/>
      <c r="CE394" s="125"/>
      <c r="CF394" s="125"/>
      <c r="CG394" s="125"/>
      <c r="CH394" s="125"/>
      <c r="CI394" s="125"/>
      <c r="CJ394" s="125"/>
      <c r="CK394" s="125"/>
      <c r="CL394" s="125"/>
      <c r="CM394" s="125"/>
      <c r="CN394" s="125"/>
      <c r="CO394" s="125"/>
      <c r="CP394" s="125"/>
      <c r="CQ394" s="125"/>
    </row>
    <row r="395" spans="2:95" ht="48.75" customHeight="1" x14ac:dyDescent="0.25">
      <c r="AJ395" s="124"/>
      <c r="AK395" s="124"/>
      <c r="AL395" s="124"/>
      <c r="AM395" s="124"/>
      <c r="BB395" s="125"/>
      <c r="BC395" s="125"/>
      <c r="BD395" s="125"/>
      <c r="BE395" s="125"/>
      <c r="BF395" s="125"/>
      <c r="BG395" s="125"/>
      <c r="BH395" s="125"/>
      <c r="BI395" s="140"/>
      <c r="BJ395" s="125"/>
      <c r="BK395" s="125"/>
      <c r="BL395" s="125"/>
      <c r="BM395" s="125"/>
      <c r="BN395" s="125"/>
      <c r="BO395" s="125"/>
      <c r="BP395" s="125"/>
      <c r="BQ395" s="125"/>
      <c r="BR395" s="125"/>
      <c r="BS395" s="125"/>
      <c r="BT395" s="125"/>
      <c r="BU395" s="125"/>
      <c r="BV395" s="125"/>
      <c r="BW395" s="125"/>
      <c r="BX395" s="125"/>
      <c r="BY395" s="125"/>
      <c r="BZ395" s="125"/>
      <c r="CA395" s="125"/>
      <c r="CB395" s="125"/>
      <c r="CC395" s="125"/>
      <c r="CD395" s="125"/>
      <c r="CE395" s="125"/>
      <c r="CF395" s="125"/>
      <c r="CG395" s="125"/>
      <c r="CH395" s="125"/>
      <c r="CI395" s="125"/>
      <c r="CJ395" s="125"/>
      <c r="CK395" s="125"/>
      <c r="CL395" s="125"/>
      <c r="CM395" s="125"/>
      <c r="CN395" s="125"/>
      <c r="CO395" s="125"/>
      <c r="CP395" s="125"/>
      <c r="CQ395" s="125"/>
    </row>
    <row r="396" spans="2:95" ht="48.75" customHeight="1" x14ac:dyDescent="0.25">
      <c r="AJ396" s="124"/>
      <c r="AK396" s="124"/>
      <c r="AL396" s="124"/>
      <c r="AM396" s="124"/>
      <c r="BB396" s="125"/>
      <c r="BC396" s="125"/>
      <c r="BD396" s="125"/>
      <c r="BE396" s="125"/>
      <c r="BF396" s="125"/>
      <c r="BG396" s="125"/>
      <c r="BH396" s="125"/>
      <c r="BI396" s="140"/>
      <c r="BJ396" s="125"/>
      <c r="BK396" s="125"/>
      <c r="BL396" s="125"/>
      <c r="BM396" s="125"/>
      <c r="BN396" s="125"/>
      <c r="BO396" s="125"/>
      <c r="BP396" s="125"/>
      <c r="BQ396" s="125"/>
      <c r="BR396" s="125"/>
      <c r="BS396" s="125"/>
      <c r="BT396" s="125"/>
      <c r="BU396" s="125"/>
      <c r="BV396" s="125"/>
      <c r="BW396" s="125"/>
      <c r="BX396" s="125"/>
      <c r="BY396" s="125"/>
      <c r="BZ396" s="125"/>
      <c r="CA396" s="125"/>
      <c r="CB396" s="125"/>
      <c r="CC396" s="125"/>
      <c r="CD396" s="125"/>
      <c r="CE396" s="125"/>
      <c r="CF396" s="125"/>
      <c r="CG396" s="125"/>
      <c r="CH396" s="125"/>
      <c r="CI396" s="125"/>
      <c r="CJ396" s="125"/>
      <c r="CK396" s="125"/>
      <c r="CL396" s="125"/>
      <c r="CM396" s="125"/>
      <c r="CN396" s="125"/>
      <c r="CO396" s="125"/>
      <c r="CP396" s="125"/>
      <c r="CQ396" s="125"/>
    </row>
    <row r="397" spans="2:95" ht="48.75" customHeight="1" x14ac:dyDescent="0.25">
      <c r="AJ397" s="124"/>
      <c r="AK397" s="124"/>
      <c r="AL397" s="124"/>
      <c r="AM397" s="124"/>
      <c r="BB397" s="125"/>
      <c r="BC397" s="125"/>
      <c r="BD397" s="125"/>
      <c r="BE397" s="125"/>
      <c r="BF397" s="125"/>
      <c r="BG397" s="125"/>
      <c r="BH397" s="125"/>
      <c r="BI397" s="140"/>
      <c r="BJ397" s="125"/>
      <c r="BK397" s="125"/>
      <c r="BL397" s="125"/>
      <c r="BM397" s="125"/>
      <c r="BN397" s="125"/>
      <c r="BO397" s="125"/>
      <c r="BP397" s="125"/>
      <c r="BQ397" s="125"/>
      <c r="BR397" s="125"/>
      <c r="BS397" s="125"/>
      <c r="BT397" s="125"/>
      <c r="BU397" s="125"/>
      <c r="BV397" s="125"/>
      <c r="BW397" s="125"/>
      <c r="BX397" s="125"/>
      <c r="BY397" s="125"/>
      <c r="BZ397" s="125"/>
      <c r="CA397" s="125"/>
      <c r="CB397" s="125"/>
      <c r="CC397" s="125"/>
      <c r="CD397" s="125"/>
      <c r="CE397" s="125"/>
      <c r="CF397" s="125"/>
      <c r="CG397" s="125"/>
      <c r="CH397" s="125"/>
      <c r="CI397" s="125"/>
      <c r="CJ397" s="125"/>
      <c r="CK397" s="125"/>
      <c r="CL397" s="125"/>
      <c r="CM397" s="125"/>
      <c r="CN397" s="125"/>
      <c r="CO397" s="125"/>
      <c r="CP397" s="125"/>
      <c r="CQ397" s="125"/>
    </row>
    <row r="398" spans="2:95" ht="48.75" customHeight="1" x14ac:dyDescent="0.25">
      <c r="AJ398" s="124"/>
      <c r="AK398" s="124"/>
      <c r="AL398" s="124"/>
      <c r="AM398" s="124"/>
      <c r="BB398" s="125"/>
      <c r="BC398" s="125"/>
      <c r="BD398" s="125"/>
      <c r="BE398" s="125"/>
      <c r="BF398" s="125"/>
      <c r="BG398" s="125"/>
      <c r="BH398" s="125"/>
      <c r="BI398" s="140"/>
      <c r="BJ398" s="125"/>
      <c r="BK398" s="125"/>
      <c r="BL398" s="125"/>
      <c r="BM398" s="125"/>
      <c r="BN398" s="125"/>
      <c r="BO398" s="125"/>
      <c r="BP398" s="125"/>
      <c r="BQ398" s="125"/>
      <c r="BR398" s="125"/>
      <c r="BS398" s="125"/>
      <c r="BT398" s="125"/>
      <c r="BU398" s="125"/>
      <c r="BV398" s="125"/>
      <c r="BW398" s="125"/>
      <c r="BX398" s="125"/>
      <c r="BY398" s="125"/>
      <c r="BZ398" s="125"/>
      <c r="CA398" s="125"/>
      <c r="CB398" s="125"/>
      <c r="CC398" s="125"/>
      <c r="CD398" s="125"/>
      <c r="CE398" s="125"/>
      <c r="CF398" s="125"/>
      <c r="CG398" s="125"/>
      <c r="CH398" s="125"/>
      <c r="CI398" s="125"/>
      <c r="CJ398" s="125"/>
      <c r="CK398" s="125"/>
      <c r="CL398" s="125"/>
      <c r="CM398" s="125"/>
      <c r="CN398" s="125"/>
      <c r="CO398" s="125"/>
      <c r="CP398" s="125"/>
      <c r="CQ398" s="125"/>
    </row>
    <row r="399" spans="2:95" ht="48.75" customHeight="1" x14ac:dyDescent="0.25">
      <c r="Q399" s="158"/>
      <c r="AJ399" s="124"/>
      <c r="AK399" s="124"/>
      <c r="AL399" s="124"/>
      <c r="AM399" s="124"/>
      <c r="BB399" s="125"/>
      <c r="BC399" s="125"/>
      <c r="BD399" s="125"/>
      <c r="BE399" s="125"/>
      <c r="BF399" s="125"/>
      <c r="BG399" s="125"/>
      <c r="BH399" s="125"/>
      <c r="BI399" s="140"/>
      <c r="BJ399" s="125"/>
      <c r="BK399" s="125"/>
      <c r="BL399" s="125"/>
      <c r="BM399" s="125"/>
      <c r="BN399" s="125"/>
      <c r="BO399" s="125"/>
      <c r="BP399" s="125"/>
      <c r="BQ399" s="125"/>
      <c r="BR399" s="125"/>
      <c r="BS399" s="125"/>
      <c r="BT399" s="125"/>
      <c r="BU399" s="125"/>
      <c r="BV399" s="125"/>
      <c r="BW399" s="125"/>
      <c r="BX399" s="125"/>
      <c r="BY399" s="125"/>
      <c r="BZ399" s="125"/>
      <c r="CA399" s="125"/>
      <c r="CB399" s="125"/>
      <c r="CC399" s="125"/>
      <c r="CD399" s="125"/>
      <c r="CE399" s="125"/>
      <c r="CF399" s="125"/>
      <c r="CG399" s="125"/>
      <c r="CH399" s="125"/>
      <c r="CI399" s="125"/>
      <c r="CJ399" s="125"/>
      <c r="CK399" s="125"/>
      <c r="CL399" s="125"/>
      <c r="CM399" s="125"/>
      <c r="CN399" s="125"/>
      <c r="CO399" s="125"/>
      <c r="CP399" s="125"/>
      <c r="CQ399" s="125"/>
    </row>
    <row r="400" spans="2:95" ht="48.75" customHeight="1" x14ac:dyDescent="0.25">
      <c r="Q400" s="158"/>
      <c r="AJ400" s="124"/>
      <c r="AK400" s="124"/>
      <c r="AL400" s="124"/>
      <c r="AM400" s="124"/>
      <c r="BB400" s="125"/>
      <c r="BC400" s="125"/>
      <c r="BD400" s="125"/>
      <c r="BE400" s="125"/>
      <c r="BF400" s="125"/>
      <c r="BG400" s="125"/>
      <c r="BH400" s="125"/>
      <c r="BI400" s="140"/>
      <c r="BJ400" s="125"/>
      <c r="BK400" s="125"/>
      <c r="BL400" s="125"/>
      <c r="BM400" s="125"/>
      <c r="BN400" s="125"/>
      <c r="BO400" s="125"/>
      <c r="BP400" s="125"/>
      <c r="BQ400" s="125"/>
      <c r="BR400" s="125"/>
      <c r="BS400" s="125"/>
      <c r="BT400" s="125"/>
      <c r="BU400" s="125"/>
      <c r="BV400" s="125"/>
      <c r="BW400" s="125"/>
      <c r="BX400" s="125"/>
      <c r="BY400" s="125"/>
      <c r="BZ400" s="125"/>
      <c r="CA400" s="125"/>
      <c r="CB400" s="125"/>
      <c r="CC400" s="125"/>
      <c r="CD400" s="125"/>
      <c r="CE400" s="125"/>
      <c r="CF400" s="125"/>
      <c r="CG400" s="125"/>
      <c r="CH400" s="125"/>
      <c r="CI400" s="125"/>
      <c r="CJ400" s="125"/>
      <c r="CK400" s="125"/>
      <c r="CL400" s="125"/>
      <c r="CM400" s="125"/>
      <c r="CN400" s="125"/>
      <c r="CO400" s="125"/>
      <c r="CP400" s="125"/>
      <c r="CQ400" s="125"/>
    </row>
    <row r="401" spans="2:95" ht="48.75" customHeight="1" x14ac:dyDescent="0.25">
      <c r="BB401" s="125"/>
      <c r="BC401" s="125"/>
      <c r="BD401" s="125"/>
      <c r="BE401" s="125"/>
      <c r="BF401" s="125"/>
      <c r="BG401" s="125"/>
      <c r="BH401" s="125"/>
      <c r="BI401" s="140"/>
      <c r="BJ401" s="125"/>
      <c r="BK401" s="125"/>
      <c r="BL401" s="125"/>
      <c r="BM401" s="125"/>
      <c r="BN401" s="125"/>
      <c r="BO401" s="125"/>
      <c r="BP401" s="125"/>
      <c r="BQ401" s="125"/>
      <c r="BR401" s="125"/>
      <c r="BS401" s="125"/>
      <c r="BT401" s="125"/>
      <c r="BU401" s="125"/>
      <c r="BV401" s="125"/>
      <c r="BW401" s="125"/>
      <c r="BX401" s="125"/>
      <c r="BY401" s="125"/>
      <c r="BZ401" s="125"/>
      <c r="CA401" s="125"/>
      <c r="CB401" s="125"/>
      <c r="CC401" s="125"/>
      <c r="CD401" s="125"/>
      <c r="CE401" s="125"/>
      <c r="CF401" s="125"/>
      <c r="CG401" s="125"/>
      <c r="CH401" s="125"/>
      <c r="CI401" s="125"/>
      <c r="CJ401" s="125"/>
      <c r="CK401" s="125"/>
      <c r="CL401" s="125"/>
      <c r="CM401" s="125"/>
      <c r="CN401" s="125"/>
      <c r="CO401" s="125"/>
      <c r="CP401" s="125"/>
      <c r="CQ401" s="125"/>
    </row>
    <row r="402" spans="2:95" ht="48.75" customHeight="1" x14ac:dyDescent="0.25">
      <c r="B402" s="727" t="s">
        <v>868</v>
      </c>
      <c r="C402" s="787"/>
      <c r="D402" s="787"/>
      <c r="E402" s="787"/>
      <c r="F402" s="788"/>
      <c r="G402" s="206"/>
      <c r="J402" s="158"/>
      <c r="K402" s="158"/>
      <c r="L402" s="158"/>
      <c r="P402" s="707" t="s">
        <v>936</v>
      </c>
      <c r="Q402" s="708"/>
      <c r="R402" s="708"/>
      <c r="S402" s="708"/>
      <c r="T402" s="708"/>
      <c r="U402" s="708"/>
      <c r="V402" s="719"/>
      <c r="W402" s="738"/>
      <c r="BB402" s="125"/>
      <c r="BC402" s="125"/>
      <c r="BD402" s="125"/>
      <c r="BE402" s="125"/>
      <c r="BF402" s="125"/>
      <c r="BG402" s="125"/>
      <c r="BH402" s="125"/>
      <c r="BI402" s="140"/>
      <c r="BJ402" s="125"/>
      <c r="BK402" s="125"/>
      <c r="BL402" s="125"/>
      <c r="BM402" s="125"/>
      <c r="BN402" s="125"/>
      <c r="BO402" s="125"/>
      <c r="BP402" s="125"/>
      <c r="BQ402" s="125"/>
      <c r="BR402" s="125"/>
      <c r="BS402" s="125"/>
      <c r="BT402" s="125"/>
      <c r="BU402" s="125"/>
      <c r="BV402" s="125"/>
      <c r="BW402" s="125"/>
      <c r="BX402" s="125"/>
      <c r="BY402" s="125"/>
      <c r="BZ402" s="125"/>
      <c r="CA402" s="125"/>
      <c r="CB402" s="125"/>
      <c r="CC402" s="125"/>
      <c r="CD402" s="125"/>
      <c r="CE402" s="125"/>
      <c r="CF402" s="125"/>
      <c r="CG402" s="125"/>
      <c r="CH402" s="125"/>
      <c r="CI402" s="125"/>
      <c r="CJ402" s="125"/>
      <c r="CK402" s="125"/>
      <c r="CL402" s="125"/>
      <c r="CM402" s="125"/>
      <c r="CN402" s="125"/>
      <c r="CO402" s="125"/>
      <c r="CP402" s="125"/>
      <c r="CQ402" s="125"/>
    </row>
    <row r="403" spans="2:95" ht="48.75" customHeight="1" x14ac:dyDescent="0.25">
      <c r="B403" s="446" t="s">
        <v>708</v>
      </c>
      <c r="C403" s="446"/>
      <c r="D403" s="446" t="s">
        <v>864</v>
      </c>
      <c r="E403" s="446"/>
      <c r="F403" s="789" t="s">
        <v>613</v>
      </c>
      <c r="G403" s="789"/>
      <c r="J403" s="158"/>
      <c r="K403" s="158"/>
      <c r="L403" s="158"/>
      <c r="P403" s="709"/>
      <c r="Q403" s="710"/>
      <c r="R403" s="710"/>
      <c r="S403" s="710"/>
      <c r="T403" s="710"/>
      <c r="U403" s="710"/>
      <c r="V403" s="724"/>
      <c r="W403" s="739"/>
      <c r="X403" s="22"/>
      <c r="Y403" s="22"/>
      <c r="BB403" s="125"/>
      <c r="BC403" s="125"/>
      <c r="BD403" s="125"/>
      <c r="BE403" s="125"/>
      <c r="BF403" s="125"/>
      <c r="BG403" s="125"/>
      <c r="BH403" s="125"/>
      <c r="BI403" s="140"/>
      <c r="BJ403" s="125"/>
      <c r="BK403" s="125"/>
      <c r="BL403" s="125"/>
      <c r="BM403" s="125"/>
      <c r="BN403" s="125"/>
      <c r="BO403" s="125"/>
      <c r="BP403" s="125"/>
      <c r="BQ403" s="125"/>
      <c r="BR403" s="125"/>
      <c r="BS403" s="125"/>
      <c r="BT403" s="125"/>
      <c r="BU403" s="125"/>
      <c r="BV403" s="125"/>
      <c r="BW403" s="125"/>
      <c r="BX403" s="125"/>
      <c r="BY403" s="125"/>
      <c r="BZ403" s="125"/>
      <c r="CA403" s="125"/>
      <c r="CB403" s="125"/>
      <c r="CC403" s="125"/>
      <c r="CD403" s="125"/>
      <c r="CE403" s="125"/>
      <c r="CF403" s="125"/>
      <c r="CG403" s="125"/>
      <c r="CH403" s="125"/>
      <c r="CI403" s="125"/>
      <c r="CJ403" s="125"/>
      <c r="CK403" s="125"/>
      <c r="CL403" s="125"/>
      <c r="CM403" s="125"/>
      <c r="CN403" s="125"/>
      <c r="CO403" s="125"/>
      <c r="CP403" s="125"/>
      <c r="CQ403" s="125"/>
    </row>
    <row r="404" spans="2:95" ht="48.75" customHeight="1" x14ac:dyDescent="0.25">
      <c r="B404" s="796" t="s">
        <v>860</v>
      </c>
      <c r="C404" s="796"/>
      <c r="D404" s="446" t="s">
        <v>861</v>
      </c>
      <c r="E404" s="446"/>
      <c r="F404" s="446">
        <v>1.5</v>
      </c>
      <c r="G404" s="446"/>
      <c r="J404" s="158"/>
      <c r="K404" s="158"/>
      <c r="L404" s="158"/>
      <c r="P404" s="821"/>
      <c r="Q404" s="821"/>
      <c r="R404" s="821"/>
      <c r="S404" s="821"/>
      <c r="T404" s="821"/>
      <c r="U404" s="821"/>
      <c r="V404" s="821"/>
      <c r="W404" s="821"/>
      <c r="X404" s="22"/>
      <c r="Y404" s="22"/>
      <c r="BB404" s="125"/>
      <c r="BC404" s="125"/>
      <c r="BD404" s="125"/>
      <c r="BE404" s="125"/>
      <c r="BF404" s="125"/>
      <c r="BG404" s="125"/>
      <c r="BH404" s="125"/>
      <c r="BI404" s="140"/>
      <c r="BJ404" s="125"/>
      <c r="BK404" s="125"/>
      <c r="BL404" s="125"/>
      <c r="BM404" s="125"/>
      <c r="BN404" s="125"/>
      <c r="BO404" s="125"/>
      <c r="BP404" s="125"/>
      <c r="BQ404" s="125"/>
      <c r="BR404" s="125"/>
      <c r="BS404" s="125"/>
      <c r="BT404" s="125"/>
      <c r="BU404" s="125"/>
      <c r="BV404" s="125"/>
      <c r="BW404" s="125"/>
      <c r="BX404" s="125"/>
      <c r="BY404" s="125"/>
      <c r="BZ404" s="125"/>
      <c r="CA404" s="125"/>
      <c r="CB404" s="125"/>
      <c r="CC404" s="125"/>
      <c r="CD404" s="125"/>
      <c r="CE404" s="125"/>
      <c r="CF404" s="125"/>
      <c r="CG404" s="125"/>
      <c r="CH404" s="125"/>
      <c r="CI404" s="125"/>
      <c r="CJ404" s="125"/>
      <c r="CK404" s="125"/>
      <c r="CL404" s="125"/>
      <c r="CM404" s="125"/>
      <c r="CN404" s="125"/>
      <c r="CO404" s="125"/>
      <c r="CP404" s="125"/>
      <c r="CQ404" s="125"/>
    </row>
    <row r="405" spans="2:95" ht="48.75" customHeight="1" x14ac:dyDescent="0.25">
      <c r="B405" s="796">
        <v>2312</v>
      </c>
      <c r="C405" s="796"/>
      <c r="D405" s="446">
        <v>1.75</v>
      </c>
      <c r="E405" s="446"/>
      <c r="F405" s="446">
        <v>1.4</v>
      </c>
      <c r="G405" s="446"/>
      <c r="J405" s="158"/>
      <c r="K405" s="158"/>
      <c r="L405" s="158"/>
      <c r="P405" s="821"/>
      <c r="Q405" s="821"/>
      <c r="R405" s="821"/>
      <c r="S405" s="821"/>
      <c r="T405" s="821"/>
      <c r="U405" s="821"/>
      <c r="V405" s="821"/>
      <c r="W405" s="821"/>
      <c r="X405" s="22"/>
      <c r="Y405" s="22"/>
      <c r="BB405" s="125"/>
      <c r="BC405" s="125"/>
      <c r="BD405" s="125"/>
      <c r="BE405" s="125"/>
      <c r="BF405" s="125"/>
      <c r="BG405" s="125"/>
      <c r="BH405" s="125"/>
      <c r="BI405" s="140"/>
      <c r="BJ405" s="125"/>
      <c r="BK405" s="125"/>
      <c r="BL405" s="125"/>
      <c r="BM405" s="125"/>
      <c r="BN405" s="125"/>
      <c r="BO405" s="125"/>
      <c r="BP405" s="125"/>
      <c r="BQ405" s="125"/>
      <c r="BR405" s="125"/>
      <c r="BS405" s="125"/>
      <c r="BT405" s="125"/>
      <c r="BU405" s="125"/>
      <c r="BV405" s="125"/>
      <c r="BW405" s="125"/>
      <c r="BX405" s="125"/>
      <c r="BY405" s="125"/>
      <c r="BZ405" s="125"/>
      <c r="CA405" s="125"/>
      <c r="CB405" s="125"/>
      <c r="CC405" s="125"/>
      <c r="CD405" s="125"/>
      <c r="CE405" s="125"/>
      <c r="CF405" s="125"/>
      <c r="CG405" s="125"/>
      <c r="CH405" s="125"/>
      <c r="CI405" s="125"/>
      <c r="CJ405" s="125"/>
      <c r="CK405" s="125"/>
      <c r="CL405" s="125"/>
      <c r="CM405" s="125"/>
      <c r="CN405" s="125"/>
      <c r="CO405" s="125"/>
      <c r="CP405" s="125"/>
      <c r="CQ405" s="125"/>
    </row>
    <row r="406" spans="2:95" ht="48.75" customHeight="1" x14ac:dyDescent="0.25">
      <c r="B406" s="796">
        <v>2411</v>
      </c>
      <c r="C406" s="796"/>
      <c r="D406" s="446">
        <v>1.6</v>
      </c>
      <c r="E406" s="446"/>
      <c r="F406" s="446">
        <v>1.3</v>
      </c>
      <c r="G406" s="446"/>
      <c r="L406" s="22"/>
      <c r="M406" s="101"/>
      <c r="N406" s="101"/>
      <c r="O406" s="102"/>
      <c r="P406" s="821"/>
      <c r="Q406" s="821"/>
      <c r="R406" s="821"/>
      <c r="S406" s="821"/>
      <c r="T406" s="821"/>
      <c r="U406" s="821"/>
      <c r="V406" s="821"/>
      <c r="W406" s="821"/>
      <c r="X406" s="22"/>
      <c r="Y406" s="22"/>
      <c r="BB406" s="125"/>
      <c r="BC406" s="125"/>
      <c r="BD406" s="125"/>
      <c r="BE406" s="125"/>
      <c r="BF406" s="125"/>
      <c r="BG406" s="125"/>
      <c r="BH406" s="125"/>
      <c r="BI406" s="140"/>
      <c r="BJ406" s="125"/>
      <c r="BK406" s="125"/>
      <c r="BL406" s="125"/>
      <c r="BM406" s="125"/>
      <c r="BN406" s="125"/>
      <c r="BO406" s="125"/>
      <c r="BP406" s="125"/>
      <c r="BQ406" s="125"/>
      <c r="BR406" s="125"/>
      <c r="BS406" s="125"/>
      <c r="BT406" s="125"/>
      <c r="BU406" s="125"/>
      <c r="BV406" s="125"/>
      <c r="BW406" s="125"/>
      <c r="BX406" s="125"/>
      <c r="BY406" s="125"/>
      <c r="BZ406" s="125"/>
      <c r="CA406" s="125"/>
      <c r="CB406" s="125"/>
      <c r="CC406" s="125"/>
      <c r="CD406" s="125"/>
      <c r="CE406" s="125"/>
      <c r="CF406" s="125"/>
      <c r="CG406" s="125"/>
      <c r="CH406" s="125"/>
      <c r="CI406" s="125"/>
      <c r="CJ406" s="125"/>
      <c r="CK406" s="125"/>
      <c r="CL406" s="125"/>
      <c r="CM406" s="125"/>
      <c r="CN406" s="125"/>
      <c r="CO406" s="125"/>
      <c r="CP406" s="125"/>
      <c r="CQ406" s="125"/>
    </row>
    <row r="407" spans="2:95" ht="48.75" customHeight="1" x14ac:dyDescent="0.25">
      <c r="L407" s="22"/>
      <c r="M407" s="22"/>
      <c r="N407" s="22"/>
      <c r="O407" s="22"/>
      <c r="P407" s="821"/>
      <c r="Q407" s="821"/>
      <c r="R407" s="821"/>
      <c r="S407" s="821"/>
      <c r="T407" s="821"/>
      <c r="U407" s="821"/>
      <c r="V407" s="821"/>
      <c r="W407" s="821"/>
      <c r="X407" s="22"/>
      <c r="Y407" s="22"/>
      <c r="BB407" s="125"/>
      <c r="BC407" s="125"/>
      <c r="BD407" s="125"/>
      <c r="BE407" s="125"/>
      <c r="BF407" s="125"/>
      <c r="BG407" s="125"/>
      <c r="BH407" s="125"/>
      <c r="BI407" s="140"/>
      <c r="BJ407" s="125"/>
      <c r="BK407" s="125"/>
      <c r="BL407" s="125"/>
      <c r="BM407" s="125"/>
      <c r="BN407" s="125"/>
      <c r="BO407" s="125"/>
      <c r="BP407" s="125"/>
      <c r="BQ407" s="125"/>
      <c r="BR407" s="125"/>
      <c r="BS407" s="125"/>
      <c r="BT407" s="125"/>
      <c r="BU407" s="125"/>
      <c r="BV407" s="125"/>
      <c r="BW407" s="125"/>
      <c r="BX407" s="125"/>
      <c r="BY407" s="125"/>
      <c r="BZ407" s="125"/>
      <c r="CA407" s="125"/>
      <c r="CB407" s="125"/>
      <c r="CC407" s="125"/>
      <c r="CD407" s="125"/>
      <c r="CE407" s="125"/>
      <c r="CF407" s="125"/>
      <c r="CG407" s="125"/>
      <c r="CH407" s="125"/>
      <c r="CI407" s="125"/>
      <c r="CJ407" s="125"/>
      <c r="CK407" s="125"/>
      <c r="CL407" s="125"/>
      <c r="CM407" s="125"/>
      <c r="CN407" s="125"/>
      <c r="CO407" s="125"/>
      <c r="CP407" s="125"/>
      <c r="CQ407" s="125"/>
    </row>
    <row r="408" spans="2:95" ht="48.75" customHeight="1" x14ac:dyDescent="0.25">
      <c r="L408" s="22"/>
      <c r="M408" s="22"/>
      <c r="N408" s="22"/>
      <c r="O408" s="22"/>
      <c r="P408" s="821"/>
      <c r="Q408" s="821"/>
      <c r="R408" s="821"/>
      <c r="S408" s="821"/>
      <c r="T408" s="821"/>
      <c r="U408" s="821"/>
      <c r="V408" s="821"/>
      <c r="W408" s="821"/>
      <c r="X408" s="22"/>
      <c r="Y408" s="22"/>
      <c r="BB408" s="125"/>
      <c r="BC408" s="125"/>
      <c r="BD408" s="125"/>
      <c r="BE408" s="125"/>
      <c r="BF408" s="125"/>
      <c r="BG408" s="125"/>
      <c r="BH408" s="125"/>
      <c r="BI408" s="140"/>
      <c r="BJ408" s="125"/>
      <c r="BK408" s="125"/>
      <c r="BL408" s="125"/>
      <c r="BM408" s="125"/>
      <c r="BN408" s="125"/>
      <c r="BO408" s="125"/>
      <c r="BP408" s="125"/>
      <c r="BQ408" s="125"/>
      <c r="BR408" s="125"/>
      <c r="BS408" s="125"/>
      <c r="BT408" s="125"/>
      <c r="BU408" s="125"/>
      <c r="BV408" s="125"/>
      <c r="BW408" s="125"/>
      <c r="BX408" s="125"/>
      <c r="BY408" s="125"/>
      <c r="BZ408" s="125"/>
      <c r="CA408" s="125"/>
      <c r="CB408" s="125"/>
      <c r="CC408" s="125"/>
      <c r="CD408" s="125"/>
      <c r="CE408" s="125"/>
      <c r="CF408" s="125"/>
      <c r="CG408" s="125"/>
      <c r="CH408" s="125"/>
      <c r="CI408" s="125"/>
      <c r="CJ408" s="125"/>
      <c r="CK408" s="125"/>
      <c r="CL408" s="125"/>
      <c r="CM408" s="125"/>
      <c r="CN408" s="125"/>
      <c r="CO408" s="125"/>
      <c r="CP408" s="125"/>
      <c r="CQ408" s="125"/>
    </row>
    <row r="409" spans="2:95" ht="48.75" customHeight="1" x14ac:dyDescent="0.25">
      <c r="L409" s="22"/>
      <c r="M409" s="22"/>
      <c r="N409" s="22"/>
      <c r="O409" s="22"/>
      <c r="P409" s="821"/>
      <c r="Q409" s="821"/>
      <c r="R409" s="821"/>
      <c r="S409" s="821"/>
      <c r="T409" s="821"/>
      <c r="U409" s="821"/>
      <c r="V409" s="821"/>
      <c r="W409" s="821"/>
      <c r="X409" s="22"/>
      <c r="Y409" s="22"/>
      <c r="BB409" s="125"/>
      <c r="BC409" s="125"/>
      <c r="BD409" s="125"/>
      <c r="BE409" s="125"/>
      <c r="BF409" s="125"/>
      <c r="BG409" s="125"/>
      <c r="BH409" s="125"/>
      <c r="BI409" s="140"/>
      <c r="BJ409" s="125"/>
      <c r="BK409" s="125"/>
      <c r="BL409" s="125"/>
      <c r="BM409" s="125"/>
      <c r="BN409" s="125"/>
      <c r="BO409" s="125"/>
      <c r="BP409" s="125"/>
      <c r="BQ409" s="125"/>
      <c r="BR409" s="125"/>
      <c r="BS409" s="125"/>
      <c r="BT409" s="125"/>
      <c r="BU409" s="125"/>
      <c r="BV409" s="125"/>
      <c r="BW409" s="125"/>
      <c r="BX409" s="125"/>
      <c r="BY409" s="125"/>
      <c r="BZ409" s="125"/>
      <c r="CA409" s="125"/>
      <c r="CB409" s="125"/>
      <c r="CC409" s="125"/>
      <c r="CD409" s="125"/>
      <c r="CE409" s="125"/>
      <c r="CF409" s="125"/>
      <c r="CG409" s="125"/>
      <c r="CH409" s="125"/>
      <c r="CI409" s="125"/>
      <c r="CJ409" s="125"/>
      <c r="CK409" s="125"/>
      <c r="CL409" s="125"/>
      <c r="CM409" s="125"/>
      <c r="CN409" s="125"/>
      <c r="CO409" s="125"/>
      <c r="CP409" s="125"/>
      <c r="CQ409" s="125"/>
    </row>
    <row r="410" spans="2:95" ht="48.75" customHeight="1" x14ac:dyDescent="0.25">
      <c r="B410" s="718" t="s">
        <v>866</v>
      </c>
      <c r="C410" s="718"/>
      <c r="D410" s="718"/>
      <c r="E410" s="718"/>
      <c r="F410" s="718"/>
      <c r="G410" s="718"/>
      <c r="H410" s="718"/>
      <c r="I410" s="206"/>
      <c r="L410" s="22"/>
      <c r="M410" s="22"/>
      <c r="N410" s="22"/>
      <c r="O410" s="22"/>
      <c r="P410" s="821"/>
      <c r="Q410" s="821"/>
      <c r="R410" s="821"/>
      <c r="S410" s="821"/>
      <c r="T410" s="821"/>
      <c r="U410" s="821"/>
      <c r="V410" s="821"/>
      <c r="W410" s="821"/>
      <c r="X410" s="22"/>
      <c r="Y410" s="22"/>
      <c r="BB410" s="125"/>
      <c r="BC410" s="125"/>
      <c r="BD410" s="125"/>
      <c r="BE410" s="125"/>
      <c r="BF410" s="125"/>
      <c r="BG410" s="125"/>
      <c r="BH410" s="125"/>
      <c r="BI410" s="140"/>
      <c r="BJ410" s="125"/>
      <c r="BK410" s="125"/>
      <c r="BL410" s="125"/>
      <c r="BM410" s="125"/>
      <c r="BN410" s="125"/>
      <c r="BO410" s="125"/>
      <c r="BP410" s="125"/>
      <c r="BQ410" s="125"/>
      <c r="BR410" s="125"/>
      <c r="BS410" s="125"/>
      <c r="BT410" s="125"/>
      <c r="BU410" s="125"/>
      <c r="BV410" s="125"/>
      <c r="BW410" s="125"/>
      <c r="BX410" s="125"/>
      <c r="BY410" s="125"/>
      <c r="BZ410" s="125"/>
      <c r="CA410" s="125"/>
      <c r="CB410" s="125"/>
      <c r="CC410" s="125"/>
      <c r="CD410" s="125"/>
      <c r="CE410" s="125"/>
      <c r="CF410" s="125"/>
      <c r="CG410" s="125"/>
      <c r="CH410" s="125"/>
      <c r="CI410" s="125"/>
      <c r="CJ410" s="125"/>
      <c r="CK410" s="125"/>
      <c r="CL410" s="125"/>
      <c r="CM410" s="125"/>
      <c r="CN410" s="125"/>
      <c r="CO410" s="125"/>
      <c r="CP410" s="125"/>
      <c r="CQ410" s="125"/>
    </row>
    <row r="411" spans="2:95" ht="48.75" customHeight="1" x14ac:dyDescent="0.25">
      <c r="B411" s="446" t="s">
        <v>867</v>
      </c>
      <c r="C411" s="446"/>
      <c r="D411" s="446" t="s">
        <v>865</v>
      </c>
      <c r="E411" s="446"/>
      <c r="F411" s="446"/>
      <c r="G411" s="446"/>
      <c r="H411" s="446"/>
      <c r="I411" s="446"/>
      <c r="L411" s="22"/>
      <c r="M411" s="22"/>
      <c r="N411" s="22"/>
      <c r="O411" s="22"/>
      <c r="P411" s="821"/>
      <c r="Q411" s="821"/>
      <c r="R411" s="821"/>
      <c r="S411" s="821"/>
      <c r="T411" s="821"/>
      <c r="U411" s="821"/>
      <c r="V411" s="821"/>
      <c r="W411" s="821"/>
      <c r="X411" s="22"/>
      <c r="Y411" s="22"/>
      <c r="BB411" s="125"/>
      <c r="BC411" s="125"/>
      <c r="BD411" s="125"/>
      <c r="BE411" s="125"/>
      <c r="BF411" s="125"/>
      <c r="BG411" s="125"/>
      <c r="BH411" s="125"/>
      <c r="BI411" s="140"/>
      <c r="BJ411" s="125"/>
      <c r="BK411" s="125"/>
      <c r="BL411" s="125"/>
      <c r="BM411" s="125"/>
      <c r="BN411" s="125"/>
      <c r="BO411" s="125"/>
      <c r="BP411" s="125"/>
      <c r="BQ411" s="125"/>
      <c r="BR411" s="125"/>
      <c r="BS411" s="125"/>
      <c r="BT411" s="125"/>
      <c r="BU411" s="125"/>
      <c r="BV411" s="125"/>
      <c r="BW411" s="125"/>
      <c r="BX411" s="125"/>
      <c r="BY411" s="125"/>
      <c r="BZ411" s="125"/>
      <c r="CA411" s="125"/>
      <c r="CB411" s="125"/>
      <c r="CC411" s="125"/>
      <c r="CD411" s="125"/>
      <c r="CE411" s="125"/>
      <c r="CF411" s="125"/>
      <c r="CG411" s="125"/>
      <c r="CH411" s="125"/>
      <c r="CI411" s="125"/>
      <c r="CJ411" s="125"/>
      <c r="CK411" s="125"/>
      <c r="CL411" s="125"/>
      <c r="CM411" s="125"/>
      <c r="CN411" s="125"/>
      <c r="CO411" s="125"/>
      <c r="CP411" s="125"/>
      <c r="CQ411" s="125"/>
    </row>
    <row r="412" spans="2:95" ht="48.75" customHeight="1" x14ac:dyDescent="0.25">
      <c r="B412" s="446"/>
      <c r="C412" s="446"/>
      <c r="D412" s="205">
        <v>2</v>
      </c>
      <c r="E412" s="205">
        <v>4</v>
      </c>
      <c r="F412" s="205">
        <v>6</v>
      </c>
      <c r="G412" s="205">
        <v>8</v>
      </c>
      <c r="H412" s="205">
        <v>10</v>
      </c>
      <c r="I412" s="205">
        <v>12</v>
      </c>
      <c r="L412" s="22"/>
      <c r="M412" s="22"/>
      <c r="N412" s="22"/>
      <c r="O412" s="22"/>
      <c r="P412" s="821"/>
      <c r="Q412" s="821"/>
      <c r="R412" s="821"/>
      <c r="S412" s="821"/>
      <c r="T412" s="821"/>
      <c r="U412" s="821"/>
      <c r="V412" s="821"/>
      <c r="W412" s="821"/>
      <c r="X412" s="22"/>
      <c r="Y412" s="22"/>
      <c r="BB412" s="125"/>
      <c r="BC412" s="125"/>
      <c r="BD412" s="125"/>
      <c r="BE412" s="125"/>
      <c r="BF412" s="125"/>
      <c r="BG412" s="125"/>
      <c r="BH412" s="125"/>
      <c r="BI412" s="140"/>
      <c r="BJ412" s="125"/>
      <c r="BK412" s="125"/>
      <c r="BL412" s="125"/>
      <c r="BM412" s="125"/>
      <c r="BN412" s="125"/>
      <c r="BO412" s="125"/>
      <c r="BP412" s="125"/>
      <c r="BQ412" s="125"/>
      <c r="BR412" s="125"/>
      <c r="BS412" s="125"/>
      <c r="BT412" s="125"/>
      <c r="BU412" s="125"/>
      <c r="BV412" s="125"/>
      <c r="BW412" s="125"/>
      <c r="BX412" s="125"/>
      <c r="BY412" s="125"/>
      <c r="BZ412" s="125"/>
      <c r="CA412" s="125"/>
      <c r="CB412" s="125"/>
      <c r="CC412" s="125"/>
      <c r="CD412" s="125"/>
      <c r="CE412" s="125"/>
      <c r="CF412" s="125"/>
      <c r="CG412" s="125"/>
      <c r="CH412" s="125"/>
      <c r="CI412" s="125"/>
      <c r="CJ412" s="125"/>
      <c r="CK412" s="125"/>
      <c r="CL412" s="125"/>
      <c r="CM412" s="125"/>
      <c r="CN412" s="125"/>
      <c r="CO412" s="125"/>
      <c r="CP412" s="125"/>
      <c r="CQ412" s="125"/>
    </row>
    <row r="413" spans="2:95" ht="48.75" customHeight="1" x14ac:dyDescent="0.25">
      <c r="B413" s="446" t="s">
        <v>649</v>
      </c>
      <c r="C413" s="446"/>
      <c r="D413" s="205">
        <v>0.22</v>
      </c>
      <c r="E413" s="205">
        <v>0.2</v>
      </c>
      <c r="F413" s="205">
        <v>0.19</v>
      </c>
      <c r="G413" s="205">
        <v>0.18</v>
      </c>
      <c r="H413" s="205">
        <v>0.17</v>
      </c>
      <c r="I413" s="205">
        <v>0.16</v>
      </c>
      <c r="L413" s="22"/>
      <c r="M413" s="22"/>
      <c r="N413" s="22"/>
      <c r="O413" s="22"/>
      <c r="P413" s="821"/>
      <c r="Q413" s="821"/>
      <c r="R413" s="821"/>
      <c r="S413" s="821"/>
      <c r="T413" s="821"/>
      <c r="U413" s="821"/>
      <c r="V413" s="821"/>
      <c r="W413" s="821"/>
      <c r="X413" s="22"/>
      <c r="Y413" s="22"/>
      <c r="BB413" s="125"/>
      <c r="BC413" s="125"/>
      <c r="BD413" s="125"/>
      <c r="BE413" s="125"/>
      <c r="BF413" s="125"/>
      <c r="BG413" s="125"/>
      <c r="BH413" s="125"/>
      <c r="BI413" s="140"/>
      <c r="BJ413" s="125"/>
      <c r="BK413" s="125"/>
      <c r="BL413" s="125"/>
      <c r="BM413" s="125"/>
      <c r="BN413" s="125"/>
      <c r="BO413" s="125"/>
      <c r="BP413" s="125"/>
      <c r="BQ413" s="125"/>
      <c r="BR413" s="125"/>
      <c r="BS413" s="125"/>
      <c r="BT413" s="125"/>
      <c r="BU413" s="125"/>
      <c r="BV413" s="125"/>
      <c r="BW413" s="125"/>
      <c r="BX413" s="125"/>
      <c r="BY413" s="125"/>
      <c r="BZ413" s="125"/>
      <c r="CA413" s="125"/>
      <c r="CB413" s="125"/>
      <c r="CC413" s="125"/>
      <c r="CD413" s="125"/>
      <c r="CE413" s="125"/>
      <c r="CF413" s="125"/>
      <c r="CG413" s="125"/>
      <c r="CH413" s="125"/>
      <c r="CI413" s="125"/>
      <c r="CJ413" s="125"/>
      <c r="CK413" s="125"/>
      <c r="CL413" s="125"/>
      <c r="CM413" s="125"/>
      <c r="CN413" s="125"/>
      <c r="CO413" s="125"/>
      <c r="CP413" s="125"/>
      <c r="CQ413" s="125"/>
    </row>
    <row r="414" spans="2:95" ht="48.75" customHeight="1" x14ac:dyDescent="0.25">
      <c r="B414" s="446" t="s">
        <v>650</v>
      </c>
      <c r="C414" s="446"/>
      <c r="D414" s="205">
        <v>0.84</v>
      </c>
      <c r="E414" s="205">
        <v>0.8</v>
      </c>
      <c r="F414" s="205">
        <v>0.78</v>
      </c>
      <c r="G414" s="205">
        <v>0.76</v>
      </c>
      <c r="H414" s="205">
        <v>0.74</v>
      </c>
      <c r="I414" s="205">
        <v>0.72</v>
      </c>
      <c r="L414" s="22"/>
      <c r="M414" s="22"/>
      <c r="N414" s="22"/>
      <c r="O414" s="22"/>
      <c r="P414" s="821"/>
      <c r="Q414" s="821"/>
      <c r="R414" s="821"/>
      <c r="S414" s="821"/>
      <c r="T414" s="821"/>
      <c r="U414" s="821"/>
      <c r="V414" s="821"/>
      <c r="W414" s="821"/>
      <c r="X414" s="22"/>
      <c r="Y414" s="22"/>
      <c r="BB414" s="125"/>
      <c r="BC414" s="125"/>
      <c r="BD414" s="125"/>
      <c r="BE414" s="125"/>
      <c r="BF414" s="125"/>
      <c r="BG414" s="125"/>
      <c r="BH414" s="125"/>
      <c r="BI414" s="140"/>
      <c r="BJ414" s="125"/>
      <c r="BK414" s="125"/>
      <c r="BL414" s="125"/>
      <c r="BM414" s="125"/>
      <c r="BN414" s="125"/>
      <c r="BO414" s="125"/>
      <c r="BP414" s="125"/>
      <c r="BQ414" s="125"/>
      <c r="BR414" s="125"/>
      <c r="BS414" s="125"/>
      <c r="BT414" s="125"/>
      <c r="BU414" s="125"/>
      <c r="BV414" s="125"/>
      <c r="BW414" s="125"/>
      <c r="BX414" s="125"/>
      <c r="BY414" s="125"/>
      <c r="BZ414" s="125"/>
      <c r="CA414" s="125"/>
      <c r="CB414" s="125"/>
      <c r="CC414" s="125"/>
      <c r="CD414" s="125"/>
      <c r="CE414" s="125"/>
      <c r="CF414" s="125"/>
      <c r="CG414" s="125"/>
      <c r="CH414" s="125"/>
      <c r="CI414" s="125"/>
      <c r="CJ414" s="125"/>
      <c r="CK414" s="125"/>
      <c r="CL414" s="125"/>
      <c r="CM414" s="125"/>
      <c r="CN414" s="125"/>
      <c r="CO414" s="125"/>
      <c r="CP414" s="125"/>
      <c r="CQ414" s="125"/>
    </row>
    <row r="415" spans="2:95" ht="48.75" customHeight="1" x14ac:dyDescent="0.25">
      <c r="P415" s="821"/>
      <c r="Q415" s="821"/>
      <c r="R415" s="821"/>
      <c r="S415" s="821"/>
      <c r="T415" s="821"/>
      <c r="U415" s="821"/>
      <c r="V415" s="821"/>
      <c r="W415" s="821"/>
      <c r="BB415" s="125"/>
      <c r="BC415" s="125"/>
      <c r="BD415" s="125"/>
      <c r="BE415" s="125"/>
      <c r="BF415" s="125"/>
      <c r="BG415" s="125"/>
      <c r="BH415" s="125"/>
      <c r="BI415" s="140"/>
      <c r="BJ415" s="125"/>
      <c r="BK415" s="125"/>
      <c r="BL415" s="125"/>
      <c r="BM415" s="125"/>
      <c r="BN415" s="125"/>
      <c r="BO415" s="125"/>
      <c r="BP415" s="125"/>
      <c r="BQ415" s="125"/>
      <c r="BR415" s="125"/>
      <c r="BS415" s="125"/>
      <c r="BT415" s="125"/>
      <c r="BU415" s="125"/>
      <c r="BV415" s="125"/>
      <c r="BW415" s="125"/>
      <c r="BX415" s="125"/>
      <c r="BY415" s="125"/>
      <c r="BZ415" s="125"/>
      <c r="CA415" s="125"/>
      <c r="CB415" s="125"/>
      <c r="CC415" s="125"/>
      <c r="CD415" s="125"/>
      <c r="CE415" s="125"/>
      <c r="CF415" s="125"/>
      <c r="CG415" s="125"/>
      <c r="CH415" s="125"/>
      <c r="CI415" s="125"/>
      <c r="CJ415" s="125"/>
      <c r="CK415" s="125"/>
      <c r="CL415" s="125"/>
      <c r="CM415" s="125"/>
      <c r="CN415" s="125"/>
      <c r="CO415" s="125"/>
      <c r="CP415" s="125"/>
      <c r="CQ415" s="125"/>
    </row>
    <row r="416" spans="2:95" ht="48.75" customHeight="1" x14ac:dyDescent="0.25">
      <c r="P416" s="821"/>
      <c r="Q416" s="821"/>
      <c r="R416" s="821"/>
      <c r="S416" s="821"/>
      <c r="T416" s="821"/>
      <c r="U416" s="821"/>
      <c r="V416" s="821"/>
      <c r="W416" s="821"/>
      <c r="BB416" s="125"/>
      <c r="BC416" s="125"/>
      <c r="BD416" s="125"/>
      <c r="BE416" s="125"/>
      <c r="BF416" s="125"/>
      <c r="BG416" s="125"/>
      <c r="BH416" s="125"/>
      <c r="BI416" s="140"/>
      <c r="BJ416" s="125"/>
      <c r="BK416" s="125"/>
      <c r="BL416" s="125"/>
      <c r="BM416" s="125"/>
      <c r="BN416" s="125"/>
      <c r="BO416" s="125"/>
      <c r="BP416" s="125"/>
      <c r="BQ416" s="125"/>
      <c r="BR416" s="125"/>
      <c r="BS416" s="125"/>
      <c r="BT416" s="125"/>
      <c r="BU416" s="125"/>
      <c r="BV416" s="125"/>
      <c r="BW416" s="125"/>
      <c r="BX416" s="125"/>
      <c r="BY416" s="125"/>
      <c r="BZ416" s="125"/>
      <c r="CA416" s="125"/>
      <c r="CB416" s="125"/>
      <c r="CC416" s="125"/>
      <c r="CD416" s="125"/>
      <c r="CE416" s="125"/>
      <c r="CF416" s="125"/>
      <c r="CG416" s="125"/>
      <c r="CH416" s="125"/>
      <c r="CI416" s="125"/>
      <c r="CJ416" s="125"/>
      <c r="CK416" s="125"/>
      <c r="CL416" s="125"/>
      <c r="CM416" s="125"/>
      <c r="CN416" s="125"/>
      <c r="CO416" s="125"/>
      <c r="CP416" s="125"/>
      <c r="CQ416" s="125"/>
    </row>
    <row r="417" spans="2:23" ht="48.75" customHeight="1" x14ac:dyDescent="0.25">
      <c r="B417" s="446" t="s">
        <v>873</v>
      </c>
      <c r="C417" s="446"/>
      <c r="D417" s="446"/>
      <c r="E417" s="446"/>
      <c r="F417" s="446"/>
      <c r="G417" s="446"/>
      <c r="H417" s="446"/>
      <c r="I417" s="446"/>
      <c r="J417" s="220"/>
      <c r="K417" s="165"/>
      <c r="L417" s="165"/>
      <c r="M417" s="165"/>
      <c r="N417" s="165"/>
      <c r="O417" s="165"/>
      <c r="P417" s="821"/>
      <c r="Q417" s="821"/>
      <c r="R417" s="821"/>
      <c r="S417" s="821"/>
      <c r="T417" s="821"/>
      <c r="U417" s="821"/>
      <c r="V417" s="821"/>
      <c r="W417" s="821"/>
    </row>
    <row r="418" spans="2:23" ht="48.75" customHeight="1" x14ac:dyDescent="0.25">
      <c r="B418" s="446" t="s">
        <v>725</v>
      </c>
      <c r="C418" s="446"/>
      <c r="D418" s="446" t="s">
        <v>728</v>
      </c>
      <c r="E418" s="446" t="s">
        <v>881</v>
      </c>
      <c r="F418" s="446"/>
      <c r="G418" s="446"/>
      <c r="H418" s="446"/>
      <c r="I418" s="446"/>
      <c r="J418" s="446"/>
      <c r="K418" s="214"/>
      <c r="L418" s="214"/>
      <c r="P418" s="821"/>
      <c r="Q418" s="821"/>
      <c r="R418" s="821"/>
      <c r="S418" s="821"/>
      <c r="T418" s="821"/>
      <c r="U418" s="821"/>
      <c r="V418" s="821"/>
      <c r="W418" s="821"/>
    </row>
    <row r="419" spans="2:23" ht="48.75" customHeight="1" x14ac:dyDescent="0.25">
      <c r="B419" s="446"/>
      <c r="C419" s="446"/>
      <c r="D419" s="446"/>
      <c r="E419" s="446" t="s">
        <v>884</v>
      </c>
      <c r="F419" s="446"/>
      <c r="G419" s="446" t="s">
        <v>882</v>
      </c>
      <c r="H419" s="446"/>
      <c r="I419" s="446" t="s">
        <v>883</v>
      </c>
      <c r="J419" s="446"/>
      <c r="K419" s="214"/>
      <c r="L419" s="214"/>
      <c r="P419" s="821"/>
      <c r="Q419" s="821"/>
      <c r="R419" s="821"/>
      <c r="S419" s="821"/>
      <c r="T419" s="821"/>
      <c r="U419" s="821"/>
      <c r="V419" s="821"/>
      <c r="W419" s="821"/>
    </row>
    <row r="420" spans="2:23" ht="48.75" customHeight="1" x14ac:dyDescent="0.25">
      <c r="B420" s="446" t="s">
        <v>872</v>
      </c>
      <c r="C420" s="446"/>
      <c r="D420" s="446" t="s">
        <v>869</v>
      </c>
      <c r="E420" s="730">
        <f>(1/57)</f>
        <v>1.7543859649122806E-2</v>
      </c>
      <c r="F420" s="730"/>
      <c r="G420" s="730">
        <f>1/47</f>
        <v>2.1276595744680851E-2</v>
      </c>
      <c r="H420" s="730"/>
      <c r="I420" s="730">
        <f>1/41</f>
        <v>2.4390243902439025E-2</v>
      </c>
      <c r="J420" s="730"/>
      <c r="K420" s="214"/>
      <c r="L420" s="214"/>
      <c r="P420" s="821"/>
      <c r="Q420" s="821"/>
      <c r="R420" s="821"/>
      <c r="S420" s="821"/>
      <c r="T420" s="821"/>
      <c r="U420" s="821"/>
      <c r="V420" s="821"/>
      <c r="W420" s="821"/>
    </row>
    <row r="421" spans="2:23" ht="48.75" customHeight="1" x14ac:dyDescent="0.25">
      <c r="B421" s="446"/>
      <c r="C421" s="446"/>
      <c r="D421" s="446"/>
      <c r="E421" s="730"/>
      <c r="F421" s="730"/>
      <c r="G421" s="730"/>
      <c r="H421" s="730"/>
      <c r="I421" s="730"/>
      <c r="J421" s="730"/>
      <c r="K421" s="214"/>
      <c r="L421" s="214"/>
      <c r="P421" s="821"/>
      <c r="Q421" s="821"/>
      <c r="R421" s="821"/>
      <c r="S421" s="821"/>
      <c r="T421" s="821"/>
      <c r="U421" s="821"/>
      <c r="V421" s="821"/>
      <c r="W421" s="821"/>
    </row>
    <row r="422" spans="2:23" ht="48.75" customHeight="1" x14ac:dyDescent="0.25">
      <c r="B422" s="446"/>
      <c r="C422" s="446"/>
      <c r="D422" s="446"/>
      <c r="E422" s="730"/>
      <c r="F422" s="730"/>
      <c r="G422" s="730"/>
      <c r="H422" s="730"/>
      <c r="I422" s="730"/>
      <c r="J422" s="730"/>
      <c r="K422" s="214"/>
      <c r="L422" s="214"/>
      <c r="P422" s="821"/>
      <c r="Q422" s="821"/>
      <c r="R422" s="821"/>
      <c r="S422" s="821"/>
      <c r="T422" s="821"/>
      <c r="U422" s="821"/>
      <c r="V422" s="821"/>
      <c r="W422" s="821"/>
    </row>
    <row r="423" spans="2:23" ht="48.75" customHeight="1" x14ac:dyDescent="0.25">
      <c r="B423" s="446"/>
      <c r="C423" s="446"/>
      <c r="D423" s="446"/>
      <c r="E423" s="730"/>
      <c r="F423" s="730"/>
      <c r="G423" s="730"/>
      <c r="H423" s="730"/>
      <c r="I423" s="730"/>
      <c r="J423" s="730"/>
      <c r="K423" s="214"/>
      <c r="L423" s="214"/>
      <c r="P423" s="821"/>
      <c r="Q423" s="821"/>
      <c r="R423" s="821"/>
      <c r="S423" s="821"/>
      <c r="T423" s="821"/>
      <c r="U423" s="821"/>
      <c r="V423" s="821"/>
      <c r="W423" s="821"/>
    </row>
    <row r="424" spans="2:23" ht="48.75" customHeight="1" x14ac:dyDescent="0.25">
      <c r="B424" s="446" t="s">
        <v>874</v>
      </c>
      <c r="C424" s="446"/>
      <c r="D424" s="446" t="s">
        <v>870</v>
      </c>
      <c r="E424" s="730">
        <f>1/35</f>
        <v>2.8571428571428571E-2</v>
      </c>
      <c r="F424" s="730"/>
      <c r="G424" s="730">
        <f>1/28</f>
        <v>3.5714285714285712E-2</v>
      </c>
      <c r="H424" s="730"/>
      <c r="I424" s="730">
        <f>1/26</f>
        <v>3.8461538461538464E-2</v>
      </c>
      <c r="J424" s="730"/>
      <c r="K424" s="214"/>
      <c r="L424" s="214"/>
    </row>
    <row r="425" spans="2:23" ht="48.75" customHeight="1" x14ac:dyDescent="0.25">
      <c r="B425" s="446"/>
      <c r="C425" s="446"/>
      <c r="D425" s="446"/>
      <c r="E425" s="730"/>
      <c r="F425" s="730"/>
      <c r="G425" s="730"/>
      <c r="H425" s="730"/>
      <c r="I425" s="730"/>
      <c r="J425" s="730"/>
      <c r="K425" s="214"/>
      <c r="L425" s="214"/>
    </row>
    <row r="426" spans="2:23" ht="48.75" customHeight="1" x14ac:dyDescent="0.25">
      <c r="B426" s="446"/>
      <c r="C426" s="446"/>
      <c r="D426" s="446" t="s">
        <v>871</v>
      </c>
      <c r="E426" s="730">
        <f>1/14</f>
        <v>7.1428571428571425E-2</v>
      </c>
      <c r="F426" s="730"/>
      <c r="G426" s="730">
        <f>1/22</f>
        <v>4.5454545454545456E-2</v>
      </c>
      <c r="H426" s="730"/>
      <c r="I426" s="730">
        <f>1/22</f>
        <v>4.5454545454545456E-2</v>
      </c>
      <c r="J426" s="730"/>
      <c r="K426" s="214"/>
      <c r="L426" s="214"/>
    </row>
    <row r="427" spans="2:23" ht="48.75" customHeight="1" x14ac:dyDescent="0.25">
      <c r="B427" s="446"/>
      <c r="C427" s="446"/>
      <c r="D427" s="446"/>
      <c r="E427" s="730"/>
      <c r="F427" s="730"/>
      <c r="G427" s="730"/>
      <c r="H427" s="730"/>
      <c r="I427" s="730"/>
      <c r="J427" s="730"/>
      <c r="K427" s="214"/>
      <c r="L427" s="214"/>
    </row>
    <row r="428" spans="2:23" ht="48.75" customHeight="1" x14ac:dyDescent="0.25">
      <c r="B428" s="779"/>
      <c r="C428" s="779"/>
      <c r="D428" s="779"/>
      <c r="E428" s="779"/>
      <c r="F428" s="779"/>
      <c r="G428" s="779"/>
      <c r="H428" s="779"/>
      <c r="I428" s="779"/>
      <c r="J428" s="779"/>
      <c r="K428" s="165"/>
      <c r="L428" s="165"/>
      <c r="M428" s="165"/>
      <c r="N428" s="165"/>
      <c r="O428" s="165"/>
      <c r="P428" s="165"/>
      <c r="Q428" s="165"/>
    </row>
    <row r="429" spans="2:23" ht="48.75" customHeight="1" x14ac:dyDescent="0.25">
      <c r="B429" s="741" t="s">
        <v>933</v>
      </c>
      <c r="C429" s="741"/>
      <c r="D429" s="741"/>
      <c r="E429" s="741"/>
      <c r="F429" s="741"/>
      <c r="G429" s="741"/>
      <c r="H429" s="741"/>
      <c r="I429" s="741"/>
      <c r="J429" s="741"/>
      <c r="K429" s="165"/>
      <c r="L429" s="165"/>
      <c r="M429" s="165"/>
      <c r="N429" s="165"/>
      <c r="O429" s="165"/>
      <c r="P429" s="165"/>
      <c r="Q429" s="165"/>
    </row>
    <row r="430" spans="2:23" ht="48.75" customHeight="1" x14ac:dyDescent="0.25">
      <c r="B430" s="741"/>
      <c r="C430" s="741"/>
      <c r="D430" s="741"/>
      <c r="E430" s="741"/>
      <c r="F430" s="741"/>
      <c r="G430" s="741"/>
      <c r="H430" s="741"/>
      <c r="I430" s="741"/>
      <c r="J430" s="741"/>
      <c r="K430" s="165"/>
      <c r="L430" s="165"/>
      <c r="M430" s="165"/>
      <c r="N430" s="165"/>
      <c r="O430" s="165"/>
      <c r="P430" s="165"/>
      <c r="Q430" s="165"/>
    </row>
    <row r="431" spans="2:23" ht="48.75" customHeight="1" x14ac:dyDescent="0.25">
      <c r="B431" s="215"/>
      <c r="C431" s="215"/>
      <c r="D431" s="215"/>
      <c r="E431" s="215"/>
      <c r="F431" s="215"/>
      <c r="G431" s="215"/>
      <c r="H431" s="215"/>
    </row>
    <row r="432" spans="2:23" ht="48.75" customHeight="1" x14ac:dyDescent="0.25">
      <c r="B432" s="210"/>
      <c r="C432" s="210"/>
      <c r="D432" s="210"/>
      <c r="E432" s="210"/>
      <c r="F432" s="210"/>
      <c r="G432" s="210"/>
      <c r="H432" s="210"/>
    </row>
    <row r="437" spans="14:14" ht="48.75" customHeight="1" x14ac:dyDescent="0.25">
      <c r="N437" s="158"/>
    </row>
  </sheetData>
  <mergeCells count="789">
    <mergeCell ref="AR35:AY41"/>
    <mergeCell ref="P402:V403"/>
    <mergeCell ref="W402:W403"/>
    <mergeCell ref="AK326:AP326"/>
    <mergeCell ref="M309:V309"/>
    <mergeCell ref="M329:S338"/>
    <mergeCell ref="AK327:AQ338"/>
    <mergeCell ref="M310:W323"/>
    <mergeCell ref="AP52:AV58"/>
    <mergeCell ref="AP49:AU51"/>
    <mergeCell ref="AV49:AV51"/>
    <mergeCell ref="AN87:AQ87"/>
    <mergeCell ref="AU121:AX121"/>
    <mergeCell ref="AK121:AL121"/>
    <mergeCell ref="AK142:AL142"/>
    <mergeCell ref="AK122:AL122"/>
    <mergeCell ref="AL156:AL164"/>
    <mergeCell ref="AU142:AX142"/>
    <mergeCell ref="AK112:AL112"/>
    <mergeCell ref="AL115:AL119"/>
    <mergeCell ref="AK114:AL114"/>
    <mergeCell ref="AS141:AS144"/>
    <mergeCell ref="AU141:AX141"/>
    <mergeCell ref="AK155:AL155"/>
    <mergeCell ref="AR34:AX34"/>
    <mergeCell ref="AD51:AE51"/>
    <mergeCell ref="AD52:AE52"/>
    <mergeCell ref="AD50:AI50"/>
    <mergeCell ref="O38:R38"/>
    <mergeCell ref="AK21:AO21"/>
    <mergeCell ref="AK113:AL113"/>
    <mergeCell ref="AK103:AL103"/>
    <mergeCell ref="AK104:AL104"/>
    <mergeCell ref="AL105:AL110"/>
    <mergeCell ref="U85:AX85"/>
    <mergeCell ref="Y75:AB75"/>
    <mergeCell ref="Y76:AB76"/>
    <mergeCell ref="AU87:AX87"/>
    <mergeCell ref="AN88:AQ88"/>
    <mergeCell ref="AU88:AX88"/>
    <mergeCell ref="AT86:AY86"/>
    <mergeCell ref="AS86:AS89"/>
    <mergeCell ref="AK87:AL87"/>
    <mergeCell ref="AK88:AL88"/>
    <mergeCell ref="AK89:AL89"/>
    <mergeCell ref="AK90:AL90"/>
    <mergeCell ref="AK102:AL102"/>
    <mergeCell ref="AN102:AQ102"/>
    <mergeCell ref="AU112:AX112"/>
    <mergeCell ref="AK154:AL154"/>
    <mergeCell ref="AU102:AX102"/>
    <mergeCell ref="T151:U151"/>
    <mergeCell ref="U152:U154"/>
    <mergeCell ref="AD112:AG112"/>
    <mergeCell ref="AD149:AG149"/>
    <mergeCell ref="W149:Z149"/>
    <mergeCell ref="T113:U113"/>
    <mergeCell ref="V114:X114"/>
    <mergeCell ref="Z114:AA114"/>
    <mergeCell ref="AN154:AQ154"/>
    <mergeCell ref="AU154:AX154"/>
    <mergeCell ref="AM123:AR123"/>
    <mergeCell ref="AT123:AY123"/>
    <mergeCell ref="AL124:AL139"/>
    <mergeCell ref="AL145:AL152"/>
    <mergeCell ref="AL91:AL100"/>
    <mergeCell ref="U115:U130"/>
    <mergeCell ref="T150:U150"/>
    <mergeCell ref="AB132:AB135"/>
    <mergeCell ref="AK123:AL123"/>
    <mergeCell ref="AK141:AL141"/>
    <mergeCell ref="AK143:AL143"/>
    <mergeCell ref="AK144:AL144"/>
    <mergeCell ref="AN141:AQ141"/>
    <mergeCell ref="AN142:AQ142"/>
    <mergeCell ref="U136:U147"/>
    <mergeCell ref="AN121:AQ121"/>
    <mergeCell ref="AD133:AG133"/>
    <mergeCell ref="AD132:AG132"/>
    <mergeCell ref="W132:Z132"/>
    <mergeCell ref="W133:Z133"/>
    <mergeCell ref="W112:Z112"/>
    <mergeCell ref="T134:U134"/>
    <mergeCell ref="T132:U132"/>
    <mergeCell ref="T112:U112"/>
    <mergeCell ref="U90:U110"/>
    <mergeCell ref="C221:C222"/>
    <mergeCell ref="B211:C217"/>
    <mergeCell ref="D211:D217"/>
    <mergeCell ref="H212:I213"/>
    <mergeCell ref="H214:I215"/>
    <mergeCell ref="B91:B92"/>
    <mergeCell ref="B93:B94"/>
    <mergeCell ref="B98:B99"/>
    <mergeCell ref="B100:B101"/>
    <mergeCell ref="B102:B103"/>
    <mergeCell ref="C98:E99"/>
    <mergeCell ref="F98:F99"/>
    <mergeCell ref="F100:F101"/>
    <mergeCell ref="G100:G101"/>
    <mergeCell ref="H102:H103"/>
    <mergeCell ref="H100:H101"/>
    <mergeCell ref="I100:K101"/>
    <mergeCell ref="H216:I217"/>
    <mergeCell ref="F212:F213"/>
    <mergeCell ref="F214:F215"/>
    <mergeCell ref="E212:E217"/>
    <mergeCell ref="F211:I211"/>
    <mergeCell ref="F216:F217"/>
    <mergeCell ref="V233:X233"/>
    <mergeCell ref="V234:X234"/>
    <mergeCell ref="V235:X235"/>
    <mergeCell ref="V236:X236"/>
    <mergeCell ref="V237:X237"/>
    <mergeCell ref="T135:U135"/>
    <mergeCell ref="T149:U149"/>
    <mergeCell ref="T133:U133"/>
    <mergeCell ref="T221:T222"/>
    <mergeCell ref="U221:U222"/>
    <mergeCell ref="AI248:AK249"/>
    <mergeCell ref="AI250:AK251"/>
    <mergeCell ref="AI242:AK242"/>
    <mergeCell ref="AH248:AH249"/>
    <mergeCell ref="AH250:AH251"/>
    <mergeCell ref="AI229:AK229"/>
    <mergeCell ref="AI230:AK230"/>
    <mergeCell ref="AI231:AK231"/>
    <mergeCell ref="V225:X225"/>
    <mergeCell ref="V226:X226"/>
    <mergeCell ref="V227:X227"/>
    <mergeCell ref="V228:X228"/>
    <mergeCell ref="V242:X242"/>
    <mergeCell ref="AI232:AK232"/>
    <mergeCell ref="AI233:AK233"/>
    <mergeCell ref="AI234:AK234"/>
    <mergeCell ref="AI235:AK235"/>
    <mergeCell ref="AI236:AK236"/>
    <mergeCell ref="AI237:AK237"/>
    <mergeCell ref="AI238:AK238"/>
    <mergeCell ref="V238:X238"/>
    <mergeCell ref="V239:X239"/>
    <mergeCell ref="AI243:AK243"/>
    <mergeCell ref="AI244:AK244"/>
    <mergeCell ref="AI240:AK240"/>
    <mergeCell ref="AI241:AK241"/>
    <mergeCell ref="T243:T246"/>
    <mergeCell ref="V243:X243"/>
    <mergeCell ref="V244:X244"/>
    <mergeCell ref="V245:X245"/>
    <mergeCell ref="V246:X246"/>
    <mergeCell ref="V240:X240"/>
    <mergeCell ref="V241:X241"/>
    <mergeCell ref="AH256:AH257"/>
    <mergeCell ref="AH258:AH259"/>
    <mergeCell ref="AH260:AH261"/>
    <mergeCell ref="AH263:AH264"/>
    <mergeCell ref="AI252:AK252"/>
    <mergeCell ref="AI253:AK253"/>
    <mergeCell ref="AI254:AK255"/>
    <mergeCell ref="AI256:AK257"/>
    <mergeCell ref="AI258:AK259"/>
    <mergeCell ref="AI260:AK261"/>
    <mergeCell ref="AI262:AK262"/>
    <mergeCell ref="AI263:AK264"/>
    <mergeCell ref="AH254:AH255"/>
    <mergeCell ref="V254:X255"/>
    <mergeCell ref="U254:U255"/>
    <mergeCell ref="U256:U257"/>
    <mergeCell ref="V256:X257"/>
    <mergeCell ref="V250:X251"/>
    <mergeCell ref="U250:U251"/>
    <mergeCell ref="T247:T251"/>
    <mergeCell ref="V262:X262"/>
    <mergeCell ref="V252:X252"/>
    <mergeCell ref="V253:X253"/>
    <mergeCell ref="T258:T261"/>
    <mergeCell ref="U258:U259"/>
    <mergeCell ref="V258:X259"/>
    <mergeCell ref="U260:U261"/>
    <mergeCell ref="V260:X261"/>
    <mergeCell ref="T262:T264"/>
    <mergeCell ref="V247:X247"/>
    <mergeCell ref="AN112:AQ112"/>
    <mergeCell ref="L89:L90"/>
    <mergeCell ref="AO219:AU219"/>
    <mergeCell ref="T223:T230"/>
    <mergeCell ref="AG222:AG224"/>
    <mergeCell ref="V229:X229"/>
    <mergeCell ref="V230:X230"/>
    <mergeCell ref="AI245:AK245"/>
    <mergeCell ref="AI246:AK246"/>
    <mergeCell ref="AI224:AK224"/>
    <mergeCell ref="AI225:AK225"/>
    <mergeCell ref="AI226:AK226"/>
    <mergeCell ref="AI227:AK227"/>
    <mergeCell ref="AI228:AK228"/>
    <mergeCell ref="T239:T242"/>
    <mergeCell ref="V231:X231"/>
    <mergeCell ref="V232:X232"/>
    <mergeCell ref="V224:X224"/>
    <mergeCell ref="V223:X223"/>
    <mergeCell ref="V222:AF222"/>
    <mergeCell ref="V221:AR221"/>
    <mergeCell ref="AH222:AS222"/>
    <mergeCell ref="AI239:AK239"/>
    <mergeCell ref="AI223:AK223"/>
    <mergeCell ref="AB112:AB114"/>
    <mergeCell ref="AC86:AH86"/>
    <mergeCell ref="V86:AA86"/>
    <mergeCell ref="V89:X89"/>
    <mergeCell ref="AD88:AG88"/>
    <mergeCell ref="G89:J90"/>
    <mergeCell ref="K89:K90"/>
    <mergeCell ref="L98:Q99"/>
    <mergeCell ref="P89:Q90"/>
    <mergeCell ref="W88:Z88"/>
    <mergeCell ref="AC89:AE89"/>
    <mergeCell ref="AF89:AG89"/>
    <mergeCell ref="Z89:AA89"/>
    <mergeCell ref="M91:Q92"/>
    <mergeCell ref="L91:L92"/>
    <mergeCell ref="L93:Q94"/>
    <mergeCell ref="T89:U89"/>
    <mergeCell ref="T88:U88"/>
    <mergeCell ref="T114:U114"/>
    <mergeCell ref="N100:Q101"/>
    <mergeCell ref="M89:O90"/>
    <mergeCell ref="B420:C423"/>
    <mergeCell ref="B418:C419"/>
    <mergeCell ref="X367:AJ367"/>
    <mergeCell ref="X349:X351"/>
    <mergeCell ref="X352:X354"/>
    <mergeCell ref="X355:X357"/>
    <mergeCell ref="X364:X366"/>
    <mergeCell ref="J212:J213"/>
    <mergeCell ref="K212:K213"/>
    <mergeCell ref="L212:L213"/>
    <mergeCell ref="L214:L215"/>
    <mergeCell ref="K214:K215"/>
    <mergeCell ref="J214:J215"/>
    <mergeCell ref="J216:J217"/>
    <mergeCell ref="K216:K217"/>
    <mergeCell ref="L216:L217"/>
    <mergeCell ref="P221:R221"/>
    <mergeCell ref="AI247:AK247"/>
    <mergeCell ref="T231:T238"/>
    <mergeCell ref="U263:U264"/>
    <mergeCell ref="V263:X264"/>
    <mergeCell ref="V248:X249"/>
    <mergeCell ref="U248:U249"/>
    <mergeCell ref="T252:T257"/>
    <mergeCell ref="B327:I328"/>
    <mergeCell ref="B329:J339"/>
    <mergeCell ref="M327:R328"/>
    <mergeCell ref="N363:O363"/>
    <mergeCell ref="P366:Q366"/>
    <mergeCell ref="P367:Q367"/>
    <mergeCell ref="N367:O367"/>
    <mergeCell ref="N366:O366"/>
    <mergeCell ref="P362:Q362"/>
    <mergeCell ref="P363:Q363"/>
    <mergeCell ref="P364:Q364"/>
    <mergeCell ref="P365:Q365"/>
    <mergeCell ref="N362:O362"/>
    <mergeCell ref="N364:O364"/>
    <mergeCell ref="N365:O365"/>
    <mergeCell ref="C347:D348"/>
    <mergeCell ref="C349:D351"/>
    <mergeCell ref="C352:D354"/>
    <mergeCell ref="C355:D357"/>
    <mergeCell ref="C358:D360"/>
    <mergeCell ref="C361:D363"/>
    <mergeCell ref="B428:J428"/>
    <mergeCell ref="B429:J430"/>
    <mergeCell ref="Y347:AJ347"/>
    <mergeCell ref="X347:X348"/>
    <mergeCell ref="R360:T360"/>
    <mergeCell ref="M360:Q361"/>
    <mergeCell ref="M359:S359"/>
    <mergeCell ref="R361:T366"/>
    <mergeCell ref="I426:J427"/>
    <mergeCell ref="I419:J419"/>
    <mergeCell ref="E418:J418"/>
    <mergeCell ref="R367:T367"/>
    <mergeCell ref="Y349:AD351"/>
    <mergeCell ref="Y352:AD354"/>
    <mergeCell ref="Y355:AD357"/>
    <mergeCell ref="Y358:AD360"/>
    <mergeCell ref="AE349:AJ351"/>
    <mergeCell ref="AE352:AJ354"/>
    <mergeCell ref="Y361:AD363"/>
    <mergeCell ref="Y364:AD366"/>
    <mergeCell ref="AE355:AJ357"/>
    <mergeCell ref="P404:W423"/>
    <mergeCell ref="AE358:AJ360"/>
    <mergeCell ref="AE364:AJ366"/>
    <mergeCell ref="B223:B229"/>
    <mergeCell ref="P229:R229"/>
    <mergeCell ref="B230:B237"/>
    <mergeCell ref="M221:O221"/>
    <mergeCell ref="M222:O222"/>
    <mergeCell ref="M223:O223"/>
    <mergeCell ref="M224:O224"/>
    <mergeCell ref="M225:O225"/>
    <mergeCell ref="M226:O226"/>
    <mergeCell ref="M227:O227"/>
    <mergeCell ref="M228:O228"/>
    <mergeCell ref="M229:O229"/>
    <mergeCell ref="G223:I223"/>
    <mergeCell ref="G224:I224"/>
    <mergeCell ref="D229:F229"/>
    <mergeCell ref="P222:R222"/>
    <mergeCell ref="P223:R223"/>
    <mergeCell ref="P224:R224"/>
    <mergeCell ref="M230:O230"/>
    <mergeCell ref="M231:O231"/>
    <mergeCell ref="P230:R230"/>
    <mergeCell ref="P231:R231"/>
    <mergeCell ref="P232:R233"/>
    <mergeCell ref="D230:F230"/>
    <mergeCell ref="G212:G213"/>
    <mergeCell ref="G214:G215"/>
    <mergeCell ref="G216:G217"/>
    <mergeCell ref="D18:E18"/>
    <mergeCell ref="D19:E19"/>
    <mergeCell ref="D20:E20"/>
    <mergeCell ref="D21:E21"/>
    <mergeCell ref="D22:E22"/>
    <mergeCell ref="D23:E23"/>
    <mergeCell ref="C89:E90"/>
    <mergeCell ref="C85:P85"/>
    <mergeCell ref="B48:G48"/>
    <mergeCell ref="M64:M81"/>
    <mergeCell ref="I64:I81"/>
    <mergeCell ref="M61:M63"/>
    <mergeCell ref="F61:F63"/>
    <mergeCell ref="G61:G63"/>
    <mergeCell ref="H61:H63"/>
    <mergeCell ref="L34:M34"/>
    <mergeCell ref="L25:M25"/>
    <mergeCell ref="L26:M26"/>
    <mergeCell ref="L27:M27"/>
    <mergeCell ref="L28:M28"/>
    <mergeCell ref="L29:M29"/>
    <mergeCell ref="L20:M20"/>
    <mergeCell ref="B41:B46"/>
    <mergeCell ref="D27:E27"/>
    <mergeCell ref="P2:Q2"/>
    <mergeCell ref="R2:R3"/>
    <mergeCell ref="B2:N3"/>
    <mergeCell ref="C91:C94"/>
    <mergeCell ref="D91:E92"/>
    <mergeCell ref="D93:E94"/>
    <mergeCell ref="G91:K92"/>
    <mergeCell ref="F93:F94"/>
    <mergeCell ref="F91:F92"/>
    <mergeCell ref="Q61:Q63"/>
    <mergeCell ref="B60:T60"/>
    <mergeCell ref="Q64:Q81"/>
    <mergeCell ref="R61:U65"/>
    <mergeCell ref="D10:E10"/>
    <mergeCell ref="D9:E9"/>
    <mergeCell ref="D11:E11"/>
    <mergeCell ref="B38:B39"/>
    <mergeCell ref="L38:L39"/>
    <mergeCell ref="D12:E12"/>
    <mergeCell ref="D13:E13"/>
    <mergeCell ref="D14:E14"/>
    <mergeCell ref="D16:E16"/>
    <mergeCell ref="D17:E17"/>
    <mergeCell ref="D15:E15"/>
    <mergeCell ref="B197:K198"/>
    <mergeCell ref="M133:M134"/>
    <mergeCell ref="L197:L198"/>
    <mergeCell ref="E138:F138"/>
    <mergeCell ref="E139:F139"/>
    <mergeCell ref="E140:F140"/>
    <mergeCell ref="E136:F137"/>
    <mergeCell ref="H138:I138"/>
    <mergeCell ref="H139:I139"/>
    <mergeCell ref="H140:I140"/>
    <mergeCell ref="H136:I137"/>
    <mergeCell ref="E135:G135"/>
    <mergeCell ref="M136:M137"/>
    <mergeCell ref="K136:L137"/>
    <mergeCell ref="B176:G176"/>
    <mergeCell ref="B177:H192"/>
    <mergeCell ref="H15:I15"/>
    <mergeCell ref="H16:I16"/>
    <mergeCell ref="H17:I17"/>
    <mergeCell ref="H18:I18"/>
    <mergeCell ref="H19:I19"/>
    <mergeCell ref="H20:I20"/>
    <mergeCell ref="H21:I21"/>
    <mergeCell ref="J15:K15"/>
    <mergeCell ref="J16:K16"/>
    <mergeCell ref="J17:K17"/>
    <mergeCell ref="J18:K18"/>
    <mergeCell ref="J19:K19"/>
    <mergeCell ref="J20:K20"/>
    <mergeCell ref="J21:K21"/>
    <mergeCell ref="J22:K22"/>
    <mergeCell ref="J23:K23"/>
    <mergeCell ref="J24:K24"/>
    <mergeCell ref="H28:I28"/>
    <mergeCell ref="H29:I29"/>
    <mergeCell ref="H30:I30"/>
    <mergeCell ref="H31:I31"/>
    <mergeCell ref="H32:I32"/>
    <mergeCell ref="H23:I23"/>
    <mergeCell ref="H24:I24"/>
    <mergeCell ref="J31:K31"/>
    <mergeCell ref="J32:K32"/>
    <mergeCell ref="H26:I26"/>
    <mergeCell ref="H27:I27"/>
    <mergeCell ref="J25:K25"/>
    <mergeCell ref="J26:K26"/>
    <mergeCell ref="J27:K27"/>
    <mergeCell ref="J28:K28"/>
    <mergeCell ref="J29:K29"/>
    <mergeCell ref="H22:I22"/>
    <mergeCell ref="B202:C210"/>
    <mergeCell ref="E208:E210"/>
    <mergeCell ref="D202:D210"/>
    <mergeCell ref="G199:J199"/>
    <mergeCell ref="D199:D201"/>
    <mergeCell ref="B199:C201"/>
    <mergeCell ref="F26:G26"/>
    <mergeCell ref="H25:I25"/>
    <mergeCell ref="F30:G30"/>
    <mergeCell ref="H33:I33"/>
    <mergeCell ref="H34:I34"/>
    <mergeCell ref="F31:G31"/>
    <mergeCell ref="F32:G32"/>
    <mergeCell ref="F33:G33"/>
    <mergeCell ref="F34:G34"/>
    <mergeCell ref="J33:K33"/>
    <mergeCell ref="J34:K34"/>
    <mergeCell ref="J95:K95"/>
    <mergeCell ref="K140:L140"/>
    <mergeCell ref="K135:M135"/>
    <mergeCell ref="B133:L134"/>
    <mergeCell ref="E199:E201"/>
    <mergeCell ref="D135:D137"/>
    <mergeCell ref="C135:C137"/>
    <mergeCell ref="H210:I210"/>
    <mergeCell ref="F208:I208"/>
    <mergeCell ref="F205:I205"/>
    <mergeCell ref="F202:I202"/>
    <mergeCell ref="K199:K201"/>
    <mergeCell ref="F199:F201"/>
    <mergeCell ref="J97:K97"/>
    <mergeCell ref="O97:Q97"/>
    <mergeCell ref="G93:K94"/>
    <mergeCell ref="F102:F103"/>
    <mergeCell ref="G102:G103"/>
    <mergeCell ref="I102:K103"/>
    <mergeCell ref="L102:L103"/>
    <mergeCell ref="M102:M103"/>
    <mergeCell ref="N102:Q103"/>
    <mergeCell ref="L100:L101"/>
    <mergeCell ref="M100:M101"/>
    <mergeCell ref="O95:Q95"/>
    <mergeCell ref="L199:L201"/>
    <mergeCell ref="G200:I200"/>
    <mergeCell ref="J200:J201"/>
    <mergeCell ref="H203:I203"/>
    <mergeCell ref="H204:I204"/>
    <mergeCell ref="H206:I206"/>
    <mergeCell ref="D28:E28"/>
    <mergeCell ref="C38:K39"/>
    <mergeCell ref="G40:G46"/>
    <mergeCell ref="D25:E25"/>
    <mergeCell ref="D26:E26"/>
    <mergeCell ref="F27:G27"/>
    <mergeCell ref="F28:G28"/>
    <mergeCell ref="F29:G29"/>
    <mergeCell ref="J30:K30"/>
    <mergeCell ref="D32:E32"/>
    <mergeCell ref="D33:E33"/>
    <mergeCell ref="N19:O19"/>
    <mergeCell ref="H207:I207"/>
    <mergeCell ref="H209:I209"/>
    <mergeCell ref="H135:J135"/>
    <mergeCell ref="K138:L138"/>
    <mergeCell ref="K139:L139"/>
    <mergeCell ref="D34:E34"/>
    <mergeCell ref="F10:G10"/>
    <mergeCell ref="H10:I10"/>
    <mergeCell ref="J10:K10"/>
    <mergeCell ref="L10:M10"/>
    <mergeCell ref="F15:G15"/>
    <mergeCell ref="F16:G16"/>
    <mergeCell ref="F17:G17"/>
    <mergeCell ref="F18:G18"/>
    <mergeCell ref="F19:G19"/>
    <mergeCell ref="F20:G20"/>
    <mergeCell ref="F21:G21"/>
    <mergeCell ref="F22:G22"/>
    <mergeCell ref="F23:G23"/>
    <mergeCell ref="F24:G24"/>
    <mergeCell ref="F25:G25"/>
    <mergeCell ref="D29:E29"/>
    <mergeCell ref="D30:E30"/>
    <mergeCell ref="N13:O13"/>
    <mergeCell ref="N14:O14"/>
    <mergeCell ref="H11:I11"/>
    <mergeCell ref="H12:I12"/>
    <mergeCell ref="H13:I13"/>
    <mergeCell ref="H14:I14"/>
    <mergeCell ref="J11:K11"/>
    <mergeCell ref="J12:K12"/>
    <mergeCell ref="J13:K13"/>
    <mergeCell ref="J14:K14"/>
    <mergeCell ref="L30:M30"/>
    <mergeCell ref="L31:M31"/>
    <mergeCell ref="L32:M32"/>
    <mergeCell ref="L33:M33"/>
    <mergeCell ref="B221:B222"/>
    <mergeCell ref="N20:O20"/>
    <mergeCell ref="N21:O21"/>
    <mergeCell ref="N22:O22"/>
    <mergeCell ref="N23:O23"/>
    <mergeCell ref="N24:O24"/>
    <mergeCell ref="N34:O34"/>
    <mergeCell ref="N25:O25"/>
    <mergeCell ref="N26:O26"/>
    <mergeCell ref="N27:O27"/>
    <mergeCell ref="N28:O28"/>
    <mergeCell ref="N29:O29"/>
    <mergeCell ref="N30:O30"/>
    <mergeCell ref="N31:O31"/>
    <mergeCell ref="N32:O32"/>
    <mergeCell ref="N33:O33"/>
    <mergeCell ref="D24:E24"/>
    <mergeCell ref="L24:M24"/>
    <mergeCell ref="D31:E31"/>
    <mergeCell ref="F89:F90"/>
    <mergeCell ref="F9:G9"/>
    <mergeCell ref="H9:I9"/>
    <mergeCell ref="J9:K9"/>
    <mergeCell ref="L9:M9"/>
    <mergeCell ref="N9:O9"/>
    <mergeCell ref="N15:O15"/>
    <mergeCell ref="N16:O16"/>
    <mergeCell ref="N17:O17"/>
    <mergeCell ref="N18:O18"/>
    <mergeCell ref="L15:M15"/>
    <mergeCell ref="L16:M16"/>
    <mergeCell ref="L17:M17"/>
    <mergeCell ref="L18:M18"/>
    <mergeCell ref="N10:O10"/>
    <mergeCell ref="F11:G11"/>
    <mergeCell ref="F12:G12"/>
    <mergeCell ref="F13:G13"/>
    <mergeCell ref="F14:G14"/>
    <mergeCell ref="L11:M11"/>
    <mergeCell ref="L12:M12"/>
    <mergeCell ref="L13:M13"/>
    <mergeCell ref="L14:M14"/>
    <mergeCell ref="N11:O11"/>
    <mergeCell ref="N12:O12"/>
    <mergeCell ref="L19:M19"/>
    <mergeCell ref="L21:M21"/>
    <mergeCell ref="L22:M22"/>
    <mergeCell ref="L23:M23"/>
    <mergeCell ref="M236:O237"/>
    <mergeCell ref="B238:B241"/>
    <mergeCell ref="K221:K224"/>
    <mergeCell ref="K225:K227"/>
    <mergeCell ref="K228:K231"/>
    <mergeCell ref="L234:L235"/>
    <mergeCell ref="G230:I230"/>
    <mergeCell ref="L238:L239"/>
    <mergeCell ref="G231:I231"/>
    <mergeCell ref="G232:I232"/>
    <mergeCell ref="G233:I233"/>
    <mergeCell ref="G234:I234"/>
    <mergeCell ref="G235:I235"/>
    <mergeCell ref="G236:I236"/>
    <mergeCell ref="G237:I237"/>
    <mergeCell ref="L236:L237"/>
    <mergeCell ref="L232:L233"/>
    <mergeCell ref="G222:I222"/>
    <mergeCell ref="G238:I238"/>
    <mergeCell ref="G239:I239"/>
    <mergeCell ref="D231:F231"/>
    <mergeCell ref="P225:R225"/>
    <mergeCell ref="P226:R226"/>
    <mergeCell ref="P227:R227"/>
    <mergeCell ref="P228:R228"/>
    <mergeCell ref="C260:I260"/>
    <mergeCell ref="D238:F238"/>
    <mergeCell ref="D239:F239"/>
    <mergeCell ref="D240:F240"/>
    <mergeCell ref="D241:F241"/>
    <mergeCell ref="M232:O233"/>
    <mergeCell ref="D232:F232"/>
    <mergeCell ref="D233:F233"/>
    <mergeCell ref="D234:F234"/>
    <mergeCell ref="D235:F235"/>
    <mergeCell ref="D236:F236"/>
    <mergeCell ref="D237:F237"/>
    <mergeCell ref="K236:K239"/>
    <mergeCell ref="K232:K235"/>
    <mergeCell ref="M234:O235"/>
    <mergeCell ref="G240:I240"/>
    <mergeCell ref="G241:I241"/>
    <mergeCell ref="M238:O239"/>
    <mergeCell ref="N279:W279"/>
    <mergeCell ref="N299:X302"/>
    <mergeCell ref="B279:K279"/>
    <mergeCell ref="M279:M281"/>
    <mergeCell ref="B220:Q220"/>
    <mergeCell ref="J221:J241"/>
    <mergeCell ref="F261:G261"/>
    <mergeCell ref="H261:J261"/>
    <mergeCell ref="G225:I225"/>
    <mergeCell ref="G226:I226"/>
    <mergeCell ref="G227:I227"/>
    <mergeCell ref="G228:I228"/>
    <mergeCell ref="G229:I229"/>
    <mergeCell ref="P234:R235"/>
    <mergeCell ref="P236:R237"/>
    <mergeCell ref="P238:R239"/>
    <mergeCell ref="D222:F222"/>
    <mergeCell ref="D221:I221"/>
    <mergeCell ref="D223:F223"/>
    <mergeCell ref="D224:F224"/>
    <mergeCell ref="D225:F225"/>
    <mergeCell ref="D226:F226"/>
    <mergeCell ref="D227:F227"/>
    <mergeCell ref="D228:F228"/>
    <mergeCell ref="B307:B309"/>
    <mergeCell ref="C308:F308"/>
    <mergeCell ref="C309:D309"/>
    <mergeCell ref="G308:J308"/>
    <mergeCell ref="G309:H309"/>
    <mergeCell ref="B280:B281"/>
    <mergeCell ref="C281:L281"/>
    <mergeCell ref="N280:N281"/>
    <mergeCell ref="O281:X281"/>
    <mergeCell ref="C310:D310"/>
    <mergeCell ref="C311:D311"/>
    <mergeCell ref="C312:D312"/>
    <mergeCell ref="C313:D313"/>
    <mergeCell ref="E309:F309"/>
    <mergeCell ref="E310:F310"/>
    <mergeCell ref="E311:F311"/>
    <mergeCell ref="E312:F312"/>
    <mergeCell ref="E313:F313"/>
    <mergeCell ref="G310:H310"/>
    <mergeCell ref="G311:H311"/>
    <mergeCell ref="G312:H312"/>
    <mergeCell ref="G313:H313"/>
    <mergeCell ref="I309:J309"/>
    <mergeCell ref="I310:J310"/>
    <mergeCell ref="I311:J311"/>
    <mergeCell ref="I312:J312"/>
    <mergeCell ref="I313:J313"/>
    <mergeCell ref="B424:C427"/>
    <mergeCell ref="D426:D427"/>
    <mergeCell ref="D424:D425"/>
    <mergeCell ref="C364:D366"/>
    <mergeCell ref="B345:J346"/>
    <mergeCell ref="E364:K366"/>
    <mergeCell ref="B358:B360"/>
    <mergeCell ref="K345:K346"/>
    <mergeCell ref="B355:B357"/>
    <mergeCell ref="B364:B366"/>
    <mergeCell ref="B361:B363"/>
    <mergeCell ref="B349:B354"/>
    <mergeCell ref="B347:B348"/>
    <mergeCell ref="E355:K357"/>
    <mergeCell ref="E352:K354"/>
    <mergeCell ref="E349:K351"/>
    <mergeCell ref="E347:K348"/>
    <mergeCell ref="D420:D423"/>
    <mergeCell ref="D418:D419"/>
    <mergeCell ref="B417:I417"/>
    <mergeCell ref="B404:C404"/>
    <mergeCell ref="B405:C405"/>
    <mergeCell ref="B406:C406"/>
    <mergeCell ref="B403:C403"/>
    <mergeCell ref="B410:H410"/>
    <mergeCell ref="F403:G403"/>
    <mergeCell ref="F404:G404"/>
    <mergeCell ref="F405:G405"/>
    <mergeCell ref="F406:G406"/>
    <mergeCell ref="D403:E403"/>
    <mergeCell ref="D404:E404"/>
    <mergeCell ref="D405:E405"/>
    <mergeCell ref="D406:E406"/>
    <mergeCell ref="AJ345:AJ346"/>
    <mergeCell ref="Y348:AD348"/>
    <mergeCell ref="AE348:AJ348"/>
    <mergeCell ref="N356:N357"/>
    <mergeCell ref="N348:N349"/>
    <mergeCell ref="O356:T357"/>
    <mergeCell ref="E426:F427"/>
    <mergeCell ref="G426:H427"/>
    <mergeCell ref="E419:F419"/>
    <mergeCell ref="I420:J423"/>
    <mergeCell ref="N345:S346"/>
    <mergeCell ref="T345:T346"/>
    <mergeCell ref="X345:AI346"/>
    <mergeCell ref="O354:T355"/>
    <mergeCell ref="O352:T353"/>
    <mergeCell ref="O350:T351"/>
    <mergeCell ref="O348:T349"/>
    <mergeCell ref="N350:N351"/>
    <mergeCell ref="N352:N353"/>
    <mergeCell ref="B402:F402"/>
    <mergeCell ref="B411:C412"/>
    <mergeCell ref="B413:C413"/>
    <mergeCell ref="B414:C414"/>
    <mergeCell ref="D411:I411"/>
    <mergeCell ref="Z280:Z281"/>
    <mergeCell ref="AA281:AJ281"/>
    <mergeCell ref="Z279:AI279"/>
    <mergeCell ref="Y279:Y281"/>
    <mergeCell ref="C307:J307"/>
    <mergeCell ref="B306:I306"/>
    <mergeCell ref="I424:J425"/>
    <mergeCell ref="G419:H419"/>
    <mergeCell ref="E420:F423"/>
    <mergeCell ref="G420:H423"/>
    <mergeCell ref="E424:F425"/>
    <mergeCell ref="G424:H425"/>
    <mergeCell ref="X368:AJ369"/>
    <mergeCell ref="X330:AC342"/>
    <mergeCell ref="X327:AB329"/>
    <mergeCell ref="J327:J328"/>
    <mergeCell ref="S327:S328"/>
    <mergeCell ref="AE361:AJ363"/>
    <mergeCell ref="E358:K360"/>
    <mergeCell ref="E361:K363"/>
    <mergeCell ref="X358:X360"/>
    <mergeCell ref="X361:X363"/>
    <mergeCell ref="O347:T347"/>
    <mergeCell ref="N354:N355"/>
    <mergeCell ref="BI52:BP52"/>
    <mergeCell ref="BJ53:BP55"/>
    <mergeCell ref="AD53:AE55"/>
    <mergeCell ref="AO33:AO34"/>
    <mergeCell ref="U54:X54"/>
    <mergeCell ref="U37:AA38"/>
    <mergeCell ref="AB37:AB38"/>
    <mergeCell ref="D95:E95"/>
    <mergeCell ref="L86:Q86"/>
    <mergeCell ref="C88:E88"/>
    <mergeCell ref="G88:I88"/>
    <mergeCell ref="L88:N88"/>
    <mergeCell ref="O88:P88"/>
    <mergeCell ref="E64:E81"/>
    <mergeCell ref="E61:E63"/>
    <mergeCell ref="J61:J63"/>
    <mergeCell ref="K61:K63"/>
    <mergeCell ref="L61:L63"/>
    <mergeCell ref="P61:P63"/>
    <mergeCell ref="I61:I63"/>
    <mergeCell ref="U53:X53"/>
    <mergeCell ref="N61:N63"/>
    <mergeCell ref="O61:O63"/>
    <mergeCell ref="AA73:AC73"/>
    <mergeCell ref="AF33:AN34"/>
    <mergeCell ref="C95:C97"/>
    <mergeCell ref="D96:E96"/>
    <mergeCell ref="D97:E97"/>
    <mergeCell ref="B135:B137"/>
    <mergeCell ref="J136:J137"/>
    <mergeCell ref="G136:G137"/>
    <mergeCell ref="B61:B63"/>
    <mergeCell ref="C61:C63"/>
    <mergeCell ref="D61:D63"/>
    <mergeCell ref="C86:E86"/>
    <mergeCell ref="G86:K86"/>
    <mergeCell ref="C87:E87"/>
    <mergeCell ref="C100:D103"/>
    <mergeCell ref="E100:E101"/>
    <mergeCell ref="E102:E103"/>
    <mergeCell ref="AA74:AC74"/>
    <mergeCell ref="T87:U87"/>
    <mergeCell ref="U52:X52"/>
    <mergeCell ref="J96:K96"/>
    <mergeCell ref="O96:Q96"/>
    <mergeCell ref="G98:K99"/>
    <mergeCell ref="AM86:AR86"/>
    <mergeCell ref="AI86:AI89"/>
  </mergeCells>
  <hyperlinks>
    <hyperlink ref="O2" r:id="rId1"/>
    <hyperlink ref="O3" r:id="rId2"/>
    <hyperlink ref="P2:Q2" r:id="rId3" display="ГОСТ 13267-73.pdf"/>
    <hyperlink ref="AA73:AB73" r:id="rId4" display="ГОСТ 31606-2012.pdf"/>
    <hyperlink ref="Y73" r:id="rId5"/>
    <hyperlink ref="Y74" r:id="rId6"/>
    <hyperlink ref="Z73" r:id="rId7"/>
    <hyperlink ref="Z74" r:id="rId8"/>
    <hyperlink ref="AA74:AC74" r:id="rId9" display="ГОСТ 31606-2012_В1_463KB"/>
    <hyperlink ref="Y52" r:id="rId10"/>
    <hyperlink ref="Y53" r:id="rId11"/>
    <hyperlink ref="AC75" r:id="rId12"/>
    <hyperlink ref="AC76" r:id="rId13"/>
    <hyperlink ref="Y54" r:id="rId14"/>
  </hyperlinks>
  <pageMargins left="0.7" right="0.7" top="0.75" bottom="0.75" header="0.3" footer="0.3"/>
  <pageSetup paperSize="9" orientation="portrait" r:id="rId15"/>
  <drawing r:id="rId16"/>
  <legacyDrawing r:id="rId17"/>
  <oleObjects>
    <mc:AlternateContent xmlns:mc="http://schemas.openxmlformats.org/markup-compatibility/2006">
      <mc:Choice Requires="x14">
        <oleObject progId="Equation.3" shapeId="7187" r:id="rId18">
          <objectPr defaultSize="0" autoPict="0" r:id="rId19">
            <anchor moveWithCells="1" sizeWithCells="1">
              <from>
                <xdr:col>4</xdr:col>
                <xdr:colOff>0</xdr:colOff>
                <xdr:row>352</xdr:row>
                <xdr:rowOff>0</xdr:rowOff>
              </from>
              <to>
                <xdr:col>4</xdr:col>
                <xdr:colOff>114300</xdr:colOff>
                <xdr:row>352</xdr:row>
                <xdr:rowOff>219075</xdr:rowOff>
              </to>
            </anchor>
          </objectPr>
        </oleObject>
      </mc:Choice>
      <mc:Fallback>
        <oleObject progId="Equation.3" shapeId="7187" r:id="rId18"/>
      </mc:Fallback>
    </mc:AlternateContent>
    <mc:AlternateContent xmlns:mc="http://schemas.openxmlformats.org/markup-compatibility/2006">
      <mc:Choice Requires="x14">
        <oleObject progId="Equation.DSMT4" shapeId="7203" r:id="rId20">
          <objectPr defaultSize="0" autoPict="0" r:id="rId21">
            <anchor moveWithCells="1">
              <from>
                <xdr:col>5</xdr:col>
                <xdr:colOff>676275</xdr:colOff>
                <xdr:row>348</xdr:row>
                <xdr:rowOff>361950</xdr:rowOff>
              </from>
              <to>
                <xdr:col>8</xdr:col>
                <xdr:colOff>1104900</xdr:colOff>
                <xdr:row>350</xdr:row>
                <xdr:rowOff>285750</xdr:rowOff>
              </to>
            </anchor>
          </objectPr>
        </oleObject>
      </mc:Choice>
      <mc:Fallback>
        <oleObject progId="Equation.DSMT4" shapeId="7203" r:id="rId20"/>
      </mc:Fallback>
    </mc:AlternateContent>
    <mc:AlternateContent xmlns:mc="http://schemas.openxmlformats.org/markup-compatibility/2006">
      <mc:Choice Requires="x14">
        <oleObject progId="Equation.DSMT4" shapeId="7204" r:id="rId22">
          <objectPr defaultSize="0" autoPict="0" r:id="rId23">
            <anchor moveWithCells="1">
              <from>
                <xdr:col>4</xdr:col>
                <xdr:colOff>609600</xdr:colOff>
                <xdr:row>354</xdr:row>
                <xdr:rowOff>333375</xdr:rowOff>
              </from>
              <to>
                <xdr:col>10</xdr:col>
                <xdr:colOff>247650</xdr:colOff>
                <xdr:row>356</xdr:row>
                <xdr:rowOff>238125</xdr:rowOff>
              </to>
            </anchor>
          </objectPr>
        </oleObject>
      </mc:Choice>
      <mc:Fallback>
        <oleObject progId="Equation.DSMT4" shapeId="7204" r:id="rId22"/>
      </mc:Fallback>
    </mc:AlternateContent>
    <mc:AlternateContent xmlns:mc="http://schemas.openxmlformats.org/markup-compatibility/2006">
      <mc:Choice Requires="x14">
        <oleObject progId="Equation.DSMT4" shapeId="7205" r:id="rId24">
          <objectPr defaultSize="0" autoPict="0" r:id="rId25">
            <anchor moveWithCells="1">
              <from>
                <xdr:col>6</xdr:col>
                <xdr:colOff>552450</xdr:colOff>
                <xdr:row>351</xdr:row>
                <xdr:rowOff>314325</xdr:rowOff>
              </from>
              <to>
                <xdr:col>7</xdr:col>
                <xdr:colOff>1000125</xdr:colOff>
                <xdr:row>353</xdr:row>
                <xdr:rowOff>257175</xdr:rowOff>
              </to>
            </anchor>
          </objectPr>
        </oleObject>
      </mc:Choice>
      <mc:Fallback>
        <oleObject progId="Equation.DSMT4" shapeId="7205" r:id="rId24"/>
      </mc:Fallback>
    </mc:AlternateContent>
    <mc:AlternateContent xmlns:mc="http://schemas.openxmlformats.org/markup-compatibility/2006">
      <mc:Choice Requires="x14">
        <oleObject progId="Equation.DSMT4" shapeId="7206" r:id="rId26">
          <objectPr defaultSize="0" autoPict="0" r:id="rId27">
            <anchor moveWithCells="1">
              <from>
                <xdr:col>4</xdr:col>
                <xdr:colOff>819150</xdr:colOff>
                <xdr:row>357</xdr:row>
                <xdr:rowOff>304800</xdr:rowOff>
              </from>
              <to>
                <xdr:col>9</xdr:col>
                <xdr:colOff>942975</xdr:colOff>
                <xdr:row>359</xdr:row>
                <xdr:rowOff>304800</xdr:rowOff>
              </to>
            </anchor>
          </objectPr>
        </oleObject>
      </mc:Choice>
      <mc:Fallback>
        <oleObject progId="Equation.DSMT4" shapeId="7206" r:id="rId26"/>
      </mc:Fallback>
    </mc:AlternateContent>
    <mc:AlternateContent xmlns:mc="http://schemas.openxmlformats.org/markup-compatibility/2006">
      <mc:Choice Requires="x14">
        <oleObject progId="Equation.DSMT4" shapeId="7207" r:id="rId28">
          <objectPr defaultSize="0" autoPict="0" r:id="rId29">
            <anchor moveWithCells="1">
              <from>
                <xdr:col>4</xdr:col>
                <xdr:colOff>1104900</xdr:colOff>
                <xdr:row>360</xdr:row>
                <xdr:rowOff>276225</xdr:rowOff>
              </from>
              <to>
                <xdr:col>9</xdr:col>
                <xdr:colOff>647700</xdr:colOff>
                <xdr:row>362</xdr:row>
                <xdr:rowOff>257175</xdr:rowOff>
              </to>
            </anchor>
          </objectPr>
        </oleObject>
      </mc:Choice>
      <mc:Fallback>
        <oleObject progId="Equation.DSMT4" shapeId="7207" r:id="rId28"/>
      </mc:Fallback>
    </mc:AlternateContent>
    <mc:AlternateContent xmlns:mc="http://schemas.openxmlformats.org/markup-compatibility/2006">
      <mc:Choice Requires="x14">
        <oleObject progId="Equation.DSMT4" shapeId="7208" r:id="rId30">
          <objectPr defaultSize="0" autoPict="0" r:id="rId31">
            <anchor moveWithCells="1">
              <from>
                <xdr:col>4</xdr:col>
                <xdr:colOff>485775</xdr:colOff>
                <xdr:row>363</xdr:row>
                <xdr:rowOff>285750</xdr:rowOff>
              </from>
              <to>
                <xdr:col>10</xdr:col>
                <xdr:colOff>133350</xdr:colOff>
                <xdr:row>365</xdr:row>
                <xdr:rowOff>200025</xdr:rowOff>
              </to>
            </anchor>
          </objectPr>
        </oleObject>
      </mc:Choice>
      <mc:Fallback>
        <oleObject progId="Equation.DSMT4" shapeId="7208" r:id="rId30"/>
      </mc:Fallback>
    </mc:AlternateContent>
    <mc:AlternateContent xmlns:mc="http://schemas.openxmlformats.org/markup-compatibility/2006">
      <mc:Choice Requires="x14">
        <oleObject progId="Equation.3" shapeId="7246" r:id="rId32">
          <objectPr defaultSize="0" autoPict="0" r:id="rId33">
            <anchor moveWithCells="1" sizeWithCells="1">
              <from>
                <xdr:col>14</xdr:col>
                <xdr:colOff>800100</xdr:colOff>
                <xdr:row>347</xdr:row>
                <xdr:rowOff>123825</xdr:rowOff>
              </from>
              <to>
                <xdr:col>18</xdr:col>
                <xdr:colOff>1047750</xdr:colOff>
                <xdr:row>348</xdr:row>
                <xdr:rowOff>485775</xdr:rowOff>
              </to>
            </anchor>
          </objectPr>
        </oleObject>
      </mc:Choice>
      <mc:Fallback>
        <oleObject progId="Equation.3" shapeId="7246" r:id="rId32"/>
      </mc:Fallback>
    </mc:AlternateContent>
    <mc:AlternateContent xmlns:mc="http://schemas.openxmlformats.org/markup-compatibility/2006">
      <mc:Choice Requires="x14">
        <oleObject progId="Equation.3" shapeId="7245" r:id="rId34">
          <objectPr defaultSize="0" autoPict="0" r:id="rId35">
            <anchor moveWithCells="1" sizeWithCells="1">
              <from>
                <xdr:col>15</xdr:col>
                <xdr:colOff>123825</xdr:colOff>
                <xdr:row>349</xdr:row>
                <xdr:rowOff>133350</xdr:rowOff>
              </from>
              <to>
                <xdr:col>18</xdr:col>
                <xdr:colOff>95250</xdr:colOff>
                <xdr:row>350</xdr:row>
                <xdr:rowOff>381000</xdr:rowOff>
              </to>
            </anchor>
          </objectPr>
        </oleObject>
      </mc:Choice>
      <mc:Fallback>
        <oleObject progId="Equation.3" shapeId="7245" r:id="rId34"/>
      </mc:Fallback>
    </mc:AlternateContent>
    <mc:AlternateContent xmlns:mc="http://schemas.openxmlformats.org/markup-compatibility/2006">
      <mc:Choice Requires="x14">
        <oleObject progId="Equation.3" shapeId="7244" r:id="rId36">
          <objectPr defaultSize="0" autoPict="0" r:id="rId37">
            <anchor moveWithCells="1" sizeWithCells="1">
              <from>
                <xdr:col>15</xdr:col>
                <xdr:colOff>590550</xdr:colOff>
                <xdr:row>351</xdr:row>
                <xdr:rowOff>152400</xdr:rowOff>
              </from>
              <to>
                <xdr:col>17</xdr:col>
                <xdr:colOff>123825</xdr:colOff>
                <xdr:row>352</xdr:row>
                <xdr:rowOff>447675</xdr:rowOff>
              </to>
            </anchor>
          </objectPr>
        </oleObject>
      </mc:Choice>
      <mc:Fallback>
        <oleObject progId="Equation.3" shapeId="7244" r:id="rId36"/>
      </mc:Fallback>
    </mc:AlternateContent>
    <mc:AlternateContent xmlns:mc="http://schemas.openxmlformats.org/markup-compatibility/2006">
      <mc:Choice Requires="x14">
        <oleObject progId="Equation.3" shapeId="7243" r:id="rId38">
          <objectPr defaultSize="0" autoPict="0" r:id="rId33">
            <anchor moveWithCells="1" sizeWithCells="1">
              <from>
                <xdr:col>14</xdr:col>
                <xdr:colOff>676275</xdr:colOff>
                <xdr:row>353</xdr:row>
                <xdr:rowOff>85725</xdr:rowOff>
              </from>
              <to>
                <xdr:col>18</xdr:col>
                <xdr:colOff>1095375</xdr:colOff>
                <xdr:row>354</xdr:row>
                <xdr:rowOff>485775</xdr:rowOff>
              </to>
            </anchor>
          </objectPr>
        </oleObject>
      </mc:Choice>
      <mc:Fallback>
        <oleObject progId="Equation.3" shapeId="7243" r:id="rId38"/>
      </mc:Fallback>
    </mc:AlternateContent>
    <mc:AlternateContent xmlns:mc="http://schemas.openxmlformats.org/markup-compatibility/2006">
      <mc:Choice Requires="x14">
        <oleObject progId="Equation.3" shapeId="7242" r:id="rId39">
          <objectPr defaultSize="0" autoPict="0" r:id="rId40">
            <anchor moveWithCells="1" sizeWithCells="1">
              <from>
                <xdr:col>15</xdr:col>
                <xdr:colOff>419100</xdr:colOff>
                <xdr:row>355</xdr:row>
                <xdr:rowOff>142875</xdr:rowOff>
              </from>
              <to>
                <xdr:col>18</xdr:col>
                <xdr:colOff>76200</xdr:colOff>
                <xdr:row>356</xdr:row>
                <xdr:rowOff>447675</xdr:rowOff>
              </to>
            </anchor>
          </objectPr>
        </oleObject>
      </mc:Choice>
      <mc:Fallback>
        <oleObject progId="Equation.3" shapeId="7242" r:id="rId39"/>
      </mc:Fallback>
    </mc:AlternateContent>
    <mc:AlternateContent xmlns:mc="http://schemas.openxmlformats.org/markup-compatibility/2006">
      <mc:Choice Requires="x14">
        <oleObject progId="Equation.DSMT4" shapeId="7250" r:id="rId41">
          <objectPr defaultSize="0" autoPict="0" r:id="rId42">
            <anchor moveWithCells="1">
              <from>
                <xdr:col>24</xdr:col>
                <xdr:colOff>762000</xdr:colOff>
                <xdr:row>351</xdr:row>
                <xdr:rowOff>247650</xdr:rowOff>
              </from>
              <to>
                <xdr:col>28</xdr:col>
                <xdr:colOff>295275</xdr:colOff>
                <xdr:row>353</xdr:row>
                <xdr:rowOff>323850</xdr:rowOff>
              </to>
            </anchor>
          </objectPr>
        </oleObject>
      </mc:Choice>
      <mc:Fallback>
        <oleObject progId="Equation.DSMT4" shapeId="7250" r:id="rId41"/>
      </mc:Fallback>
    </mc:AlternateContent>
    <mc:AlternateContent xmlns:mc="http://schemas.openxmlformats.org/markup-compatibility/2006">
      <mc:Choice Requires="x14">
        <oleObject progId="Equation.DSMT4" shapeId="7252" r:id="rId43">
          <objectPr defaultSize="0" autoPict="0" r:id="rId42">
            <anchor moveWithCells="1">
              <from>
                <xdr:col>24</xdr:col>
                <xdr:colOff>885825</xdr:colOff>
                <xdr:row>354</xdr:row>
                <xdr:rowOff>247650</xdr:rowOff>
              </from>
              <to>
                <xdr:col>28</xdr:col>
                <xdr:colOff>419100</xdr:colOff>
                <xdr:row>356</xdr:row>
                <xdr:rowOff>323850</xdr:rowOff>
              </to>
            </anchor>
          </objectPr>
        </oleObject>
      </mc:Choice>
      <mc:Fallback>
        <oleObject progId="Equation.DSMT4" shapeId="7252" r:id="rId43"/>
      </mc:Fallback>
    </mc:AlternateContent>
    <mc:AlternateContent xmlns:mc="http://schemas.openxmlformats.org/markup-compatibility/2006">
      <mc:Choice Requires="x14">
        <oleObject progId="Equation.DSMT4" shapeId="7253" r:id="rId44">
          <objectPr defaultSize="0" autoPict="0" r:id="rId42">
            <anchor moveWithCells="1">
              <from>
                <xdr:col>24</xdr:col>
                <xdr:colOff>885825</xdr:colOff>
                <xdr:row>357</xdr:row>
                <xdr:rowOff>323850</xdr:rowOff>
              </from>
              <to>
                <xdr:col>28</xdr:col>
                <xdr:colOff>419100</xdr:colOff>
                <xdr:row>359</xdr:row>
                <xdr:rowOff>400050</xdr:rowOff>
              </to>
            </anchor>
          </objectPr>
        </oleObject>
      </mc:Choice>
      <mc:Fallback>
        <oleObject progId="Equation.DSMT4" shapeId="7253" r:id="rId44"/>
      </mc:Fallback>
    </mc:AlternateContent>
    <mc:AlternateContent xmlns:mc="http://schemas.openxmlformats.org/markup-compatibility/2006">
      <mc:Choice Requires="x14">
        <oleObject progId="Equation.DSMT4" shapeId="7257" r:id="rId45">
          <objectPr defaultSize="0" autoPict="0" r:id="rId46">
            <anchor moveWithCells="1" sizeWithCells="1">
              <from>
                <xdr:col>30</xdr:col>
                <xdr:colOff>495300</xdr:colOff>
                <xdr:row>354</xdr:row>
                <xdr:rowOff>209550</xdr:rowOff>
              </from>
              <to>
                <xdr:col>35</xdr:col>
                <xdr:colOff>609600</xdr:colOff>
                <xdr:row>356</xdr:row>
                <xdr:rowOff>428625</xdr:rowOff>
              </to>
            </anchor>
          </objectPr>
        </oleObject>
      </mc:Choice>
      <mc:Fallback>
        <oleObject progId="Equation.DSMT4" shapeId="7257" r:id="rId45"/>
      </mc:Fallback>
    </mc:AlternateContent>
    <mc:AlternateContent xmlns:mc="http://schemas.openxmlformats.org/markup-compatibility/2006">
      <mc:Choice Requires="x14">
        <oleObject progId="Equation.DSMT4" shapeId="7258" r:id="rId47">
          <objectPr defaultSize="0" autoPict="0" r:id="rId46">
            <anchor moveWithCells="1" sizeWithCells="1">
              <from>
                <xdr:col>30</xdr:col>
                <xdr:colOff>333375</xdr:colOff>
                <xdr:row>357</xdr:row>
                <xdr:rowOff>190500</xdr:rowOff>
              </from>
              <to>
                <xdr:col>35</xdr:col>
                <xdr:colOff>542925</xdr:colOff>
                <xdr:row>359</xdr:row>
                <xdr:rowOff>428625</xdr:rowOff>
              </to>
            </anchor>
          </objectPr>
        </oleObject>
      </mc:Choice>
      <mc:Fallback>
        <oleObject progId="Equation.DSMT4" shapeId="7258" r:id="rId47"/>
      </mc:Fallback>
    </mc:AlternateContent>
    <mc:AlternateContent xmlns:mc="http://schemas.openxmlformats.org/markup-compatibility/2006">
      <mc:Choice Requires="x14">
        <oleObject progId="Equation.DSMT4" shapeId="7259" r:id="rId48">
          <objectPr defaultSize="0" autoPict="0" r:id="rId49">
            <anchor moveWithCells="1" sizeWithCells="1">
              <from>
                <xdr:col>31</xdr:col>
                <xdr:colOff>76200</xdr:colOff>
                <xdr:row>360</xdr:row>
                <xdr:rowOff>361950</xdr:rowOff>
              </from>
              <to>
                <xdr:col>33</xdr:col>
                <xdr:colOff>819150</xdr:colOff>
                <xdr:row>362</xdr:row>
                <xdr:rowOff>314325</xdr:rowOff>
              </to>
            </anchor>
          </objectPr>
        </oleObject>
      </mc:Choice>
      <mc:Fallback>
        <oleObject progId="Equation.DSMT4" shapeId="7259" r:id="rId48"/>
      </mc:Fallback>
    </mc:AlternateContent>
    <mc:AlternateContent xmlns:mc="http://schemas.openxmlformats.org/markup-compatibility/2006">
      <mc:Choice Requires="x14">
        <oleObject progId="Equation.DSMT4" shapeId="7260" r:id="rId50">
          <objectPr defaultSize="0" autoPict="0" r:id="rId51">
            <anchor moveWithCells="1" sizeWithCells="1">
              <from>
                <xdr:col>30</xdr:col>
                <xdr:colOff>409575</xdr:colOff>
                <xdr:row>363</xdr:row>
                <xdr:rowOff>114300</xdr:rowOff>
              </from>
              <to>
                <xdr:col>35</xdr:col>
                <xdr:colOff>342900</xdr:colOff>
                <xdr:row>365</xdr:row>
                <xdr:rowOff>476250</xdr:rowOff>
              </to>
            </anchor>
          </objectPr>
        </oleObject>
      </mc:Choice>
      <mc:Fallback>
        <oleObject progId="Equation.DSMT4" shapeId="7260" r:id="rId50"/>
      </mc:Fallback>
    </mc:AlternateContent>
    <mc:AlternateContent xmlns:mc="http://schemas.openxmlformats.org/markup-compatibility/2006">
      <mc:Choice Requires="x14">
        <oleObject progId="Equation.DSMT4" shapeId="7261" r:id="rId52">
          <objectPr defaultSize="0" autoPict="0" r:id="rId53">
            <anchor moveWithCells="1">
              <from>
                <xdr:col>31</xdr:col>
                <xdr:colOff>742950</xdr:colOff>
                <xdr:row>351</xdr:row>
                <xdr:rowOff>342900</xdr:rowOff>
              </from>
              <to>
                <xdr:col>33</xdr:col>
                <xdr:colOff>762000</xdr:colOff>
                <xdr:row>353</xdr:row>
                <xdr:rowOff>295275</xdr:rowOff>
              </to>
            </anchor>
          </objectPr>
        </oleObject>
      </mc:Choice>
      <mc:Fallback>
        <oleObject progId="Equation.DSMT4" shapeId="7261" r:id="rId52"/>
      </mc:Fallback>
    </mc:AlternateContent>
    <mc:AlternateContent xmlns:mc="http://schemas.openxmlformats.org/markup-compatibility/2006">
      <mc:Choice Requires="x14">
        <oleObject progId="Equation.DSMT4" shapeId="7262" r:id="rId54">
          <objectPr defaultSize="0" autoPict="0" r:id="rId55">
            <anchor moveWithCells="1">
              <from>
                <xdr:col>30</xdr:col>
                <xdr:colOff>609600</xdr:colOff>
                <xdr:row>348</xdr:row>
                <xdr:rowOff>247650</xdr:rowOff>
              </from>
              <to>
                <xdr:col>34</xdr:col>
                <xdr:colOff>38100</xdr:colOff>
                <xdr:row>350</xdr:row>
                <xdr:rowOff>342900</xdr:rowOff>
              </to>
            </anchor>
          </objectPr>
        </oleObject>
      </mc:Choice>
      <mc:Fallback>
        <oleObject progId="Equation.DSMT4" shapeId="7262" r:id="rId54"/>
      </mc:Fallback>
    </mc:AlternateContent>
    <mc:AlternateContent xmlns:mc="http://schemas.openxmlformats.org/markup-compatibility/2006">
      <mc:Choice Requires="x14">
        <oleObject progId="Equation.DSMT4" shapeId="7264" r:id="rId56">
          <objectPr defaultSize="0" autoPict="0" r:id="rId42">
            <anchor moveWithCells="1">
              <from>
                <xdr:col>24</xdr:col>
                <xdr:colOff>895350</xdr:colOff>
                <xdr:row>348</xdr:row>
                <xdr:rowOff>352425</xdr:rowOff>
              </from>
              <to>
                <xdr:col>28</xdr:col>
                <xdr:colOff>428625</xdr:colOff>
                <xdr:row>350</xdr:row>
                <xdr:rowOff>428625</xdr:rowOff>
              </to>
            </anchor>
          </objectPr>
        </oleObject>
      </mc:Choice>
      <mc:Fallback>
        <oleObject progId="Equation.DSMT4" shapeId="7264" r:id="rId56"/>
      </mc:Fallback>
    </mc:AlternateContent>
    <mc:AlternateContent xmlns:mc="http://schemas.openxmlformats.org/markup-compatibility/2006">
      <mc:Choice Requires="x14">
        <oleObject progId="Equation.DSMT4" shapeId="7265" r:id="rId57">
          <objectPr defaultSize="0" autoPict="0" r:id="rId58">
            <anchor moveWithCells="1">
              <from>
                <xdr:col>25</xdr:col>
                <xdr:colOff>457200</xdr:colOff>
                <xdr:row>360</xdr:row>
                <xdr:rowOff>285750</xdr:rowOff>
              </from>
              <to>
                <xdr:col>27</xdr:col>
                <xdr:colOff>552450</xdr:colOff>
                <xdr:row>362</xdr:row>
                <xdr:rowOff>200025</xdr:rowOff>
              </to>
            </anchor>
          </objectPr>
        </oleObject>
      </mc:Choice>
      <mc:Fallback>
        <oleObject progId="Equation.DSMT4" shapeId="7265" r:id="rId57"/>
      </mc:Fallback>
    </mc:AlternateContent>
    <mc:AlternateContent xmlns:mc="http://schemas.openxmlformats.org/markup-compatibility/2006">
      <mc:Choice Requires="x14">
        <oleObject progId="Equation.DSMT4" shapeId="7266" r:id="rId59">
          <objectPr defaultSize="0" autoPict="0" r:id="rId60">
            <anchor moveWithCells="1">
              <from>
                <xdr:col>24</xdr:col>
                <xdr:colOff>828675</xdr:colOff>
                <xdr:row>363</xdr:row>
                <xdr:rowOff>209550</xdr:rowOff>
              </from>
              <to>
                <xdr:col>28</xdr:col>
                <xdr:colOff>638175</xdr:colOff>
                <xdr:row>365</xdr:row>
                <xdr:rowOff>361950</xdr:rowOff>
              </to>
            </anchor>
          </objectPr>
        </oleObject>
      </mc:Choice>
      <mc:Fallback>
        <oleObject progId="Equation.DSMT4" shapeId="7266" r:id="rId59"/>
      </mc:Fallback>
    </mc:AlternateContent>
  </oleObjects>
  <extLst>
    <ext xmlns:x14="http://schemas.microsoft.com/office/spreadsheetml/2009/9/main" uri="{78C0D931-6437-407d-A8EE-F0AAD7539E65}">
      <x14:conditionalFormattings>
        <x14:conditionalFormatting xmlns:xm="http://schemas.microsoft.com/office/excel/2006/main">
          <x14:cfRule type="iconSet" priority="1" id="{83B55973-49A8-481B-83CD-928A1A4FFBF4}">
            <x14:iconSet iconSet="3Triangles">
              <x14:cfvo type="percent">
                <xm:f>0</xm:f>
              </x14:cfvo>
              <x14:cfvo type="percent">
                <xm:f>33</xm:f>
              </x14:cfvo>
              <x14:cfvo type="percent">
                <xm:f>67</xm:f>
              </x14:cfvo>
            </x14:iconSet>
          </x14:cfRule>
          <xm:sqref>AN105:AO105</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10:DM46"/>
  <sheetViews>
    <sheetView topLeftCell="W10" zoomScale="40" zoomScaleNormal="40" workbookViewId="0">
      <selection activeCell="BN24" sqref="BN24"/>
    </sheetView>
  </sheetViews>
  <sheetFormatPr defaultRowHeight="48" customHeight="1" x14ac:dyDescent="0.25"/>
  <cols>
    <col min="24" max="24" width="11.5703125" bestFit="1" customWidth="1"/>
  </cols>
  <sheetData>
    <row r="10" spans="13:117" ht="48" customHeight="1" x14ac:dyDescent="0.25">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3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row>
    <row r="11" spans="13:117" ht="48" customHeight="1" x14ac:dyDescent="0.25">
      <c r="M11" s="23"/>
      <c r="N11" s="23"/>
      <c r="O11" s="23"/>
      <c r="P11" s="23"/>
      <c r="Q11" s="23"/>
      <c r="R11" s="23"/>
      <c r="S11" s="23"/>
      <c r="T11" s="23"/>
      <c r="U11" s="23"/>
      <c r="V11" s="23"/>
      <c r="W11" s="23"/>
      <c r="X11" s="23"/>
      <c r="Y11" s="23"/>
      <c r="Z11" s="23"/>
      <c r="AA11" s="23"/>
      <c r="AB11" s="23"/>
      <c r="AC11" s="23"/>
      <c r="AD11" s="23"/>
      <c r="AE11" s="21">
        <f>'Вывод расчетов (1-11)'!AN16</f>
        <v>2</v>
      </c>
      <c r="AF11" s="22"/>
      <c r="AG11" s="22"/>
      <c r="AH11" s="22"/>
      <c r="AI11" s="22"/>
      <c r="AJ11" s="23"/>
      <c r="AK11" s="23"/>
      <c r="AL11" s="21">
        <f xml:space="preserve">
IF('Программные таблицы'!AI24='Программные таблицы'!C4,'Программные таблицы'!C5,
IF('Программные таблицы'!AI24='Программные таблицы'!D4,'Программные таблицы'!D5,
IF('Программные таблицы'!AI24='Программные таблицы'!E4,'Программные таблицы'!E5,
IF('Программные таблицы'!AI24='Программные таблицы'!F4,'Программные таблицы'!F5,
IF('Программные таблицы'!AI24='Программные таблицы'!G4,'Программные таблицы'!G5,
IF('Программные таблицы'!AI24='Программные таблицы'!H4,'Программные таблицы'!H5,
IF('Программные таблицы'!AI24='Программные таблицы'!I4,'Программные таблицы'!I5,
IF('Программные таблицы'!AI24='Программные таблицы'!J4,'Программные таблицы'!J5,
IF('Программные таблицы'!AI24='Программные таблицы'!K4,'Программные таблицы'!K5,
IF('Программные таблицы'!AI24='Программные таблицы'!L4,'Программные таблицы'!L5,
IF('Программные таблицы'!AI24='Программные таблицы'!M4,'Программные таблицы'!M5,
IF('Программные таблицы'!AI24='Программные таблицы'!N4,'Программные таблицы'!N5,
IF('Программные таблицы'!AI24='Программные таблицы'!O4,'Программные таблицы'!O5,
IF('Программные таблицы'!AI24='Программные таблицы'!P4,'Программные таблицы'!P5,
IF('Программные таблицы'!AI24='Программные таблицы'!Q4,'Программные таблицы'!Q5,
IF('Программные таблицы'!AI24='Программные таблицы'!R4,'Программные таблицы'!R5,0
))))))))))))))))</f>
        <v>0.313</v>
      </c>
      <c r="AM11" s="23"/>
      <c r="AN11" s="23"/>
      <c r="AO11" s="23"/>
      <c r="AP11" s="23"/>
      <c r="AQ11" s="23"/>
      <c r="AR11" s="23"/>
      <c r="AS11" s="23"/>
      <c r="AT11" s="23"/>
      <c r="AU11" s="23"/>
      <c r="AV11" s="23"/>
      <c r="AW11" s="3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row>
    <row r="12" spans="13:117" ht="48" customHeight="1" x14ac:dyDescent="0.25">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t="s">
        <v>600</v>
      </c>
      <c r="AM12" s="23"/>
      <c r="AN12" s="23"/>
      <c r="AO12" s="23"/>
      <c r="AP12" s="23" t="s">
        <v>597</v>
      </c>
      <c r="AQ12" s="23"/>
      <c r="AR12" s="23"/>
      <c r="AS12" s="23"/>
      <c r="AT12" s="23"/>
      <c r="AU12" s="158" t="s">
        <v>601</v>
      </c>
      <c r="AV12" s="23"/>
      <c r="AW12" s="33"/>
      <c r="AX12" s="23"/>
      <c r="AY12" s="23"/>
      <c r="AZ12" s="23"/>
      <c r="BA12" s="23"/>
      <c r="BB12" s="23"/>
      <c r="BC12" s="23"/>
      <c r="BD12" s="23"/>
      <c r="BE12" s="23"/>
      <c r="BF12" s="172" t="s">
        <v>908</v>
      </c>
      <c r="BG12" s="23"/>
      <c r="BH12" s="155" t="s">
        <v>627</v>
      </c>
      <c r="BI12" s="23"/>
      <c r="BJ12" s="155" t="s">
        <v>627</v>
      </c>
      <c r="BK12" s="23"/>
      <c r="BL12" s="145" t="s">
        <v>643</v>
      </c>
      <c r="BM12" s="23"/>
      <c r="BN12" s="146" t="s">
        <v>629</v>
      </c>
      <c r="BO12" s="23"/>
      <c r="BP12" s="145" t="s">
        <v>628</v>
      </c>
      <c r="BQ12" s="23"/>
      <c r="BR12" s="145" t="s">
        <v>633</v>
      </c>
      <c r="BS12" s="23"/>
      <c r="BT12" s="145" t="s">
        <v>642</v>
      </c>
      <c r="BU12" s="23"/>
      <c r="BV12" s="145" t="s">
        <v>630</v>
      </c>
      <c r="BX12" s="172" t="s">
        <v>924</v>
      </c>
    </row>
    <row r="13" spans="13:117" ht="48" customHeight="1" x14ac:dyDescent="0.25">
      <c r="M13" s="23"/>
      <c r="N13" s="23"/>
      <c r="O13" s="23"/>
      <c r="P13" s="23"/>
      <c r="Q13" s="23"/>
      <c r="R13" s="23"/>
      <c r="S13" s="23"/>
      <c r="T13" s="23"/>
      <c r="U13" s="869" t="s">
        <v>1</v>
      </c>
      <c r="V13" s="869"/>
      <c r="W13" s="869"/>
      <c r="X13" s="128">
        <v>25000</v>
      </c>
      <c r="Y13" s="23"/>
      <c r="Z13" s="23"/>
      <c r="AA13" s="23"/>
      <c r="AB13" s="23"/>
      <c r="AC13" s="23" t="s">
        <v>603</v>
      </c>
      <c r="AD13" s="23"/>
      <c r="AE13" s="23"/>
      <c r="AF13" s="23"/>
      <c r="AG13" s="23"/>
      <c r="AH13" s="23"/>
      <c r="AI13" s="23"/>
      <c r="AJ13" s="23"/>
      <c r="AK13" s="23"/>
      <c r="AL13" s="23"/>
      <c r="AM13" s="23"/>
      <c r="AN13" s="23"/>
      <c r="AO13" s="23"/>
      <c r="AP13" s="23"/>
      <c r="AQ13" s="23"/>
      <c r="AR13" s="23"/>
      <c r="AS13" s="23"/>
      <c r="AT13" s="23"/>
      <c r="AU13" s="23"/>
      <c r="AV13" s="23"/>
      <c r="AW13" s="3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row>
    <row r="14" spans="13:117" ht="48" customHeight="1" x14ac:dyDescent="0.25">
      <c r="M14" s="23"/>
      <c r="N14" s="23"/>
      <c r="O14" s="23"/>
      <c r="P14" s="23"/>
      <c r="Q14" s="23"/>
      <c r="R14" s="23"/>
      <c r="S14" s="23"/>
      <c r="T14" s="23"/>
      <c r="U14" s="869" t="s">
        <v>607</v>
      </c>
      <c r="V14" s="869"/>
      <c r="W14" s="869"/>
      <c r="X14" s="128">
        <v>3600</v>
      </c>
      <c r="Y14" s="23"/>
      <c r="Z14" s="23"/>
      <c r="AA14" s="23"/>
      <c r="AB14" s="23"/>
      <c r="AC14" s="23" t="s">
        <v>5</v>
      </c>
      <c r="AD14" s="23"/>
      <c r="AE14" s="21">
        <v>1</v>
      </c>
      <c r="AF14" s="21">
        <v>2</v>
      </c>
      <c r="AG14" s="21">
        <v>3</v>
      </c>
      <c r="AH14" s="21">
        <v>4</v>
      </c>
      <c r="AI14" s="21">
        <v>5</v>
      </c>
      <c r="AJ14" s="21">
        <v>6</v>
      </c>
      <c r="AK14" s="21">
        <v>7</v>
      </c>
      <c r="AL14" s="21">
        <v>8</v>
      </c>
      <c r="AM14" s="21">
        <v>9</v>
      </c>
      <c r="AN14" s="21">
        <v>10</v>
      </c>
      <c r="AO14" s="21">
        <v>11</v>
      </c>
      <c r="AP14" s="21">
        <v>12</v>
      </c>
      <c r="AQ14" s="23"/>
      <c r="AR14" s="23"/>
      <c r="AS14" s="23"/>
      <c r="AT14" s="23"/>
      <c r="AU14" s="23"/>
      <c r="AV14" s="23"/>
      <c r="AW14" s="33"/>
      <c r="AX14" s="23"/>
      <c r="AY14" s="23"/>
      <c r="AZ14" s="23"/>
      <c r="BA14" s="23"/>
      <c r="BB14" s="23"/>
      <c r="BC14" s="23"/>
      <c r="BD14" s="23"/>
      <c r="BE14" s="23"/>
      <c r="BF14" s="23"/>
      <c r="BG14" s="23"/>
      <c r="BH14" s="23"/>
      <c r="BI14" s="23"/>
      <c r="BJ14" s="23"/>
      <c r="BK14" s="23"/>
      <c r="BL14" s="23"/>
      <c r="BM14" s="23"/>
      <c r="BN14" s="23"/>
      <c r="BO14" s="23"/>
      <c r="BP14" s="23"/>
      <c r="BQ14" s="23"/>
      <c r="BR14" s="23"/>
      <c r="BS14" s="23"/>
      <c r="BT14" s="23"/>
      <c r="BU14" s="23"/>
    </row>
    <row r="15" spans="13:117" ht="48" customHeight="1" x14ac:dyDescent="0.25">
      <c r="M15" s="23"/>
      <c r="N15" s="23"/>
      <c r="O15" s="23"/>
      <c r="P15" s="23"/>
      <c r="Q15" s="23"/>
      <c r="R15" s="23"/>
      <c r="S15" s="23"/>
      <c r="T15" s="23"/>
      <c r="U15" s="869" t="s">
        <v>11</v>
      </c>
      <c r="V15" s="869"/>
      <c r="W15" s="869"/>
      <c r="X15" s="128">
        <v>60</v>
      </c>
      <c r="Y15" s="23"/>
      <c r="Z15" s="23"/>
      <c r="AA15" s="23"/>
      <c r="AB15" s="23"/>
      <c r="AC15" s="23"/>
      <c r="AD15" s="23"/>
      <c r="AE15" s="23"/>
      <c r="AF15" s="21">
        <v>2</v>
      </c>
      <c r="AG15" s="23"/>
      <c r="AH15" s="21">
        <v>4</v>
      </c>
      <c r="AI15" s="23"/>
      <c r="AJ15" s="21">
        <v>6</v>
      </c>
      <c r="AK15" s="23"/>
      <c r="AL15" s="21">
        <v>8</v>
      </c>
      <c r="AM15" s="23"/>
      <c r="AN15" s="21">
        <v>10</v>
      </c>
      <c r="AO15" s="23"/>
      <c r="AP15" s="21">
        <v>12</v>
      </c>
      <c r="AQ15" s="23"/>
      <c r="AR15" s="23"/>
      <c r="AS15" s="23"/>
      <c r="AT15" s="23"/>
      <c r="AU15" s="23"/>
      <c r="AV15" s="23"/>
      <c r="AW15" s="33"/>
      <c r="BF15" s="23"/>
      <c r="BG15" s="23"/>
      <c r="BH15" s="23"/>
      <c r="BI15" s="23"/>
      <c r="BJ15" s="23"/>
      <c r="BK15" s="23"/>
      <c r="BL15" s="23"/>
      <c r="BM15" s="23"/>
      <c r="BN15" s="23"/>
      <c r="BO15" s="23"/>
      <c r="BP15" s="23"/>
      <c r="BQ15" s="23"/>
      <c r="BR15" s="23"/>
      <c r="BS15" s="23"/>
      <c r="BT15" s="23"/>
      <c r="BU15" s="23"/>
      <c r="BW15" s="323"/>
      <c r="BX15" s="323"/>
      <c r="BY15" s="323"/>
      <c r="BZ15" s="323"/>
      <c r="CA15" s="323"/>
      <c r="CB15" s="323"/>
      <c r="CC15" s="323"/>
      <c r="CD15" s="323"/>
      <c r="CE15" s="323"/>
      <c r="CF15" s="323"/>
      <c r="CG15" s="323"/>
      <c r="CH15" s="323"/>
      <c r="CI15" s="323"/>
      <c r="CJ15" s="323"/>
      <c r="CK15" s="323"/>
      <c r="CL15" s="323"/>
      <c r="CM15" s="323"/>
      <c r="CN15" s="323"/>
      <c r="CO15" s="323"/>
      <c r="CP15" s="323"/>
      <c r="CQ15" s="323"/>
      <c r="CR15" s="323"/>
      <c r="CS15" s="323"/>
      <c r="CT15" s="323"/>
      <c r="CU15" s="323"/>
      <c r="CV15" s="323"/>
      <c r="CW15" s="323"/>
      <c r="CX15" s="323"/>
      <c r="CY15" s="323"/>
      <c r="CZ15" s="323"/>
      <c r="DA15" s="323"/>
      <c r="DB15" s="323"/>
      <c r="DC15" s="323"/>
      <c r="DD15" s="323"/>
      <c r="DE15" s="323"/>
      <c r="DF15" s="323"/>
      <c r="DG15" s="323"/>
      <c r="DH15" s="323"/>
      <c r="DI15" s="323"/>
      <c r="DJ15" s="323"/>
      <c r="DK15" s="323"/>
      <c r="DL15" s="323"/>
      <c r="DM15" s="323"/>
    </row>
    <row r="16" spans="13:117" ht="48" customHeight="1" x14ac:dyDescent="0.25">
      <c r="M16" s="23"/>
      <c r="N16" s="23"/>
      <c r="O16" s="23"/>
      <c r="P16" s="23"/>
      <c r="Q16" s="23"/>
      <c r="R16" s="23"/>
      <c r="S16" s="23"/>
      <c r="T16" s="23"/>
      <c r="U16" s="869" t="s">
        <v>605</v>
      </c>
      <c r="V16" s="869"/>
      <c r="W16" s="869"/>
      <c r="X16" s="111">
        <f xml:space="preserve">
IF(X23&gt;11,12,
IF(X23&gt;9,10,
IF(X23&gt;7,8,
IF(X23&gt;5,6,
IF(X23&gt;3,4,
IF(X23&lt;3,2,
CONCATENATE("Введна недопутимая частота вращения или частота тока")
))))))</f>
        <v>2</v>
      </c>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33"/>
      <c r="BF16" s="23"/>
      <c r="BG16" s="23"/>
      <c r="BH16" s="23"/>
      <c r="BI16" s="23"/>
      <c r="BJ16" s="23"/>
      <c r="BK16" s="23"/>
      <c r="BL16" s="23"/>
      <c r="BM16" s="23"/>
      <c r="BN16" s="23"/>
      <c r="BO16" s="23"/>
      <c r="BP16" s="23"/>
      <c r="BQ16" s="23"/>
      <c r="BR16" s="23"/>
      <c r="BS16" s="23"/>
      <c r="BT16" s="23"/>
      <c r="BU16" s="23"/>
      <c r="BW16" s="323"/>
      <c r="BX16" s="323"/>
      <c r="BY16" s="323"/>
      <c r="BZ16" s="323"/>
      <c r="CA16" s="323"/>
      <c r="CB16" s="323"/>
      <c r="CC16" s="323"/>
      <c r="CD16" s="323"/>
      <c r="CE16" s="323"/>
      <c r="CF16" s="323"/>
      <c r="CG16" s="323"/>
      <c r="CH16" s="323"/>
      <c r="CI16" s="323"/>
      <c r="CJ16" s="323"/>
      <c r="CK16" s="323"/>
      <c r="CL16" s="323"/>
      <c r="CM16" s="323"/>
      <c r="CN16" s="323"/>
      <c r="CO16" s="323"/>
      <c r="CP16" s="323"/>
      <c r="CQ16" s="323"/>
      <c r="CR16" s="323"/>
      <c r="CS16" s="323"/>
      <c r="CT16" s="323"/>
      <c r="CU16" s="323"/>
      <c r="CV16" s="323"/>
      <c r="CW16" s="323"/>
      <c r="CX16" s="323"/>
      <c r="CY16" s="323"/>
      <c r="CZ16" s="323"/>
      <c r="DA16" s="323"/>
      <c r="DB16" s="323"/>
      <c r="DC16" s="323"/>
      <c r="DD16" s="323"/>
      <c r="DE16" s="323"/>
      <c r="DF16" s="323"/>
      <c r="DG16" s="323"/>
      <c r="DH16" s="323"/>
      <c r="DI16" s="323"/>
      <c r="DJ16" s="323"/>
      <c r="DK16" s="323"/>
      <c r="DL16" s="323"/>
      <c r="DM16" s="323"/>
    </row>
    <row r="17" spans="13:117" ht="48" customHeight="1" thickBot="1" x14ac:dyDescent="0.3">
      <c r="M17" s="23"/>
      <c r="N17" s="23"/>
      <c r="O17" s="23"/>
      <c r="P17" s="23"/>
      <c r="Q17" s="23"/>
      <c r="R17" s="23"/>
      <c r="S17" s="23"/>
      <c r="T17" s="23"/>
      <c r="U17" s="869" t="s">
        <v>605</v>
      </c>
      <c r="V17" s="869"/>
      <c r="W17" s="869"/>
      <c r="X17" s="128">
        <f>IF(X16="Введна недопутимая частота вращения или частота тока",0,X16)</f>
        <v>2</v>
      </c>
      <c r="Y17" s="23"/>
      <c r="Z17" s="868" t="s">
        <v>1</v>
      </c>
      <c r="AA17" s="868"/>
      <c r="AB17" s="868"/>
      <c r="AC17" s="868"/>
      <c r="AD17" s="109">
        <f>'Ввод значений статус решения'!X21</f>
        <v>25000</v>
      </c>
      <c r="AE17" s="105"/>
      <c r="AF17" s="105"/>
      <c r="AG17" s="105"/>
      <c r="AH17" s="105"/>
      <c r="AI17" s="105"/>
      <c r="AJ17" s="858" t="str">
        <f>IF(AND(X13&gt;1100,X13&lt;315000),
CONCATENATE("Значение мощности выбрано из диапозона от 1100 кВт до 315000 кВт","
текущее значение мощности ",X13," кВт"),
CONCATENATE("Введите значение мощности из диапозона от 1.1 кВт  до 400 кВт для дальнейших расчетов "," текущее значение мощности ",X13," кВт"))</f>
        <v>Значение мощности выбрано из диапозона от 1100 кВт до 315000 кВт
текущее значение мощности 25000 кВт</v>
      </c>
      <c r="AK17" s="859"/>
      <c r="AL17" s="859"/>
      <c r="AM17" s="859"/>
      <c r="AN17" s="859"/>
      <c r="AO17" s="859"/>
      <c r="AP17" s="859"/>
      <c r="AQ17" s="860"/>
      <c r="AR17" s="113"/>
      <c r="AS17" s="110"/>
      <c r="AT17" s="110"/>
      <c r="AU17" s="110"/>
      <c r="AV17" s="23"/>
      <c r="AW17" s="33"/>
      <c r="BF17" s="23"/>
      <c r="BG17" s="23"/>
      <c r="BH17" s="23"/>
      <c r="BI17" s="23"/>
      <c r="BJ17" s="23"/>
      <c r="BK17" s="23"/>
      <c r="BL17" s="23"/>
      <c r="BM17" s="23"/>
      <c r="BN17" s="23"/>
      <c r="BO17" s="23"/>
      <c r="BP17" s="23"/>
      <c r="BQ17" s="23"/>
      <c r="BR17" s="23"/>
      <c r="BS17" s="23"/>
      <c r="BT17" s="23"/>
      <c r="BU17" s="23"/>
      <c r="BW17" s="323"/>
      <c r="BX17" s="323"/>
      <c r="BY17" s="323"/>
      <c r="BZ17" s="323"/>
      <c r="CA17" s="323"/>
      <c r="CB17" s="323"/>
      <c r="CC17" s="323"/>
      <c r="CD17" s="323"/>
      <c r="CE17" s="323"/>
      <c r="CF17" s="323"/>
      <c r="CG17" s="323"/>
      <c r="CH17" s="323"/>
      <c r="CI17" s="323"/>
      <c r="CJ17" s="323"/>
      <c r="CK17" s="323"/>
      <c r="CL17" s="323"/>
      <c r="CM17" s="323"/>
      <c r="CN17" s="323"/>
      <c r="CO17" s="323"/>
      <c r="CP17" s="323"/>
      <c r="CQ17" s="323"/>
      <c r="CR17" s="323"/>
      <c r="CS17" s="323"/>
      <c r="CT17" s="323"/>
      <c r="CU17" s="323"/>
      <c r="CV17" s="323"/>
      <c r="CW17" s="323"/>
      <c r="CX17" s="323"/>
      <c r="CY17" s="323"/>
      <c r="CZ17" s="323"/>
      <c r="DA17" s="323"/>
      <c r="DB17" s="323"/>
      <c r="DC17" s="323"/>
      <c r="DD17" s="323"/>
      <c r="DE17" s="323"/>
      <c r="DF17" s="323"/>
      <c r="DG17" s="323"/>
      <c r="DH17" s="323"/>
      <c r="DI17" s="323"/>
      <c r="DJ17" s="323"/>
      <c r="DK17" s="323"/>
      <c r="DL17" s="323"/>
      <c r="DM17" s="323"/>
    </row>
    <row r="18" spans="13:117" ht="48" customHeight="1" x14ac:dyDescent="0.25">
      <c r="M18" s="23"/>
      <c r="N18" s="23"/>
      <c r="O18" s="23"/>
      <c r="P18" s="23"/>
      <c r="Q18" s="23"/>
      <c r="R18" s="23"/>
      <c r="S18" s="23"/>
      <c r="T18" s="23"/>
      <c r="U18" s="23"/>
      <c r="V18" s="23"/>
      <c r="W18" s="23"/>
      <c r="X18" s="23"/>
      <c r="Y18" s="23"/>
      <c r="Z18" s="869" t="s">
        <v>606</v>
      </c>
      <c r="AA18" s="869"/>
      <c r="AB18" s="869"/>
      <c r="AC18" s="869"/>
      <c r="AD18" s="122">
        <v>3600</v>
      </c>
      <c r="AE18" s="122">
        <v>3000</v>
      </c>
      <c r="AF18" s="122">
        <v>1800</v>
      </c>
      <c r="AG18" s="122">
        <v>1500</v>
      </c>
      <c r="AH18" s="123"/>
      <c r="AI18" s="114"/>
      <c r="AJ18" s="114"/>
      <c r="AK18" s="115"/>
      <c r="AL18" s="115"/>
      <c r="AM18" s="115"/>
      <c r="AN18" s="115"/>
      <c r="AO18" s="115"/>
      <c r="AP18" s="115"/>
      <c r="AQ18" s="115"/>
      <c r="AR18" s="116"/>
      <c r="AS18" s="104"/>
      <c r="AT18" s="23"/>
      <c r="AU18" s="23"/>
      <c r="AV18" s="23"/>
      <c r="AW18" s="33"/>
      <c r="AX18" s="23"/>
      <c r="AY18" s="23"/>
      <c r="AZ18" s="23"/>
      <c r="BA18" s="23"/>
      <c r="BB18" s="23"/>
      <c r="BC18" s="23"/>
      <c r="BD18" s="23"/>
      <c r="BE18" s="23"/>
      <c r="BF18" s="23"/>
      <c r="BG18" s="23"/>
      <c r="BH18" s="23"/>
      <c r="BI18" s="23"/>
      <c r="BJ18" s="23"/>
      <c r="BK18" s="23"/>
      <c r="BL18" s="23"/>
      <c r="BM18" s="23"/>
      <c r="BN18" s="23"/>
      <c r="BO18" s="23"/>
      <c r="BP18" s="23"/>
      <c r="BQ18" s="23"/>
      <c r="BR18" s="23"/>
      <c r="BS18" s="23"/>
      <c r="BT18" s="23"/>
      <c r="BU18" s="23"/>
      <c r="BW18" s="323"/>
      <c r="BX18" s="323"/>
      <c r="BY18" s="323"/>
      <c r="BZ18" s="323"/>
      <c r="CA18" s="323"/>
      <c r="CB18" s="323"/>
      <c r="CC18" s="323"/>
      <c r="CD18" s="323"/>
      <c r="CE18" s="323"/>
      <c r="CF18" s="323"/>
      <c r="CG18" s="323"/>
      <c r="CH18" s="323"/>
      <c r="CI18" s="323"/>
      <c r="CJ18" s="323"/>
      <c r="CK18" s="323"/>
      <c r="CL18" s="323"/>
      <c r="CM18" s="323"/>
      <c r="CN18" s="323"/>
      <c r="CO18" s="323"/>
      <c r="CP18" s="323"/>
      <c r="CQ18" s="323"/>
      <c r="CR18" s="323"/>
      <c r="CS18" s="323"/>
      <c r="CT18" s="323"/>
      <c r="CU18" s="323"/>
      <c r="CV18" s="323"/>
      <c r="CW18" s="323"/>
      <c r="CX18" s="323"/>
      <c r="CY18" s="323"/>
      <c r="CZ18" s="323"/>
      <c r="DA18" s="323"/>
      <c r="DB18" s="323"/>
      <c r="DC18" s="323"/>
      <c r="DD18" s="323"/>
      <c r="DE18" s="323"/>
      <c r="DF18" s="323"/>
      <c r="DG18" s="323"/>
      <c r="DH18" s="323"/>
      <c r="DI18" s="323"/>
      <c r="DJ18" s="323"/>
      <c r="DK18" s="323"/>
      <c r="DL18" s="323"/>
      <c r="DM18" s="323"/>
    </row>
    <row r="19" spans="13:117" ht="48" customHeight="1" x14ac:dyDescent="0.25">
      <c r="M19" s="23"/>
      <c r="N19" s="23"/>
      <c r="O19" s="23"/>
      <c r="P19" s="23"/>
      <c r="Q19" s="23"/>
      <c r="R19" s="23"/>
      <c r="S19" s="23"/>
      <c r="T19" s="23"/>
      <c r="U19" s="23"/>
      <c r="V19" s="23"/>
      <c r="W19" s="23"/>
      <c r="X19" s="23"/>
      <c r="Y19" s="23"/>
      <c r="Z19" s="869"/>
      <c r="AA19" s="869"/>
      <c r="AB19" s="869"/>
      <c r="AC19" s="869"/>
      <c r="AD19" s="120">
        <f>X14</f>
        <v>3600</v>
      </c>
      <c r="AE19" s="118">
        <f>X14</f>
        <v>3600</v>
      </c>
      <c r="AF19" s="118">
        <f>X14</f>
        <v>3600</v>
      </c>
      <c r="AG19" s="121">
        <f>X14</f>
        <v>3600</v>
      </c>
      <c r="AH19" s="106"/>
      <c r="AI19" s="21"/>
      <c r="AJ19" s="21"/>
      <c r="AK19" s="21"/>
      <c r="AL19" s="21"/>
      <c r="AM19" s="21"/>
      <c r="AN19" s="21"/>
      <c r="AO19" s="21"/>
      <c r="AP19" s="21"/>
      <c r="AQ19" s="21"/>
      <c r="AR19" s="21"/>
      <c r="AS19" s="23"/>
      <c r="AT19" s="23"/>
      <c r="AU19" s="23"/>
      <c r="AV19" s="23"/>
      <c r="AW19" s="33"/>
      <c r="AX19" s="23"/>
      <c r="AY19" s="23"/>
      <c r="AZ19" s="23"/>
      <c r="BA19" s="23"/>
      <c r="BB19" s="23"/>
      <c r="BC19" s="23"/>
      <c r="BD19" s="23"/>
      <c r="BE19" s="23"/>
      <c r="BF19" s="23"/>
      <c r="BG19" s="23"/>
      <c r="BH19" s="23"/>
      <c r="BI19" s="23"/>
      <c r="BJ19" s="23"/>
      <c r="BK19" s="23"/>
      <c r="BL19" s="23"/>
      <c r="BM19" s="23"/>
      <c r="BN19" s="23"/>
      <c r="BO19" s="23"/>
      <c r="BP19" s="23"/>
      <c r="BQ19" s="23"/>
      <c r="BR19" s="23"/>
      <c r="BS19" s="23"/>
      <c r="BT19" s="23"/>
      <c r="BU19" s="23"/>
      <c r="BW19" s="323"/>
      <c r="BX19" s="323"/>
      <c r="BY19" s="323"/>
      <c r="BZ19" s="323"/>
      <c r="CA19" s="323"/>
      <c r="CB19" s="323"/>
      <c r="CC19" s="323"/>
      <c r="CD19" s="323"/>
      <c r="CE19" s="323"/>
      <c r="CF19" s="323"/>
      <c r="CG19" s="323"/>
      <c r="CH19" s="323"/>
      <c r="CI19" s="323"/>
      <c r="CJ19" s="323"/>
      <c r="CK19" s="323"/>
      <c r="CL19" s="323"/>
      <c r="CM19" s="323"/>
      <c r="CN19" s="323"/>
      <c r="CO19" s="323"/>
      <c r="CP19" s="323"/>
      <c r="CQ19" s="323"/>
      <c r="CR19" s="323"/>
      <c r="CS19" s="323"/>
      <c r="CT19" s="323"/>
      <c r="CU19" s="323"/>
      <c r="CV19" s="323"/>
      <c r="CW19" s="323"/>
      <c r="CX19" s="323"/>
      <c r="CY19" s="323"/>
      <c r="CZ19" s="323"/>
      <c r="DA19" s="323"/>
      <c r="DB19" s="323"/>
      <c r="DC19" s="323"/>
      <c r="DD19" s="323"/>
      <c r="DE19" s="323"/>
      <c r="DF19" s="323"/>
      <c r="DG19" s="323"/>
      <c r="DH19" s="323"/>
      <c r="DI19" s="323"/>
      <c r="DJ19" s="323"/>
      <c r="DK19" s="323"/>
      <c r="DL19" s="323"/>
      <c r="DM19" s="323"/>
    </row>
    <row r="20" spans="13:117" ht="48" customHeight="1" x14ac:dyDescent="0.25">
      <c r="M20" s="23"/>
      <c r="N20" s="23"/>
      <c r="O20" s="23"/>
      <c r="P20" s="23"/>
      <c r="Q20" s="23"/>
      <c r="R20" s="23"/>
      <c r="S20" s="23"/>
      <c r="T20" s="23"/>
      <c r="U20" s="23"/>
      <c r="V20" s="23"/>
      <c r="W20" s="23"/>
      <c r="X20" s="23"/>
      <c r="Y20" s="23"/>
      <c r="Z20" s="869"/>
      <c r="AA20" s="869"/>
      <c r="AB20" s="869"/>
      <c r="AC20" s="869"/>
      <c r="AD20" s="103">
        <v>1200</v>
      </c>
      <c r="AE20" s="103">
        <v>1000</v>
      </c>
      <c r="AF20" s="103">
        <v>900</v>
      </c>
      <c r="AG20" s="103">
        <v>750</v>
      </c>
      <c r="AH20" s="21"/>
      <c r="AI20" s="21"/>
      <c r="AJ20" s="861" t="str">
        <f>IF(OR(
X14=AD18,
X14=AE18,
X14=AF18,
X14=AG18,
X14=AD20,
X14=AE20,
X14=AF20,
X14=AG20),
CONCATENATE("Текущее значение частоты вращения ",X14," об/мин"),
"Введите стандартное значение чатоты вращения 3600, 3000, 1800, 1500, 1200, 1000, 900, 750, Гц")</f>
        <v>Текущее значение частоты вращения 3600 об/мин</v>
      </c>
      <c r="AK20" s="862"/>
      <c r="AL20" s="862"/>
      <c r="AM20" s="862"/>
      <c r="AN20" s="862"/>
      <c r="AO20" s="862"/>
      <c r="AP20" s="862"/>
      <c r="AQ20" s="863"/>
      <c r="AR20" s="21"/>
      <c r="AS20" s="23"/>
      <c r="AT20" s="23"/>
      <c r="AU20" s="23"/>
      <c r="AV20" s="23"/>
      <c r="AW20" s="33"/>
      <c r="AX20" s="23"/>
      <c r="AY20" s="23"/>
      <c r="AZ20" s="23"/>
      <c r="BA20" s="23"/>
      <c r="BB20" s="23"/>
      <c r="BC20" s="23"/>
      <c r="BD20" s="23"/>
      <c r="BE20" s="23"/>
      <c r="BF20" s="23"/>
      <c r="BG20" s="23"/>
      <c r="BH20" s="23"/>
      <c r="BI20" s="23"/>
      <c r="BJ20" s="23"/>
      <c r="BK20" s="23"/>
      <c r="BL20" s="23"/>
      <c r="BM20" s="23"/>
      <c r="BN20" s="23"/>
      <c r="BO20" s="23"/>
      <c r="BP20" s="23"/>
      <c r="BQ20" s="23"/>
      <c r="BR20" s="23"/>
      <c r="BS20" s="23"/>
      <c r="BT20" s="23"/>
      <c r="BU20" s="23"/>
      <c r="BW20" s="323"/>
      <c r="BX20" s="323"/>
      <c r="BY20" s="323"/>
      <c r="BZ20" s="323"/>
      <c r="CA20" s="323"/>
      <c r="CB20" s="323"/>
      <c r="CC20" s="323"/>
      <c r="CD20" s="323"/>
      <c r="CE20" s="323"/>
      <c r="CF20" s="323"/>
      <c r="CG20" s="323"/>
      <c r="CH20" s="323"/>
      <c r="CI20" s="323"/>
      <c r="CJ20" s="323"/>
      <c r="CK20" s="323"/>
      <c r="CL20" s="323"/>
      <c r="CM20" s="323"/>
      <c r="CN20" s="323"/>
      <c r="CO20" s="323"/>
      <c r="CP20" s="323"/>
      <c r="CQ20" s="323"/>
      <c r="CR20" s="323"/>
      <c r="CS20" s="323"/>
      <c r="CT20" s="323"/>
      <c r="CU20" s="323"/>
      <c r="CV20" s="323"/>
      <c r="CW20" s="323"/>
      <c r="CX20" s="323"/>
      <c r="CY20" s="323"/>
      <c r="CZ20" s="323"/>
      <c r="DA20" s="323"/>
      <c r="DB20" s="323"/>
      <c r="DC20" s="323"/>
      <c r="DD20" s="323"/>
      <c r="DE20" s="323"/>
      <c r="DF20" s="323"/>
      <c r="DG20" s="323"/>
      <c r="DH20" s="323"/>
      <c r="DI20" s="323"/>
      <c r="DJ20" s="323"/>
      <c r="DK20" s="323"/>
      <c r="DL20" s="323"/>
      <c r="DM20" s="323"/>
    </row>
    <row r="21" spans="13:117" ht="48" customHeight="1" thickBot="1" x14ac:dyDescent="0.3">
      <c r="M21" s="23"/>
      <c r="S21" s="141">
        <v>1</v>
      </c>
      <c r="T21" s="870" t="s">
        <v>608</v>
      </c>
      <c r="U21" s="871"/>
      <c r="V21" s="872"/>
      <c r="W21" s="130"/>
      <c r="X21" s="130">
        <f>'Вывод расчетов (1-11)'!AH4</f>
        <v>25000</v>
      </c>
      <c r="Y21" s="23"/>
      <c r="Z21" s="869"/>
      <c r="AA21" s="869"/>
      <c r="AB21" s="869"/>
      <c r="AC21" s="869"/>
      <c r="AD21" s="117">
        <f>$X$14</f>
        <v>3600</v>
      </c>
      <c r="AE21" s="117">
        <f>$X$14</f>
        <v>3600</v>
      </c>
      <c r="AF21" s="117">
        <f>$X$14</f>
        <v>3600</v>
      </c>
      <c r="AG21" s="117">
        <f>$X$14</f>
        <v>3600</v>
      </c>
      <c r="AH21" s="112"/>
      <c r="AI21" s="112"/>
      <c r="AJ21" s="112"/>
      <c r="AK21" s="112"/>
      <c r="AL21" s="112"/>
      <c r="AM21" s="112"/>
      <c r="AN21" s="112"/>
      <c r="AO21" s="112"/>
      <c r="AP21" s="112"/>
      <c r="AQ21" s="112"/>
      <c r="AR21" s="112"/>
      <c r="AS21" s="23"/>
      <c r="AT21" s="23"/>
      <c r="AU21" s="867"/>
      <c r="AV21" s="867"/>
      <c r="AW21" s="867"/>
      <c r="AX21" s="867"/>
      <c r="AY21" s="867"/>
      <c r="AZ21" s="23"/>
      <c r="BA21" s="23"/>
      <c r="BB21" s="23"/>
      <c r="BC21" s="23"/>
      <c r="BD21" s="23"/>
      <c r="BE21" s="23"/>
      <c r="BF21" s="23"/>
      <c r="BG21" s="23"/>
      <c r="BH21" s="23"/>
      <c r="BI21" s="23"/>
      <c r="BJ21" s="23"/>
      <c r="BK21" s="23"/>
      <c r="BL21" s="23"/>
      <c r="BM21" s="23"/>
      <c r="BN21" s="23"/>
      <c r="BO21" s="23"/>
      <c r="BP21" s="23"/>
      <c r="BQ21" s="23"/>
      <c r="BR21" s="23"/>
      <c r="BS21" s="23"/>
      <c r="BT21" s="23"/>
      <c r="BU21" s="23"/>
      <c r="BW21" s="323"/>
      <c r="BX21" s="323"/>
      <c r="BY21" s="323"/>
      <c r="BZ21" s="323"/>
      <c r="CA21" s="323"/>
      <c r="CB21" s="323"/>
      <c r="CC21" s="323"/>
      <c r="CD21" s="323"/>
      <c r="CE21" s="323"/>
      <c r="CF21" s="323"/>
      <c r="CG21" s="323"/>
      <c r="CH21" s="323"/>
      <c r="CI21" s="323"/>
      <c r="CJ21" s="323"/>
      <c r="CK21" s="323"/>
      <c r="CL21" s="323"/>
      <c r="CM21" s="323"/>
      <c r="CN21" s="323"/>
      <c r="CO21" s="323"/>
      <c r="CP21" s="323"/>
      <c r="CQ21" s="323"/>
      <c r="CR21" s="323"/>
      <c r="CS21" s="323"/>
      <c r="CT21" s="323"/>
      <c r="CU21" s="323"/>
      <c r="CV21" s="323"/>
      <c r="CW21" s="323"/>
      <c r="CX21" s="323"/>
      <c r="CY21" s="323"/>
      <c r="CZ21" s="323"/>
      <c r="DA21" s="323"/>
      <c r="DB21" s="323"/>
      <c r="DC21" s="323"/>
      <c r="DD21" s="323"/>
      <c r="DE21" s="323"/>
      <c r="DF21" s="323"/>
      <c r="DG21" s="323"/>
      <c r="DH21" s="323"/>
      <c r="DI21" s="323"/>
      <c r="DJ21" s="323"/>
      <c r="DK21" s="323"/>
      <c r="DL21" s="323"/>
      <c r="DM21" s="323"/>
    </row>
    <row r="22" spans="13:117" ht="48" customHeight="1" x14ac:dyDescent="0.25">
      <c r="M22" s="23"/>
      <c r="S22" s="141"/>
      <c r="T22" s="870" t="s">
        <v>609</v>
      </c>
      <c r="U22" s="871"/>
      <c r="V22" s="872"/>
      <c r="W22" s="130"/>
      <c r="X22" s="130">
        <f>X21/1000</f>
        <v>25</v>
      </c>
      <c r="Y22" s="23"/>
      <c r="Z22" s="868" t="s">
        <v>605</v>
      </c>
      <c r="AA22" s="868"/>
      <c r="AB22" s="868"/>
      <c r="AC22" s="868"/>
      <c r="AD22" s="107">
        <v>2</v>
      </c>
      <c r="AE22" s="107">
        <v>4</v>
      </c>
      <c r="AF22" s="107">
        <v>6</v>
      </c>
      <c r="AG22" s="107">
        <v>8</v>
      </c>
      <c r="AH22" s="107">
        <v>10</v>
      </c>
      <c r="AI22" s="107">
        <v>12</v>
      </c>
      <c r="AJ22" s="106"/>
      <c r="AK22" s="106"/>
      <c r="AL22" s="106"/>
      <c r="AM22" s="106"/>
      <c r="AN22" s="106"/>
      <c r="AO22" s="106"/>
      <c r="AP22" s="106"/>
      <c r="AQ22" s="106"/>
      <c r="AR22" s="106"/>
      <c r="AS22" s="23"/>
      <c r="AT22" s="23"/>
      <c r="AU22" s="23"/>
      <c r="AV22" s="23"/>
      <c r="AW22" s="33"/>
      <c r="AX22" s="23"/>
      <c r="BE22" s="23"/>
      <c r="BF22" s="23"/>
      <c r="BW22" s="323"/>
      <c r="BX22" s="323"/>
      <c r="BY22" s="323"/>
      <c r="BZ22" s="323"/>
      <c r="CA22" s="323"/>
      <c r="CB22" s="323"/>
      <c r="CC22" s="323"/>
      <c r="CD22" s="323"/>
      <c r="CE22" s="323"/>
      <c r="CF22" s="323"/>
      <c r="CG22" s="323"/>
      <c r="CH22" s="323"/>
      <c r="CI22" s="323"/>
      <c r="CJ22" s="323"/>
      <c r="CK22" s="323"/>
      <c r="CL22" s="323"/>
      <c r="CM22" s="323"/>
      <c r="CN22" s="323"/>
      <c r="CO22" s="323"/>
      <c r="CP22" s="323"/>
      <c r="CQ22" s="323"/>
      <c r="CR22" s="323"/>
      <c r="CS22" s="323"/>
      <c r="CT22" s="323"/>
      <c r="CU22" s="323"/>
      <c r="CV22" s="323"/>
      <c r="CW22" s="323"/>
      <c r="CX22" s="323"/>
      <c r="CY22" s="323"/>
      <c r="CZ22" s="323"/>
      <c r="DA22" s="323"/>
      <c r="DB22" s="323"/>
      <c r="DC22" s="323"/>
      <c r="DD22" s="323"/>
      <c r="DE22" s="323"/>
      <c r="DF22" s="323"/>
      <c r="DG22" s="323"/>
      <c r="DH22" s="323"/>
      <c r="DI22" s="323"/>
      <c r="DJ22" s="323"/>
      <c r="DK22" s="323"/>
      <c r="DL22" s="323"/>
      <c r="DM22" s="323"/>
    </row>
    <row r="23" spans="13:117" ht="48" customHeight="1" thickBot="1" x14ac:dyDescent="0.3">
      <c r="M23" s="23"/>
      <c r="S23" s="141">
        <v>2</v>
      </c>
      <c r="T23" s="870" t="s">
        <v>625</v>
      </c>
      <c r="U23" s="871"/>
      <c r="V23" s="872"/>
      <c r="W23" s="130"/>
      <c r="X23" s="130">
        <f>'Вывод расчетов (1-11)'!AN16</f>
        <v>2</v>
      </c>
      <c r="Y23" s="22"/>
      <c r="Z23" s="868"/>
      <c r="AA23" s="868"/>
      <c r="AB23" s="868"/>
      <c r="AC23" s="868"/>
      <c r="AD23" s="119">
        <f t="shared" ref="AD23:AI23" si="0">$X$17</f>
        <v>2</v>
      </c>
      <c r="AE23" s="119">
        <f t="shared" si="0"/>
        <v>2</v>
      </c>
      <c r="AF23" s="119">
        <f t="shared" si="0"/>
        <v>2</v>
      </c>
      <c r="AG23" s="119">
        <f t="shared" si="0"/>
        <v>2</v>
      </c>
      <c r="AH23" s="119">
        <f t="shared" si="0"/>
        <v>2</v>
      </c>
      <c r="AI23" s="119">
        <f t="shared" si="0"/>
        <v>2</v>
      </c>
      <c r="AJ23" s="112"/>
      <c r="AK23" s="864" t="s">
        <v>610</v>
      </c>
      <c r="AL23" s="865"/>
      <c r="AM23" s="865"/>
      <c r="AN23" s="865"/>
      <c r="AO23" s="865"/>
      <c r="AP23" s="865"/>
      <c r="AQ23" s="866"/>
      <c r="AR23" s="112"/>
      <c r="AS23" s="23"/>
      <c r="AT23" s="23"/>
      <c r="AU23" s="23"/>
      <c r="AV23" s="23"/>
      <c r="AW23" s="33"/>
      <c r="AX23" s="23"/>
      <c r="BE23" s="23"/>
      <c r="BF23" s="23"/>
      <c r="BG23" s="157"/>
      <c r="BH23" s="23"/>
      <c r="BI23" s="23"/>
      <c r="BJ23" s="23"/>
      <c r="BK23" s="23"/>
      <c r="BL23" s="23"/>
      <c r="BM23" s="23"/>
      <c r="BN23" s="23"/>
      <c r="BO23" s="23"/>
      <c r="BP23" s="23"/>
      <c r="BQ23" s="23"/>
      <c r="BR23" s="23"/>
      <c r="BS23" s="23"/>
      <c r="BT23" s="23"/>
      <c r="BU23" s="23"/>
      <c r="BW23" s="323"/>
      <c r="BX23" s="323"/>
      <c r="BY23" s="323"/>
      <c r="BZ23" s="323"/>
      <c r="CA23" s="323"/>
      <c r="CB23" s="323"/>
      <c r="CC23" s="323"/>
      <c r="CD23" s="323"/>
      <c r="CE23" s="323"/>
      <c r="CF23" s="323"/>
      <c r="CG23" s="323"/>
      <c r="CH23" s="323"/>
      <c r="CI23" s="323"/>
      <c r="CJ23" s="323"/>
      <c r="CK23" s="323"/>
      <c r="CL23" s="323"/>
      <c r="CM23" s="323"/>
      <c r="CN23" s="323"/>
      <c r="CO23" s="323"/>
      <c r="CP23" s="323"/>
      <c r="CQ23" s="323"/>
      <c r="CR23" s="323"/>
      <c r="CS23" s="323"/>
      <c r="CT23" s="323"/>
      <c r="CU23" s="323"/>
      <c r="CV23" s="323"/>
      <c r="CW23" s="323"/>
      <c r="CX23" s="323"/>
      <c r="CY23" s="323"/>
      <c r="CZ23" s="323"/>
      <c r="DA23" s="323"/>
      <c r="DB23" s="323"/>
      <c r="DC23" s="323"/>
      <c r="DD23" s="323"/>
      <c r="DE23" s="323"/>
      <c r="DF23" s="323"/>
      <c r="DG23" s="323"/>
      <c r="DH23" s="323"/>
      <c r="DI23" s="323"/>
      <c r="DJ23" s="323"/>
      <c r="DK23" s="323"/>
      <c r="DL23" s="323"/>
      <c r="DM23" s="323"/>
    </row>
    <row r="24" spans="13:117" ht="48" customHeight="1" x14ac:dyDescent="0.25">
      <c r="M24" s="23"/>
      <c r="N24" s="23"/>
      <c r="O24" s="23"/>
      <c r="P24" s="23"/>
      <c r="Q24" s="23"/>
      <c r="R24" s="23"/>
      <c r="S24" s="23"/>
      <c r="T24" s="23"/>
      <c r="U24" s="23"/>
      <c r="V24" s="23"/>
      <c r="W24" s="23"/>
      <c r="X24" s="22"/>
      <c r="Y24" s="22"/>
      <c r="Z24" s="869" t="s">
        <v>602</v>
      </c>
      <c r="AA24" s="869"/>
      <c r="AB24" s="869"/>
      <c r="AC24" s="869"/>
      <c r="AD24" s="118">
        <f>AL11</f>
        <v>0.313</v>
      </c>
      <c r="AE24" s="106"/>
      <c r="AF24" s="106"/>
      <c r="AG24" s="106"/>
      <c r="AH24" s="106"/>
      <c r="AI24" s="106"/>
      <c r="AJ24" s="106"/>
      <c r="AK24" s="106"/>
      <c r="AL24" s="106"/>
      <c r="AM24" s="106"/>
      <c r="AN24" s="106"/>
      <c r="AO24" s="106"/>
      <c r="AP24" s="106"/>
      <c r="AQ24" s="106"/>
      <c r="AR24" s="106"/>
      <c r="AS24" s="23"/>
      <c r="AT24" s="23"/>
      <c r="AU24" s="23"/>
      <c r="AV24" s="23"/>
      <c r="AW24" s="33"/>
      <c r="AX24" s="23"/>
      <c r="BE24" s="23"/>
      <c r="BF24" s="23"/>
      <c r="BG24" s="157"/>
      <c r="BH24" s="23"/>
      <c r="BI24" s="23"/>
      <c r="BJ24" s="23"/>
      <c r="BK24" s="23"/>
      <c r="BL24" s="23"/>
      <c r="BM24" s="23"/>
      <c r="BN24" s="23"/>
      <c r="BO24" s="23"/>
      <c r="BP24" s="23"/>
      <c r="BQ24" s="23"/>
      <c r="BR24" s="23"/>
      <c r="BS24" s="23"/>
      <c r="BT24" s="23"/>
      <c r="BU24" s="23"/>
      <c r="BW24" s="323"/>
      <c r="BX24" s="323"/>
      <c r="BY24" s="323"/>
      <c r="BZ24" s="323"/>
      <c r="CA24" s="323"/>
      <c r="CB24" s="323"/>
      <c r="CC24" s="323"/>
      <c r="CD24" s="323"/>
      <c r="CE24" s="323"/>
      <c r="CF24" s="323"/>
      <c r="CG24" s="323"/>
      <c r="CH24" s="323"/>
      <c r="CI24" s="323"/>
      <c r="CJ24" s="323"/>
      <c r="CK24" s="323"/>
      <c r="CL24" s="323"/>
      <c r="CM24" s="323"/>
      <c r="CN24" s="323"/>
      <c r="CO24" s="323"/>
      <c r="CP24" s="323"/>
      <c r="CQ24" s="323"/>
      <c r="CR24" s="323"/>
      <c r="CS24" s="323"/>
      <c r="CT24" s="323"/>
      <c r="CU24" s="323"/>
      <c r="CV24" s="323"/>
      <c r="CW24" s="323"/>
      <c r="CX24" s="323"/>
      <c r="CY24" s="323"/>
      <c r="CZ24" s="323"/>
      <c r="DA24" s="323"/>
      <c r="DB24" s="323"/>
      <c r="DC24" s="323"/>
      <c r="DD24" s="323"/>
      <c r="DE24" s="323"/>
      <c r="DF24" s="323"/>
      <c r="DG24" s="323"/>
      <c r="DH24" s="323"/>
      <c r="DI24" s="323"/>
      <c r="DJ24" s="323"/>
      <c r="DK24" s="323"/>
      <c r="DL24" s="323"/>
      <c r="DM24" s="323"/>
    </row>
    <row r="25" spans="13:117" ht="48" customHeight="1" x14ac:dyDescent="0.25">
      <c r="M25" s="23"/>
      <c r="N25" s="23"/>
      <c r="O25" s="23"/>
      <c r="P25" s="23"/>
      <c r="Q25" s="23"/>
      <c r="R25" s="23"/>
      <c r="S25" s="23"/>
      <c r="T25" s="23"/>
      <c r="U25" s="23"/>
      <c r="V25" s="23"/>
      <c r="W25" s="23"/>
      <c r="X25" s="23"/>
      <c r="Y25" s="22"/>
      <c r="Z25" s="869" t="s">
        <v>599</v>
      </c>
      <c r="AA25" s="869"/>
      <c r="AB25" s="869"/>
      <c r="AC25" s="869"/>
      <c r="AD25" s="108">
        <f>'Программные таблицы'!AI24</f>
        <v>180</v>
      </c>
      <c r="AE25" s="21"/>
      <c r="AF25" s="21"/>
      <c r="AG25" s="21"/>
      <c r="AH25" s="21"/>
      <c r="AI25" s="21"/>
      <c r="AJ25" s="21"/>
      <c r="AK25" s="21"/>
      <c r="AL25" s="21"/>
      <c r="AM25" s="21"/>
      <c r="AN25" s="21"/>
      <c r="AO25" s="21"/>
      <c r="AP25" s="21"/>
      <c r="AQ25" s="21"/>
      <c r="AR25" s="21"/>
      <c r="AS25" s="23"/>
      <c r="AT25" s="23"/>
      <c r="AU25" s="23"/>
      <c r="AV25" s="23"/>
      <c r="AW25" s="33"/>
      <c r="AX25" s="23"/>
      <c r="AY25" s="23"/>
      <c r="AZ25" s="23"/>
      <c r="BA25" s="23"/>
      <c r="BB25" s="23"/>
      <c r="BC25" s="23"/>
      <c r="BD25" s="23"/>
      <c r="BE25" s="23"/>
      <c r="BF25" s="23"/>
      <c r="BG25" s="23"/>
      <c r="BH25" s="23"/>
      <c r="BI25" s="23"/>
      <c r="BJ25" s="23"/>
      <c r="BK25" s="23"/>
      <c r="BL25" s="23"/>
      <c r="BM25" s="23"/>
      <c r="BN25" s="23"/>
      <c r="BO25" s="23"/>
      <c r="BP25" s="23"/>
      <c r="BQ25" s="23"/>
      <c r="BR25" s="23"/>
      <c r="BS25" s="23"/>
      <c r="BT25" s="23"/>
      <c r="BU25" s="23"/>
      <c r="BW25" s="323"/>
      <c r="BX25" s="323"/>
      <c r="BY25" s="323"/>
      <c r="BZ25" s="323"/>
      <c r="CA25" s="323"/>
      <c r="CB25" s="323"/>
      <c r="CC25" s="323"/>
      <c r="CD25" s="323"/>
      <c r="CE25" s="323"/>
      <c r="CF25" s="323"/>
      <c r="CG25" s="323"/>
      <c r="CH25" s="323"/>
      <c r="CI25" s="323"/>
      <c r="CJ25" s="323"/>
      <c r="CK25" s="323"/>
      <c r="CL25" s="323"/>
      <c r="CM25" s="323"/>
      <c r="CN25" s="323"/>
      <c r="CO25" s="323"/>
      <c r="CP25" s="323"/>
      <c r="CQ25" s="323"/>
      <c r="CR25" s="323"/>
      <c r="CS25" s="323"/>
      <c r="CT25" s="323"/>
      <c r="CU25" s="323"/>
      <c r="CV25" s="323"/>
      <c r="CW25" s="323"/>
      <c r="CX25" s="323"/>
      <c r="CY25" s="323"/>
      <c r="CZ25" s="323"/>
      <c r="DA25" s="323"/>
      <c r="DB25" s="323"/>
      <c r="DC25" s="323"/>
      <c r="DD25" s="323"/>
      <c r="DE25" s="323"/>
      <c r="DF25" s="323"/>
      <c r="DG25" s="323"/>
      <c r="DH25" s="323"/>
      <c r="DI25" s="323"/>
      <c r="DJ25" s="323"/>
      <c r="DK25" s="323"/>
      <c r="DL25" s="323"/>
      <c r="DM25" s="323"/>
    </row>
    <row r="26" spans="13:117" ht="48" customHeight="1" x14ac:dyDescent="0.3">
      <c r="M26" s="23"/>
      <c r="N26" s="23"/>
      <c r="O26" s="23"/>
      <c r="P26" s="23"/>
      <c r="Q26" s="23"/>
      <c r="R26" s="23"/>
      <c r="S26" s="23"/>
      <c r="T26" s="23"/>
      <c r="U26" s="23"/>
      <c r="V26" s="23"/>
      <c r="W26" s="23"/>
      <c r="X26" s="23"/>
      <c r="Y26" s="23"/>
      <c r="Z26" s="869" t="s">
        <v>15</v>
      </c>
      <c r="AA26" s="869"/>
      <c r="AB26" s="869"/>
      <c r="AC26" s="869"/>
      <c r="AD26" s="18"/>
      <c r="AE26" s="21"/>
      <c r="AF26" s="21"/>
      <c r="AG26" s="21"/>
      <c r="AH26" s="21"/>
      <c r="AI26" s="21"/>
      <c r="AJ26" s="21"/>
      <c r="AK26" s="21"/>
      <c r="AL26" s="21"/>
      <c r="AM26" s="21"/>
      <c r="AN26" s="21"/>
      <c r="AO26" s="21"/>
      <c r="AP26" s="21"/>
      <c r="AQ26" s="21"/>
      <c r="AR26" s="21"/>
      <c r="AS26" s="23"/>
      <c r="AT26" s="23"/>
      <c r="AU26" s="23"/>
      <c r="AV26" s="23"/>
      <c r="AW26" s="33"/>
      <c r="AX26" s="23"/>
      <c r="AY26" s="23"/>
      <c r="AZ26" s="23"/>
      <c r="BA26" s="23"/>
      <c r="BB26" s="23"/>
      <c r="BC26" s="23"/>
      <c r="BD26" s="23"/>
      <c r="BE26" s="23"/>
      <c r="BF26" s="23"/>
      <c r="BG26" s="23"/>
      <c r="BH26" s="23"/>
      <c r="BI26" s="23"/>
      <c r="BJ26" s="23"/>
      <c r="BK26" s="23"/>
      <c r="BL26" s="23"/>
      <c r="BM26" s="23"/>
      <c r="BN26" s="23"/>
      <c r="BO26" s="23"/>
      <c r="BP26" s="23"/>
      <c r="BQ26" s="23"/>
      <c r="BR26" s="23"/>
      <c r="BS26" s="23"/>
      <c r="BT26" s="23"/>
      <c r="BU26" s="23"/>
      <c r="BW26" s="323"/>
      <c r="BX26" s="323"/>
      <c r="BY26" s="323"/>
      <c r="BZ26" s="323"/>
      <c r="CA26" s="323"/>
      <c r="CB26" s="323"/>
      <c r="CC26" s="323"/>
      <c r="CD26" s="323"/>
      <c r="CE26" s="323"/>
      <c r="CF26" s="323"/>
      <c r="CG26" s="323"/>
      <c r="CH26" s="323"/>
      <c r="CI26" s="323"/>
      <c r="CJ26" s="323"/>
      <c r="CK26" s="323"/>
      <c r="CL26" s="323"/>
      <c r="CM26" s="323"/>
      <c r="CN26" s="323"/>
      <c r="CO26" s="323"/>
      <c r="CP26" s="323"/>
      <c r="CQ26" s="323"/>
      <c r="CR26" s="323"/>
      <c r="CS26" s="323"/>
      <c r="CT26" s="323"/>
      <c r="CU26" s="323"/>
      <c r="CV26" s="323"/>
      <c r="CW26" s="323"/>
      <c r="CX26" s="323"/>
      <c r="CY26" s="323"/>
      <c r="CZ26" s="323"/>
      <c r="DA26" s="323"/>
      <c r="DB26" s="323"/>
      <c r="DC26" s="323"/>
      <c r="DD26" s="323"/>
      <c r="DE26" s="323"/>
      <c r="DF26" s="323"/>
      <c r="DG26" s="323"/>
      <c r="DH26" s="323"/>
      <c r="DI26" s="323"/>
      <c r="DJ26" s="323"/>
      <c r="DK26" s="323"/>
      <c r="DL26" s="323"/>
      <c r="DM26" s="323"/>
    </row>
    <row r="27" spans="13:117" ht="48" customHeight="1" x14ac:dyDescent="0.25">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33"/>
      <c r="AX27" s="23"/>
      <c r="AY27" s="23"/>
      <c r="AZ27" s="23"/>
      <c r="BA27" s="23"/>
      <c r="BB27" s="23"/>
      <c r="BC27" s="23"/>
      <c r="BD27" s="23"/>
      <c r="BE27" s="23"/>
      <c r="BF27" s="23"/>
      <c r="BG27" s="23"/>
      <c r="BH27" s="23"/>
      <c r="BI27" s="23"/>
      <c r="BJ27" s="23"/>
      <c r="BK27" s="23"/>
      <c r="BL27" s="23"/>
      <c r="BM27" s="23"/>
      <c r="BN27" s="23"/>
      <c r="BO27" s="23"/>
      <c r="BP27" s="23"/>
      <c r="BQ27" s="23"/>
      <c r="BR27" s="23"/>
      <c r="BS27" s="23"/>
      <c r="BT27" s="23"/>
      <c r="BU27" s="23"/>
      <c r="BW27" s="323"/>
      <c r="BX27" s="323"/>
      <c r="BY27" s="323"/>
      <c r="BZ27" s="323"/>
      <c r="CA27" s="323"/>
      <c r="CB27" s="323"/>
      <c r="CC27" s="323"/>
      <c r="CD27" s="323"/>
      <c r="CE27" s="323"/>
      <c r="CF27" s="323"/>
      <c r="CG27" s="323"/>
      <c r="CH27" s="323"/>
      <c r="CI27" s="323"/>
      <c r="CJ27" s="323"/>
      <c r="CK27" s="323"/>
      <c r="CL27" s="323"/>
      <c r="CM27" s="323"/>
      <c r="CN27" s="323"/>
      <c r="CO27" s="323"/>
      <c r="CP27" s="323"/>
      <c r="CQ27" s="323"/>
      <c r="CR27" s="323"/>
      <c r="CS27" s="323"/>
      <c r="CT27" s="323"/>
      <c r="CU27" s="323"/>
      <c r="CV27" s="323"/>
      <c r="CW27" s="323"/>
      <c r="CX27" s="323"/>
      <c r="CY27" s="323"/>
      <c r="CZ27" s="323"/>
      <c r="DA27" s="323"/>
      <c r="DB27" s="323"/>
      <c r="DC27" s="323"/>
      <c r="DD27" s="323"/>
      <c r="DE27" s="323"/>
      <c r="DF27" s="323"/>
      <c r="DG27" s="323"/>
      <c r="DH27" s="323"/>
      <c r="DI27" s="323"/>
      <c r="DJ27" s="323"/>
      <c r="DK27" s="323"/>
      <c r="DL27" s="323"/>
      <c r="DM27" s="323"/>
    </row>
    <row r="28" spans="13:117" ht="48" customHeight="1" x14ac:dyDescent="0.25">
      <c r="M28" s="23"/>
      <c r="N28" s="23"/>
      <c r="O28" s="23"/>
      <c r="P28" s="23"/>
      <c r="Q28" s="23"/>
      <c r="R28" s="23"/>
      <c r="S28" s="23"/>
      <c r="T28" s="23"/>
      <c r="U28" s="23"/>
      <c r="V28" s="23"/>
      <c r="W28" s="23"/>
      <c r="X28" s="23"/>
      <c r="Y28" s="23"/>
      <c r="Z28" s="23"/>
      <c r="AA28" s="23"/>
      <c r="AB28" s="23"/>
      <c r="AC28" s="23"/>
      <c r="AD28" s="23"/>
      <c r="AE28" s="23"/>
      <c r="AF28" s="23"/>
      <c r="BW28" s="323"/>
      <c r="BX28" s="323"/>
      <c r="BY28" s="323"/>
      <c r="BZ28" s="323"/>
      <c r="CA28" s="323"/>
      <c r="CB28" s="323"/>
      <c r="CC28" s="323"/>
      <c r="CD28" s="323"/>
      <c r="CE28" s="323"/>
      <c r="CF28" s="323"/>
      <c r="CG28" s="323"/>
      <c r="CH28" s="323"/>
      <c r="CI28" s="323"/>
      <c r="CJ28" s="323"/>
      <c r="CK28" s="323"/>
      <c r="CL28" s="323"/>
      <c r="CM28" s="323"/>
      <c r="CN28" s="323"/>
      <c r="CO28" s="323"/>
      <c r="CP28" s="323"/>
      <c r="CQ28" s="323"/>
      <c r="CR28" s="323"/>
      <c r="CS28" s="323"/>
      <c r="CT28" s="323"/>
      <c r="CU28" s="323"/>
      <c r="CV28" s="323"/>
      <c r="CW28" s="323"/>
      <c r="CX28" s="323"/>
      <c r="CY28" s="323"/>
      <c r="CZ28" s="323"/>
      <c r="DA28" s="323"/>
      <c r="DB28" s="323"/>
      <c r="DC28" s="323"/>
      <c r="DD28" s="323"/>
      <c r="DE28" s="323"/>
      <c r="DF28" s="323"/>
      <c r="DG28" s="323"/>
      <c r="DH28" s="323"/>
      <c r="DI28" s="323"/>
      <c r="DJ28" s="323"/>
      <c r="DK28" s="323"/>
      <c r="DL28" s="323"/>
      <c r="DM28" s="323"/>
    </row>
    <row r="29" spans="13:117" ht="48" customHeight="1" x14ac:dyDescent="0.25">
      <c r="M29" s="23"/>
      <c r="N29" s="23"/>
      <c r="O29" s="23"/>
      <c r="P29" s="23"/>
      <c r="Q29" s="23"/>
      <c r="R29" s="23"/>
      <c r="S29" s="23"/>
      <c r="T29" s="23"/>
      <c r="U29" s="23"/>
      <c r="V29" s="23"/>
      <c r="W29" s="23"/>
      <c r="X29" s="23"/>
      <c r="Y29" s="23"/>
      <c r="Z29" s="23"/>
      <c r="AA29" s="23"/>
      <c r="AB29" s="23"/>
      <c r="AC29" s="23"/>
      <c r="AD29" s="23"/>
      <c r="AE29" s="23"/>
      <c r="AF29" s="23"/>
      <c r="BW29" s="323"/>
      <c r="BX29" s="323"/>
      <c r="BY29" s="323"/>
      <c r="BZ29" s="323"/>
      <c r="CA29" s="323"/>
      <c r="CB29" s="323"/>
      <c r="CC29" s="323"/>
      <c r="CD29" s="323"/>
      <c r="CE29" s="323"/>
      <c r="CF29" s="323"/>
      <c r="CG29" s="323"/>
      <c r="CH29" s="323"/>
      <c r="CI29" s="323"/>
      <c r="CJ29" s="323"/>
      <c r="CK29" s="323"/>
      <c r="CL29" s="323"/>
      <c r="CM29" s="323"/>
      <c r="CN29" s="323"/>
      <c r="CO29" s="323"/>
      <c r="CP29" s="323"/>
      <c r="CQ29" s="323"/>
      <c r="CR29" s="323"/>
      <c r="CS29" s="323"/>
      <c r="CT29" s="323"/>
      <c r="CU29" s="323"/>
      <c r="CV29" s="323"/>
      <c r="CW29" s="323"/>
      <c r="CX29" s="323"/>
      <c r="CY29" s="323"/>
      <c r="CZ29" s="323"/>
      <c r="DA29" s="323"/>
      <c r="DB29" s="323"/>
      <c r="DC29" s="323"/>
      <c r="DD29" s="323"/>
      <c r="DE29" s="323"/>
      <c r="DF29" s="323"/>
      <c r="DG29" s="323"/>
      <c r="DH29" s="323"/>
      <c r="DI29" s="323"/>
      <c r="DJ29" s="323"/>
      <c r="DK29" s="323"/>
      <c r="DL29" s="323"/>
      <c r="DM29" s="323"/>
    </row>
    <row r="30" spans="13:117" ht="48" customHeight="1" x14ac:dyDescent="0.25">
      <c r="M30" s="23"/>
      <c r="N30" s="23"/>
      <c r="O30" s="23"/>
      <c r="P30" s="23"/>
      <c r="Q30" s="23"/>
      <c r="R30" s="23"/>
      <c r="S30" s="23"/>
      <c r="T30" s="23"/>
      <c r="U30" s="23"/>
      <c r="V30" s="23"/>
      <c r="W30" s="23"/>
      <c r="X30" s="23"/>
      <c r="Y30" s="23"/>
      <c r="Z30" s="23"/>
      <c r="AA30" s="23"/>
      <c r="AB30" s="23"/>
      <c r="AC30" s="23"/>
      <c r="AD30" s="23"/>
      <c r="AE30" s="23"/>
      <c r="AF30" s="23"/>
      <c r="BW30" s="323"/>
      <c r="BX30" s="323"/>
      <c r="BY30" s="323"/>
      <c r="BZ30" s="323"/>
      <c r="CA30" s="323"/>
      <c r="CB30" s="323"/>
      <c r="CC30" s="323"/>
      <c r="CD30" s="323"/>
      <c r="CE30" s="323"/>
      <c r="CF30" s="323"/>
      <c r="CG30" s="323"/>
      <c r="CH30" s="323"/>
      <c r="CI30" s="323"/>
      <c r="CJ30" s="323"/>
      <c r="CK30" s="323"/>
      <c r="CL30" s="323"/>
      <c r="CM30" s="323"/>
      <c r="CN30" s="323"/>
      <c r="CO30" s="323"/>
      <c r="CP30" s="323"/>
      <c r="CQ30" s="323"/>
      <c r="CR30" s="323"/>
      <c r="CS30" s="323"/>
      <c r="CT30" s="323"/>
      <c r="CU30" s="323"/>
      <c r="CV30" s="323"/>
      <c r="CW30" s="323"/>
      <c r="CX30" s="323"/>
      <c r="CY30" s="323"/>
      <c r="CZ30" s="323"/>
      <c r="DA30" s="323"/>
      <c r="DB30" s="323"/>
      <c r="DC30" s="323"/>
      <c r="DD30" s="323"/>
      <c r="DE30" s="323"/>
      <c r="DF30" s="323"/>
      <c r="DG30" s="323"/>
      <c r="DH30" s="323"/>
      <c r="DI30" s="323"/>
      <c r="DJ30" s="323"/>
      <c r="DK30" s="323"/>
      <c r="DL30" s="323"/>
      <c r="DM30" s="323"/>
    </row>
    <row r="31" spans="13:117" ht="48" customHeight="1" x14ac:dyDescent="0.25">
      <c r="M31" s="23"/>
      <c r="N31" s="23"/>
      <c r="O31" s="23"/>
      <c r="P31" s="23"/>
      <c r="Q31" s="23"/>
      <c r="R31" s="23"/>
      <c r="S31" s="23"/>
      <c r="T31" s="23"/>
      <c r="U31" s="23"/>
      <c r="V31" s="23"/>
      <c r="W31" s="23"/>
      <c r="X31" s="23"/>
      <c r="Y31" s="23"/>
      <c r="Z31" s="23"/>
      <c r="AA31" s="23"/>
      <c r="AB31" s="23"/>
      <c r="AC31" s="23"/>
      <c r="AD31" s="23"/>
      <c r="AE31" s="23"/>
      <c r="AF31" s="23"/>
      <c r="BW31" s="323"/>
      <c r="BX31" s="323"/>
      <c r="BY31" s="323"/>
      <c r="BZ31" s="323"/>
      <c r="CA31" s="323"/>
      <c r="CB31" s="323"/>
      <c r="CC31" s="323"/>
      <c r="CD31" s="323"/>
      <c r="CE31" s="323"/>
      <c r="CF31" s="323"/>
      <c r="CG31" s="323"/>
      <c r="CH31" s="323"/>
      <c r="CI31" s="323"/>
      <c r="CJ31" s="323"/>
      <c r="CK31" s="323"/>
      <c r="CL31" s="323"/>
      <c r="CM31" s="323"/>
      <c r="CN31" s="323"/>
      <c r="CO31" s="323"/>
      <c r="CP31" s="323"/>
      <c r="CQ31" s="323"/>
      <c r="CR31" s="323"/>
      <c r="CS31" s="323"/>
      <c r="CT31" s="323"/>
      <c r="CU31" s="323"/>
      <c r="CV31" s="323"/>
      <c r="CW31" s="323"/>
      <c r="CX31" s="323"/>
      <c r="CY31" s="323"/>
      <c r="CZ31" s="323"/>
      <c r="DA31" s="323"/>
      <c r="DB31" s="323"/>
      <c r="DC31" s="323"/>
      <c r="DD31" s="323"/>
      <c r="DE31" s="323"/>
      <c r="DF31" s="323"/>
      <c r="DG31" s="323"/>
      <c r="DH31" s="323"/>
      <c r="DI31" s="323"/>
      <c r="DJ31" s="323"/>
      <c r="DK31" s="323"/>
      <c r="DL31" s="323"/>
      <c r="DM31" s="323"/>
    </row>
    <row r="32" spans="13:117" ht="48" customHeight="1" x14ac:dyDescent="0.25">
      <c r="M32" s="23"/>
      <c r="N32" s="23"/>
      <c r="O32" s="23"/>
      <c r="P32" s="23"/>
      <c r="Q32" s="23"/>
      <c r="R32" s="23"/>
      <c r="S32" s="23"/>
      <c r="T32" s="23"/>
      <c r="U32" s="23"/>
      <c r="V32" s="23"/>
      <c r="W32" s="23"/>
      <c r="X32" s="23"/>
      <c r="Y32" s="23"/>
      <c r="Z32" s="23"/>
      <c r="AA32" s="23"/>
      <c r="AB32" s="23"/>
      <c r="AC32" s="23"/>
      <c r="AD32" s="23"/>
      <c r="AE32" s="23"/>
      <c r="AF32" s="23"/>
      <c r="BW32" s="323"/>
      <c r="BX32" s="323"/>
      <c r="BY32" s="323"/>
      <c r="BZ32" s="323"/>
      <c r="CA32" s="323"/>
      <c r="CB32" s="323"/>
      <c r="CC32" s="323"/>
      <c r="CD32" s="323"/>
      <c r="CE32" s="323"/>
      <c r="CF32" s="323"/>
      <c r="CG32" s="323"/>
      <c r="CH32" s="323"/>
      <c r="CI32" s="323"/>
      <c r="CJ32" s="323"/>
      <c r="CK32" s="323"/>
      <c r="CL32" s="323"/>
      <c r="CM32" s="323"/>
      <c r="CN32" s="323"/>
      <c r="CO32" s="323"/>
      <c r="CP32" s="323"/>
      <c r="CQ32" s="323"/>
      <c r="CR32" s="323"/>
      <c r="CS32" s="323"/>
      <c r="CT32" s="323"/>
      <c r="CU32" s="323"/>
      <c r="CV32" s="323"/>
      <c r="CW32" s="323"/>
      <c r="CX32" s="323"/>
      <c r="CY32" s="323"/>
      <c r="CZ32" s="323"/>
      <c r="DA32" s="323"/>
      <c r="DB32" s="323"/>
      <c r="DC32" s="323"/>
      <c r="DD32" s="323"/>
      <c r="DE32" s="323"/>
      <c r="DF32" s="323"/>
      <c r="DG32" s="323"/>
      <c r="DH32" s="323"/>
      <c r="DI32" s="323"/>
      <c r="DJ32" s="323"/>
      <c r="DK32" s="323"/>
      <c r="DL32" s="323"/>
      <c r="DM32" s="323"/>
    </row>
    <row r="33" spans="13:117" ht="48" customHeight="1" x14ac:dyDescent="0.25">
      <c r="M33" s="23"/>
      <c r="N33" s="23"/>
      <c r="O33" s="23"/>
      <c r="P33" s="23"/>
      <c r="Q33" s="23"/>
      <c r="R33" s="23"/>
      <c r="S33" s="23"/>
      <c r="T33" s="23"/>
      <c r="U33" s="23"/>
      <c r="V33" s="23"/>
      <c r="W33" s="23"/>
      <c r="X33" s="23"/>
      <c r="Y33" s="23"/>
      <c r="Z33" s="23"/>
      <c r="AA33" s="23"/>
      <c r="AB33" s="23"/>
      <c r="AC33" s="23"/>
      <c r="AD33" s="23"/>
      <c r="AE33" s="23"/>
      <c r="AF33" s="23"/>
      <c r="BW33" s="323"/>
      <c r="BX33" s="323"/>
      <c r="BY33" s="323"/>
      <c r="BZ33" s="323"/>
      <c r="CA33" s="323"/>
      <c r="CB33" s="323"/>
      <c r="CC33" s="323"/>
      <c r="CD33" s="323"/>
      <c r="CE33" s="323"/>
      <c r="CF33" s="323"/>
      <c r="CG33" s="323"/>
      <c r="CH33" s="323"/>
      <c r="CI33" s="323"/>
      <c r="CJ33" s="323"/>
      <c r="CK33" s="323"/>
      <c r="CL33" s="323"/>
      <c r="CM33" s="323"/>
      <c r="CN33" s="323"/>
      <c r="CO33" s="323"/>
      <c r="CP33" s="323"/>
      <c r="CQ33" s="323"/>
      <c r="CR33" s="323"/>
      <c r="CS33" s="323"/>
      <c r="CT33" s="323"/>
      <c r="CU33" s="323"/>
      <c r="CV33" s="323"/>
      <c r="CW33" s="323"/>
      <c r="CX33" s="323"/>
      <c r="CY33" s="323"/>
      <c r="CZ33" s="323"/>
      <c r="DA33" s="323"/>
      <c r="DB33" s="323"/>
      <c r="DC33" s="323"/>
      <c r="DD33" s="323"/>
      <c r="DE33" s="323"/>
      <c r="DF33" s="323"/>
      <c r="DG33" s="323"/>
      <c r="DH33" s="323"/>
      <c r="DI33" s="323"/>
      <c r="DJ33" s="323"/>
      <c r="DK33" s="323"/>
      <c r="DL33" s="323"/>
      <c r="DM33" s="323"/>
    </row>
    <row r="34" spans="13:117" ht="48" customHeight="1" x14ac:dyDescent="0.25">
      <c r="M34" s="23"/>
      <c r="N34" s="23"/>
      <c r="O34" s="23"/>
      <c r="P34" s="23"/>
      <c r="Q34" s="23"/>
      <c r="R34" s="23"/>
      <c r="S34" s="23"/>
      <c r="T34" s="23"/>
      <c r="U34" s="23"/>
      <c r="V34" s="23"/>
      <c r="W34" s="23"/>
      <c r="X34" s="23"/>
      <c r="Y34" s="23"/>
      <c r="Z34" s="23"/>
      <c r="AA34" s="23"/>
      <c r="AB34" s="23"/>
      <c r="AC34" s="23"/>
      <c r="AD34" s="23"/>
      <c r="AE34" s="23"/>
      <c r="AF34" s="23"/>
    </row>
    <row r="35" spans="13:117" ht="48" customHeight="1" x14ac:dyDescent="0.25">
      <c r="M35" s="23"/>
      <c r="N35" s="23"/>
      <c r="O35" s="23"/>
      <c r="P35" s="23"/>
      <c r="Q35" s="23"/>
      <c r="R35" s="23"/>
      <c r="S35" s="23"/>
      <c r="T35" s="23"/>
      <c r="U35" s="23"/>
      <c r="V35" s="23"/>
      <c r="W35" s="23"/>
      <c r="X35" s="23"/>
      <c r="Y35" s="23"/>
      <c r="Z35" s="23"/>
      <c r="AA35" s="23"/>
      <c r="AB35" s="23"/>
      <c r="AC35" s="23"/>
      <c r="AD35" s="23"/>
      <c r="AE35" s="23"/>
      <c r="AF35" s="23"/>
    </row>
    <row r="36" spans="13:117" ht="48" customHeight="1" x14ac:dyDescent="0.25">
      <c r="M36" s="23"/>
      <c r="N36" s="23"/>
      <c r="O36" s="23"/>
      <c r="P36" s="23"/>
      <c r="Q36" s="23"/>
      <c r="R36" s="23"/>
      <c r="S36" s="23"/>
      <c r="T36" s="23"/>
      <c r="U36" s="23"/>
      <c r="V36" s="23"/>
      <c r="W36" s="23"/>
      <c r="X36" s="23"/>
      <c r="Y36" s="23"/>
      <c r="Z36" s="23"/>
      <c r="AA36" s="23"/>
      <c r="AB36" s="23"/>
      <c r="AC36" s="23"/>
      <c r="AD36" s="23"/>
      <c r="AE36" s="23"/>
      <c r="AF36" s="23"/>
    </row>
    <row r="37" spans="13:117" ht="48" customHeight="1" x14ac:dyDescent="0.25">
      <c r="M37" s="23"/>
      <c r="N37" s="23"/>
      <c r="O37" s="23"/>
      <c r="P37" s="23"/>
      <c r="Q37" s="23"/>
      <c r="R37" s="23"/>
      <c r="S37" s="23"/>
      <c r="T37" s="23"/>
      <c r="U37" s="23"/>
      <c r="V37" s="23"/>
      <c r="W37" s="23"/>
      <c r="X37" s="23"/>
      <c r="Y37" s="23"/>
      <c r="Z37" s="23"/>
      <c r="AA37" s="23"/>
      <c r="AB37" s="23"/>
      <c r="AC37" s="23"/>
      <c r="AD37" s="23"/>
      <c r="AE37" s="23"/>
      <c r="AF37" s="23"/>
    </row>
    <row r="38" spans="13:117" ht="48" customHeight="1" x14ac:dyDescent="0.25">
      <c r="M38" s="158"/>
      <c r="N38" s="158"/>
      <c r="O38" s="158"/>
      <c r="P38" s="158"/>
      <c r="Q38" s="158"/>
      <c r="R38" s="158"/>
      <c r="S38" s="158"/>
      <c r="T38" s="158"/>
      <c r="U38" s="158"/>
      <c r="V38" s="158"/>
      <c r="W38" s="158"/>
      <c r="X38" s="158"/>
      <c r="Y38" s="158"/>
      <c r="Z38" s="158"/>
      <c r="AA38" s="158"/>
      <c r="AB38" s="158"/>
      <c r="AC38" s="158"/>
      <c r="AD38" s="158"/>
      <c r="AE38" s="158"/>
      <c r="AF38" s="158"/>
    </row>
    <row r="39" spans="13:117" ht="48" customHeight="1" x14ac:dyDescent="0.25">
      <c r="M39" s="23"/>
      <c r="N39" s="23"/>
      <c r="O39" s="23"/>
      <c r="P39" s="23"/>
      <c r="Q39" s="23"/>
      <c r="R39" s="23"/>
      <c r="S39" s="23"/>
      <c r="T39" s="23"/>
      <c r="U39" s="23"/>
      <c r="V39" s="23"/>
      <c r="W39" s="23"/>
      <c r="X39" s="23"/>
      <c r="Y39" s="23"/>
      <c r="Z39" s="23"/>
      <c r="AA39" s="23"/>
      <c r="AB39" s="23"/>
      <c r="AC39" s="23"/>
      <c r="AD39" s="23"/>
      <c r="AE39" s="23"/>
      <c r="AF39" s="158"/>
      <c r="AG39" s="158"/>
      <c r="AH39" s="158"/>
      <c r="AI39" s="158"/>
      <c r="AJ39" s="158"/>
      <c r="AK39" s="158"/>
      <c r="AL39" s="158"/>
      <c r="AM39" s="158"/>
      <c r="AN39" s="158"/>
      <c r="AO39" s="158"/>
      <c r="AP39" s="158"/>
      <c r="AQ39" s="158"/>
      <c r="AR39" s="158"/>
      <c r="AS39" s="158"/>
      <c r="AT39" s="158"/>
      <c r="AU39" s="158"/>
      <c r="AV39" s="158"/>
      <c r="AW39" s="158"/>
      <c r="AX39" s="158"/>
      <c r="AY39" s="158"/>
      <c r="AZ39" s="158"/>
      <c r="BA39" s="158"/>
      <c r="BB39" s="158"/>
      <c r="BC39" s="158"/>
      <c r="BD39" s="158"/>
      <c r="BE39" s="158"/>
      <c r="BF39" s="158"/>
      <c r="BG39" s="158"/>
      <c r="BH39" s="158"/>
      <c r="BI39" s="158"/>
      <c r="BJ39" s="158"/>
      <c r="BK39" s="158"/>
      <c r="BL39" s="158"/>
      <c r="BM39" s="158"/>
      <c r="BN39" s="23"/>
      <c r="BO39" s="23"/>
      <c r="BP39" s="23"/>
      <c r="BQ39" s="23"/>
      <c r="BR39" s="23"/>
      <c r="BS39" s="23"/>
      <c r="BT39" s="23"/>
      <c r="BU39" s="23"/>
    </row>
    <row r="40" spans="13:117" ht="48" customHeight="1" x14ac:dyDescent="0.25">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2"/>
      <c r="AU40" s="158"/>
      <c r="AV40" s="158"/>
      <c r="AW40" s="158"/>
      <c r="AX40" s="158"/>
      <c r="AY40" s="158"/>
      <c r="AZ40" s="158"/>
      <c r="BA40" s="158"/>
      <c r="BB40" s="158"/>
      <c r="BC40" s="158"/>
      <c r="BD40" s="158"/>
      <c r="BE40" s="23"/>
      <c r="BF40" s="23"/>
      <c r="BG40" s="23"/>
      <c r="BH40" s="23"/>
      <c r="BI40" s="23"/>
      <c r="BJ40" s="23"/>
      <c r="BK40" s="23"/>
      <c r="BL40" s="23"/>
      <c r="BM40" s="23"/>
      <c r="BN40" s="23"/>
      <c r="BO40" s="23"/>
      <c r="BP40" s="23"/>
      <c r="BQ40" s="23"/>
      <c r="BR40" s="23"/>
      <c r="BS40" s="23"/>
      <c r="BT40" s="23"/>
      <c r="BU40" s="23"/>
    </row>
    <row r="41" spans="13:117" ht="48" customHeight="1" x14ac:dyDescent="0.25">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c r="AS41" s="23"/>
      <c r="AT41" s="23"/>
      <c r="AU41" s="23"/>
      <c r="AV41" s="23"/>
      <c r="AW41" s="33"/>
      <c r="AX41" s="23"/>
      <c r="AY41" s="23"/>
      <c r="AZ41" s="23"/>
      <c r="BA41" s="23"/>
      <c r="BB41" s="23"/>
      <c r="BC41" s="23"/>
      <c r="BD41" s="23"/>
      <c r="BE41" s="23"/>
      <c r="BF41" s="23"/>
      <c r="BG41" s="23"/>
      <c r="BH41" s="23"/>
      <c r="BI41" s="23"/>
      <c r="BJ41" s="23"/>
      <c r="BK41" s="23"/>
      <c r="BL41" s="23"/>
      <c r="BM41" s="23"/>
      <c r="BN41" s="23"/>
      <c r="BO41" s="23"/>
      <c r="BP41" s="23"/>
      <c r="BQ41" s="23"/>
      <c r="BR41" s="23"/>
      <c r="BS41" s="23"/>
      <c r="BT41" s="23"/>
      <c r="BU41" s="23"/>
    </row>
    <row r="42" spans="13:117" ht="48" customHeight="1" x14ac:dyDescent="0.25">
      <c r="M42" s="23"/>
      <c r="N42" s="23"/>
      <c r="O42" s="23"/>
      <c r="P42" s="23"/>
      <c r="Q42" s="23"/>
      <c r="R42" s="23"/>
      <c r="S42" s="23"/>
      <c r="T42" s="23"/>
      <c r="U42" s="23"/>
      <c r="V42" s="23"/>
      <c r="W42" s="23"/>
      <c r="X42" s="23"/>
      <c r="Y42" s="23"/>
      <c r="Z42" s="23"/>
      <c r="AA42" s="23"/>
      <c r="AB42" s="23"/>
      <c r="AC42" s="23"/>
      <c r="AD42" s="23"/>
      <c r="AE42" s="124"/>
      <c r="AF42" s="124"/>
      <c r="AG42" s="135"/>
      <c r="AH42" s="124"/>
      <c r="AI42" s="124"/>
      <c r="AJ42" s="124"/>
      <c r="AK42" s="134"/>
      <c r="AL42" s="124"/>
      <c r="AM42" s="124"/>
      <c r="AN42" s="133"/>
      <c r="AO42" s="124"/>
      <c r="AP42" s="124"/>
      <c r="AQ42" s="124"/>
      <c r="AR42" s="124"/>
      <c r="AS42" s="124"/>
      <c r="AT42" s="124"/>
      <c r="AU42" s="23"/>
      <c r="AV42" s="124"/>
      <c r="AW42" s="140"/>
      <c r="AX42" s="23"/>
      <c r="AY42" s="23"/>
      <c r="AZ42" s="23"/>
      <c r="BA42" s="23"/>
      <c r="BB42" s="23"/>
      <c r="BC42" s="23"/>
      <c r="BD42" s="23"/>
      <c r="BE42" s="23"/>
      <c r="BF42" s="23"/>
      <c r="BG42" s="23"/>
      <c r="BH42" s="23"/>
      <c r="BI42" s="23"/>
      <c r="BJ42" s="23"/>
      <c r="BK42" s="23"/>
      <c r="BL42" s="23"/>
      <c r="BM42" s="23"/>
      <c r="BN42" s="23"/>
      <c r="BO42" s="23"/>
      <c r="BP42" s="23"/>
      <c r="BQ42" s="23"/>
      <c r="BR42" s="23"/>
      <c r="BS42" s="23"/>
      <c r="BT42" s="23"/>
      <c r="BU42" s="23"/>
    </row>
    <row r="43" spans="13:117" ht="48" customHeight="1" x14ac:dyDescent="0.25">
      <c r="M43" s="158"/>
      <c r="N43" s="158"/>
      <c r="O43" s="158"/>
      <c r="P43" s="158"/>
      <c r="Q43" s="158"/>
      <c r="R43" s="158"/>
      <c r="S43" s="158"/>
      <c r="T43" s="158"/>
      <c r="U43" s="158"/>
      <c r="V43" s="158"/>
      <c r="W43" s="158"/>
      <c r="X43" s="158"/>
      <c r="Y43" s="158"/>
      <c r="Z43" s="158"/>
      <c r="AA43" s="158"/>
      <c r="AB43" s="158"/>
      <c r="AC43" s="158"/>
      <c r="AD43" s="158"/>
      <c r="AE43" s="163"/>
      <c r="AF43" s="163"/>
      <c r="AG43" s="170"/>
      <c r="AH43" s="163"/>
      <c r="AI43" s="163"/>
      <c r="AJ43" s="163"/>
      <c r="AK43" s="169"/>
      <c r="AL43" s="163"/>
      <c r="AM43" s="163"/>
      <c r="AN43" s="164"/>
      <c r="AO43" s="163"/>
      <c r="AP43" s="163"/>
      <c r="AQ43" s="163"/>
      <c r="AR43" s="163"/>
      <c r="AS43" s="163"/>
      <c r="AT43" s="163"/>
      <c r="AU43" s="158"/>
      <c r="AV43" s="163"/>
      <c r="AW43" s="171"/>
      <c r="AX43" s="158"/>
      <c r="AY43" s="158"/>
      <c r="AZ43" s="158"/>
      <c r="BA43" s="158"/>
      <c r="BB43" s="158"/>
      <c r="BC43" s="158"/>
      <c r="BD43" s="158"/>
      <c r="BE43" s="158"/>
      <c r="BF43" s="158"/>
      <c r="BG43" s="158"/>
      <c r="BH43" s="158"/>
      <c r="BI43" s="158"/>
      <c r="BJ43" s="158"/>
      <c r="BK43" s="158"/>
      <c r="BL43" s="158"/>
      <c r="BM43" s="158"/>
      <c r="BN43" s="158"/>
      <c r="BO43" s="158"/>
      <c r="BP43" s="158"/>
      <c r="BQ43" s="158"/>
      <c r="BR43" s="158"/>
      <c r="BS43" s="158"/>
      <c r="BT43" s="158"/>
      <c r="BU43" s="158"/>
    </row>
    <row r="44" spans="13:117" ht="48" customHeight="1" x14ac:dyDescent="0.25">
      <c r="M44" s="158"/>
      <c r="N44" s="158"/>
      <c r="O44" s="158"/>
      <c r="P44" s="158"/>
      <c r="Q44" s="158"/>
      <c r="R44" s="158"/>
      <c r="S44" s="158"/>
      <c r="T44" s="158"/>
      <c r="U44" s="158"/>
      <c r="V44" s="158"/>
      <c r="W44" s="158"/>
      <c r="X44" s="158"/>
      <c r="Y44" s="158"/>
      <c r="Z44" s="158"/>
      <c r="AA44" s="158"/>
      <c r="AB44" s="158"/>
      <c r="AC44" s="158"/>
      <c r="AD44" s="158"/>
      <c r="AE44" s="163"/>
      <c r="AF44" s="163"/>
      <c r="AG44" s="170"/>
      <c r="AH44" s="163"/>
      <c r="AI44" s="163"/>
      <c r="AJ44" s="163"/>
      <c r="AK44" s="169"/>
      <c r="AL44" s="163"/>
      <c r="AM44" s="163"/>
      <c r="AN44" s="164"/>
      <c r="AO44" s="163"/>
      <c r="AP44" s="163"/>
      <c r="AQ44" s="163"/>
      <c r="AR44" s="163"/>
      <c r="AS44" s="163"/>
      <c r="AT44" s="163"/>
      <c r="AU44" s="158"/>
      <c r="AV44" s="163"/>
      <c r="AW44" s="171"/>
      <c r="AX44" s="158"/>
      <c r="AY44" s="158"/>
      <c r="AZ44" s="158"/>
      <c r="BA44" s="158"/>
      <c r="BB44" s="158"/>
      <c r="BC44" s="158"/>
      <c r="BD44" s="158"/>
      <c r="BE44" s="158"/>
      <c r="BF44" s="158"/>
      <c r="BG44" s="158"/>
      <c r="BH44" s="158"/>
      <c r="BI44" s="158"/>
      <c r="BJ44" s="158"/>
      <c r="BK44" s="158"/>
      <c r="BL44" s="158"/>
      <c r="BM44" s="158"/>
      <c r="BN44" s="158"/>
      <c r="BO44" s="158"/>
      <c r="BP44" s="158"/>
      <c r="BQ44" s="158"/>
      <c r="BR44" s="158"/>
      <c r="BS44" s="158"/>
      <c r="BT44" s="158"/>
      <c r="BU44" s="158"/>
    </row>
    <row r="45" spans="13:117" ht="48" customHeight="1" x14ac:dyDescent="0.25">
      <c r="M45" s="158"/>
      <c r="N45" s="158"/>
      <c r="O45" s="158"/>
      <c r="P45" s="158"/>
      <c r="Q45" s="158"/>
      <c r="R45" s="158"/>
      <c r="S45" s="158"/>
      <c r="T45" s="158"/>
      <c r="U45" s="158"/>
      <c r="V45" s="158"/>
      <c r="W45" s="158"/>
      <c r="X45" s="158"/>
      <c r="Y45" s="158"/>
      <c r="Z45" s="158"/>
      <c r="AA45" s="158"/>
      <c r="AB45" s="158"/>
      <c r="AC45" s="158"/>
      <c r="AD45" s="158"/>
      <c r="AE45" s="163"/>
      <c r="AF45" s="163"/>
      <c r="AG45" s="170"/>
      <c r="AH45" s="163"/>
      <c r="AI45" s="163"/>
      <c r="AJ45" s="163"/>
      <c r="AK45" s="169"/>
      <c r="AL45" s="163"/>
      <c r="AM45" s="163"/>
      <c r="AN45" s="164"/>
      <c r="AO45" s="163"/>
      <c r="AP45" s="163"/>
      <c r="AQ45" s="163"/>
      <c r="AR45" s="163"/>
      <c r="AS45" s="163"/>
      <c r="AT45" s="163"/>
      <c r="AU45" s="158"/>
      <c r="AV45" s="163"/>
      <c r="AW45" s="171"/>
      <c r="AX45" s="158"/>
      <c r="AY45" s="158"/>
      <c r="AZ45" s="158"/>
      <c r="BA45" s="158"/>
      <c r="BB45" s="158"/>
      <c r="BC45" s="158"/>
      <c r="BD45" s="158"/>
      <c r="BE45" s="158"/>
      <c r="BF45" s="158"/>
      <c r="BG45" s="158"/>
      <c r="BH45" s="158"/>
      <c r="BI45" s="158"/>
      <c r="BJ45" s="158"/>
      <c r="BK45" s="158"/>
      <c r="BL45" s="158"/>
      <c r="BM45" s="158"/>
      <c r="BN45" s="158"/>
      <c r="BO45" s="158"/>
      <c r="BP45" s="158"/>
      <c r="BQ45" s="158"/>
      <c r="BR45" s="158"/>
      <c r="BS45" s="158"/>
      <c r="BT45" s="158"/>
      <c r="BU45" s="158"/>
    </row>
    <row r="46" spans="13:117" ht="48" customHeight="1" x14ac:dyDescent="0.25">
      <c r="M46" s="158"/>
      <c r="N46" s="158"/>
      <c r="O46" s="158"/>
      <c r="P46" s="158"/>
      <c r="Q46" s="158"/>
      <c r="R46" s="158"/>
      <c r="S46" s="158"/>
      <c r="T46" s="158"/>
      <c r="U46" s="158"/>
      <c r="V46" s="158"/>
      <c r="W46" s="158"/>
      <c r="X46" s="158"/>
      <c r="Y46" s="158"/>
      <c r="Z46" s="158"/>
      <c r="AA46" s="158"/>
      <c r="AB46" s="158"/>
      <c r="AC46" s="158"/>
      <c r="AD46" s="158"/>
      <c r="AE46" s="163"/>
      <c r="AF46" s="163"/>
      <c r="AG46" s="170"/>
      <c r="AH46" s="163"/>
      <c r="AI46" s="163"/>
      <c r="AJ46" s="163"/>
      <c r="AK46" s="169"/>
      <c r="AL46" s="163"/>
      <c r="AM46" s="163"/>
      <c r="AN46" s="164"/>
      <c r="AO46" s="163"/>
      <c r="AP46" s="163"/>
      <c r="AQ46" s="163"/>
      <c r="AR46" s="163"/>
      <c r="AS46" s="163"/>
      <c r="AT46" s="163"/>
      <c r="AU46" s="158"/>
      <c r="AV46" s="163"/>
      <c r="AW46" s="171"/>
      <c r="AX46" s="158"/>
      <c r="AY46" s="158"/>
      <c r="AZ46" s="158"/>
      <c r="BA46" s="158"/>
      <c r="BB46" s="158"/>
      <c r="BC46" s="158"/>
      <c r="BD46" s="158"/>
      <c r="BE46" s="158"/>
      <c r="BF46" s="158"/>
      <c r="BG46" s="158"/>
      <c r="BH46" s="158"/>
      <c r="BI46" s="158"/>
      <c r="BJ46" s="158"/>
      <c r="BK46" s="158"/>
      <c r="BL46" s="158"/>
      <c r="BM46" s="158"/>
      <c r="BN46" s="158"/>
      <c r="BO46" s="158"/>
      <c r="BP46" s="158"/>
      <c r="BQ46" s="158"/>
      <c r="BR46" s="158"/>
      <c r="BS46" s="158"/>
      <c r="BT46" s="158"/>
      <c r="BU46" s="158"/>
    </row>
  </sheetData>
  <mergeCells count="18">
    <mergeCell ref="Z24:AC24"/>
    <mergeCell ref="Z25:AC25"/>
    <mergeCell ref="Z26:AC26"/>
    <mergeCell ref="T21:V21"/>
    <mergeCell ref="T22:V22"/>
    <mergeCell ref="T23:V23"/>
    <mergeCell ref="Z18:AC21"/>
    <mergeCell ref="U13:W13"/>
    <mergeCell ref="U14:W14"/>
    <mergeCell ref="U15:W15"/>
    <mergeCell ref="U16:W16"/>
    <mergeCell ref="U17:W17"/>
    <mergeCell ref="AJ17:AQ17"/>
    <mergeCell ref="AJ20:AQ20"/>
    <mergeCell ref="AK23:AQ23"/>
    <mergeCell ref="AU21:AY21"/>
    <mergeCell ref="Z17:AC17"/>
    <mergeCell ref="Z22:AC23"/>
  </mergeCells>
  <conditionalFormatting sqref="AR15">
    <cfRule type="cellIs" dxfId="3" priority="18" operator="lessThan">
      <formula>750</formula>
    </cfRule>
  </conditionalFormatting>
  <conditionalFormatting sqref="AD15">
    <cfRule type="cellIs" dxfId="2" priority="19" operator="equal">
      <formula>3600</formula>
    </cfRule>
    <cfRule type="cellIs" dxfId="1" priority="20" operator="equal">
      <formula>3000</formula>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iconSet" priority="21" id="{DAAE3E45-F09B-424C-AD1D-2D58308CD199}">
            <x14:iconSet showValue="0" custom="1">
              <x14:cfvo type="percent">
                <xm:f>0</xm:f>
              </x14:cfvo>
              <x14:cfvo type="num">
                <xm:f>1100</xm:f>
              </x14:cfvo>
              <x14:cfvo type="num" gte="0">
                <xm:f>315000</xm:f>
              </x14:cfvo>
              <x14:cfIcon iconSet="3TrafficLights2" iconId="0"/>
              <x14:cfIcon iconSet="3TrafficLights2" iconId="2"/>
              <x14:cfIcon iconSet="3TrafficLights2" iconId="0"/>
            </x14:iconSet>
          </x14:cfRule>
          <xm:sqref>AD17</xm:sqref>
        </x14:conditionalFormatting>
        <x14:conditionalFormatting xmlns:xm="http://schemas.microsoft.com/office/excel/2006/main">
          <x14:cfRule type="containsText" priority="22" operator="containsText" id="{30CE83EA-9888-4157-8C2D-B5981583C4E8}">
            <xm:f>NOT(ISERROR(SEARCH("отсутствует значение",AD24)))</xm:f>
            <xm:f>"отсутствует значение"</xm:f>
            <x14:dxf>
              <fill>
                <patternFill>
                  <bgColor rgb="FFFF0000"/>
                </patternFill>
              </fill>
            </x14:dxf>
          </x14:cfRule>
          <x14:cfRule type="iconSet" priority="23" id="{F394D35C-F17A-4A33-A9AC-E88978A49A5F}">
            <x14:iconSet showValue="0" custom="1">
              <x14:cfvo type="percent">
                <xm:f>0</xm:f>
              </x14:cfvo>
              <x14:cfvo type="num" gte="0">
                <xm:f>$AX$73</xm:f>
              </x14:cfvo>
              <x14:cfvo type="num" gte="0">
                <xm:f>0</xm:f>
              </x14:cfvo>
              <x14:cfIcon iconSet="3TrafficLights2" iconId="0"/>
              <x14:cfIcon iconSet="3TrafficLights2" iconId="2"/>
              <x14:cfIcon iconSet="3TrafficLights2" iconId="2"/>
            </x14:iconSet>
          </x14:cfRule>
          <xm:sqref>AD24</xm:sqref>
        </x14:conditionalFormatting>
        <x14:conditionalFormatting xmlns:xm="http://schemas.microsoft.com/office/excel/2006/main">
          <x14:cfRule type="iconSet" priority="24" id="{46F4CFC3-8D23-417F-AA6A-E01A3B8A74CB}">
            <x14:iconSet showValue="0" custom="1">
              <x14:cfvo type="percent">
                <xm:f>0</xm:f>
              </x14:cfvo>
              <x14:cfvo type="num" gte="0">
                <xm:f>$AX$73</xm:f>
              </x14:cfvo>
              <x14:cfvo type="num" gte="0">
                <xm:f>0</xm:f>
              </x14:cfvo>
              <x14:cfIcon iconSet="3TrafficLights2" iconId="0"/>
              <x14:cfIcon iconSet="3TrafficLights2" iconId="2"/>
              <x14:cfIcon iconSet="3TrafficLights2" iconId="2"/>
            </x14:iconSet>
          </x14:cfRule>
          <xm:sqref>AD25</xm:sqref>
        </x14:conditionalFormatting>
        <x14:conditionalFormatting xmlns:xm="http://schemas.microsoft.com/office/excel/2006/main">
          <x14:cfRule type="iconSet" priority="17" id="{E7B8CD97-D8E0-438F-8F15-76111CBB5B7E}">
            <x14:iconSet iconSet="3Triangles" custom="1">
              <x14:cfvo type="percent">
                <xm:f>0</xm:f>
              </x14:cfvo>
              <x14:cfvo type="percent">
                <xm:f>0</xm:f>
              </x14:cfvo>
              <x14:cfvo type="percent">
                <xm:f>0</xm:f>
              </x14:cfvo>
              <x14:cfIcon iconSet="3Arrows" iconId="0"/>
              <x14:cfIcon iconSet="3Arrows" iconId="0"/>
              <x14:cfIcon iconSet="3Arrows" iconId="0"/>
            </x14:iconSet>
          </x14:cfRule>
          <xm:sqref>AD20:AG20 AD18:AG18</xm:sqref>
        </x14:conditionalFormatting>
        <x14:conditionalFormatting xmlns:xm="http://schemas.microsoft.com/office/excel/2006/main">
          <x14:cfRule type="iconSet" priority="16" id="{33D27D8B-FF76-40A9-B50D-D3A102B602AC}">
            <x14:iconSet iconSet="3TrafficLights2" showValue="0" custom="1">
              <x14:cfvo type="percent">
                <xm:f>0</xm:f>
              </x14:cfvo>
              <x14:cfvo type="num">
                <xm:f>3600</xm:f>
              </x14:cfvo>
              <x14:cfvo type="num" gte="0">
                <xm:f>3600</xm:f>
              </x14:cfvo>
              <x14:cfIcon iconSet="3TrafficLights2" iconId="0"/>
              <x14:cfIcon iconSet="3TrafficLights2" iconId="2"/>
              <x14:cfIcon iconSet="3TrafficLights2" iconId="0"/>
            </x14:iconSet>
          </x14:cfRule>
          <xm:sqref>AD19</xm:sqref>
        </x14:conditionalFormatting>
        <x14:conditionalFormatting xmlns:xm="http://schemas.microsoft.com/office/excel/2006/main">
          <x14:cfRule type="iconSet" priority="15" id="{D1717DE6-9350-4AAD-A4F5-FB876C4E092E}">
            <x14:iconSet iconSet="3TrafficLights2" showValue="0" custom="1">
              <x14:cfvo type="percent">
                <xm:f>0</xm:f>
              </x14:cfvo>
              <x14:cfvo type="num">
                <xm:f>3000</xm:f>
              </x14:cfvo>
              <x14:cfvo type="num" gte="0">
                <xm:f>3000</xm:f>
              </x14:cfvo>
              <x14:cfIcon iconSet="3TrafficLights2" iconId="0"/>
              <x14:cfIcon iconSet="3TrafficLights2" iconId="2"/>
              <x14:cfIcon iconSet="3TrafficLights2" iconId="0"/>
            </x14:iconSet>
          </x14:cfRule>
          <xm:sqref>AE19</xm:sqref>
        </x14:conditionalFormatting>
        <x14:conditionalFormatting xmlns:xm="http://schemas.microsoft.com/office/excel/2006/main">
          <x14:cfRule type="iconSet" priority="14" id="{117CEF2E-2D83-45F0-BA38-A6E56ABF8EC5}">
            <x14:iconSet iconSet="3TrafficLights2" showValue="0" custom="1">
              <x14:cfvo type="percent">
                <xm:f>0</xm:f>
              </x14:cfvo>
              <x14:cfvo type="num">
                <xm:f>1800</xm:f>
              </x14:cfvo>
              <x14:cfvo type="num" gte="0">
                <xm:f>1800</xm:f>
              </x14:cfvo>
              <x14:cfIcon iconSet="3TrafficLights2" iconId="0"/>
              <x14:cfIcon iconSet="3TrafficLights2" iconId="2"/>
              <x14:cfIcon iconSet="3TrafficLights2" iconId="0"/>
            </x14:iconSet>
          </x14:cfRule>
          <xm:sqref>AF19</xm:sqref>
        </x14:conditionalFormatting>
        <x14:conditionalFormatting xmlns:xm="http://schemas.microsoft.com/office/excel/2006/main">
          <x14:cfRule type="iconSet" priority="13" id="{12A02AE3-1080-4E87-AFB4-026ADBDC6DD1}">
            <x14:iconSet iconSet="3TrafficLights2" showValue="0" custom="1">
              <x14:cfvo type="percent">
                <xm:f>0</xm:f>
              </x14:cfvo>
              <x14:cfvo type="num">
                <xm:f>1500</xm:f>
              </x14:cfvo>
              <x14:cfvo type="num" gte="0">
                <xm:f>1500</xm:f>
              </x14:cfvo>
              <x14:cfIcon iconSet="3TrafficLights2" iconId="0"/>
              <x14:cfIcon iconSet="3TrafficLights2" iconId="2"/>
              <x14:cfIcon iconSet="3TrafficLights2" iconId="0"/>
            </x14:iconSet>
          </x14:cfRule>
          <xm:sqref>AG19</xm:sqref>
        </x14:conditionalFormatting>
        <x14:conditionalFormatting xmlns:xm="http://schemas.microsoft.com/office/excel/2006/main">
          <x14:cfRule type="iconSet" priority="12" id="{7DA2C94A-F7F6-439F-8145-88582EBF6320}">
            <x14:iconSet iconSet="3TrafficLights2" showValue="0" custom="1">
              <x14:cfvo type="percent">
                <xm:f>0</xm:f>
              </x14:cfvo>
              <x14:cfvo type="num">
                <xm:f>1000</xm:f>
              </x14:cfvo>
              <x14:cfvo type="num" gte="0">
                <xm:f>1000</xm:f>
              </x14:cfvo>
              <x14:cfIcon iconSet="3TrafficLights2" iconId="0"/>
              <x14:cfIcon iconSet="3TrafficLights2" iconId="2"/>
              <x14:cfIcon iconSet="3TrafficLights2" iconId="0"/>
            </x14:iconSet>
          </x14:cfRule>
          <xm:sqref>AE21</xm:sqref>
        </x14:conditionalFormatting>
        <x14:conditionalFormatting xmlns:xm="http://schemas.microsoft.com/office/excel/2006/main">
          <x14:cfRule type="iconSet" priority="11" id="{56F1EA39-A2F0-4D0B-8627-30DD108A1369}">
            <x14:iconSet showValue="0" custom="1">
              <x14:cfvo type="percent">
                <xm:f>0</xm:f>
              </x14:cfvo>
              <x14:cfvo type="num">
                <xm:f>1200</xm:f>
              </x14:cfvo>
              <x14:cfvo type="num" gte="0">
                <xm:f>1200</xm:f>
              </x14:cfvo>
              <x14:cfIcon iconSet="3TrafficLights2" iconId="0"/>
              <x14:cfIcon iconSet="3TrafficLights2" iconId="2"/>
              <x14:cfIcon iconSet="3TrafficLights2" iconId="0"/>
            </x14:iconSet>
          </x14:cfRule>
          <xm:sqref>AD21</xm:sqref>
        </x14:conditionalFormatting>
        <x14:conditionalFormatting xmlns:xm="http://schemas.microsoft.com/office/excel/2006/main">
          <x14:cfRule type="iconSet" priority="10" id="{0154C8B2-DF29-4322-BB28-C037541D956A}">
            <x14:iconSet showValue="0" custom="1">
              <x14:cfvo type="percent">
                <xm:f>0</xm:f>
              </x14:cfvo>
              <x14:cfvo type="num">
                <xm:f>900</xm:f>
              </x14:cfvo>
              <x14:cfvo type="num" gte="0">
                <xm:f>900</xm:f>
              </x14:cfvo>
              <x14:cfIcon iconSet="3TrafficLights2" iconId="0"/>
              <x14:cfIcon iconSet="3TrafficLights2" iconId="2"/>
              <x14:cfIcon iconSet="3TrafficLights2" iconId="0"/>
            </x14:iconSet>
          </x14:cfRule>
          <xm:sqref>AF21</xm:sqref>
        </x14:conditionalFormatting>
        <x14:conditionalFormatting xmlns:xm="http://schemas.microsoft.com/office/excel/2006/main">
          <x14:cfRule type="iconSet" priority="9" id="{F7F1378A-03A7-44A2-9B5A-4BA77B53E998}">
            <x14:iconSet showValue="0" custom="1">
              <x14:cfvo type="percent">
                <xm:f>0</xm:f>
              </x14:cfvo>
              <x14:cfvo type="num">
                <xm:f>750</xm:f>
              </x14:cfvo>
              <x14:cfvo type="num" gte="0">
                <xm:f>750</xm:f>
              </x14:cfvo>
              <x14:cfIcon iconSet="3TrafficLights2" iconId="0"/>
              <x14:cfIcon iconSet="3TrafficLights2" iconId="2"/>
              <x14:cfIcon iconSet="3TrafficLights2" iconId="0"/>
            </x14:iconSet>
          </x14:cfRule>
          <xm:sqref>AG21</xm:sqref>
        </x14:conditionalFormatting>
        <x14:conditionalFormatting xmlns:xm="http://schemas.microsoft.com/office/excel/2006/main">
          <x14:cfRule type="iconSet" priority="8" id="{BBF310EB-AA81-4EA8-9D16-374F6C17FFE6}">
            <x14:iconSet iconSet="3Triangles" custom="1">
              <x14:cfvo type="percent">
                <xm:f>0</xm:f>
              </x14:cfvo>
              <x14:cfvo type="percent">
                <xm:f>0</xm:f>
              </x14:cfvo>
              <x14:cfvo type="percent">
                <xm:f>0</xm:f>
              </x14:cfvo>
              <x14:cfIcon iconSet="3Arrows" iconId="0"/>
              <x14:cfIcon iconSet="3Arrows" iconId="0"/>
              <x14:cfIcon iconSet="3Arrows" iconId="0"/>
            </x14:iconSet>
          </x14:cfRule>
          <xm:sqref>AD22:AI22</xm:sqref>
        </x14:conditionalFormatting>
        <x14:conditionalFormatting xmlns:xm="http://schemas.microsoft.com/office/excel/2006/main">
          <x14:cfRule type="iconSet" priority="7" id="{3915DF89-DCEF-4FB1-96CE-1B4C3A1B8970}">
            <x14:iconSet iconSet="3TrafficLights2" showValue="0" custom="1">
              <x14:cfvo type="percent">
                <xm:f>0</xm:f>
              </x14:cfvo>
              <x14:cfvo type="num">
                <xm:f>12</xm:f>
              </x14:cfvo>
              <x14:cfvo type="num" gte="0">
                <xm:f>12</xm:f>
              </x14:cfvo>
              <x14:cfIcon iconSet="3TrafficLights2" iconId="0"/>
              <x14:cfIcon iconSet="3TrafficLights2" iconId="2"/>
              <x14:cfIcon iconSet="3TrafficLights2" iconId="0"/>
            </x14:iconSet>
          </x14:cfRule>
          <xm:sqref>AI23</xm:sqref>
        </x14:conditionalFormatting>
        <x14:conditionalFormatting xmlns:xm="http://schemas.microsoft.com/office/excel/2006/main">
          <x14:cfRule type="iconSet" priority="1" id="{C9AC49EC-2938-41F8-B71F-7E3E680EBF32}">
            <x14:iconSet iconSet="3TrafficLights2" showValue="0" custom="1">
              <x14:cfvo type="percent">
                <xm:f>0</xm:f>
              </x14:cfvo>
              <x14:cfvo type="num">
                <xm:f>2</xm:f>
              </x14:cfvo>
              <x14:cfvo type="num" gte="0">
                <xm:f>2</xm:f>
              </x14:cfvo>
              <x14:cfIcon iconSet="3TrafficLights2" iconId="0"/>
              <x14:cfIcon iconSet="3TrafficLights2" iconId="2"/>
              <x14:cfIcon iconSet="3TrafficLights2" iconId="0"/>
            </x14:iconSet>
          </x14:cfRule>
          <x14:cfRule type="iconSet" priority="6" id="{943BF407-BA7B-4E5B-8B79-7F5ECAD496D3}">
            <x14:iconSet custom="1">
              <x14:cfvo type="percent">
                <xm:f>0</xm:f>
              </x14:cfvo>
              <x14:cfvo type="formula">
                <xm:f>"Введна недопутимая частота вращения или частота тока"</xm:f>
              </x14:cfvo>
              <x14:cfvo type="formula">
                <xm:f>"Введна недопутимая частота вращения или частота тока"</xm:f>
              </x14:cfvo>
              <x14:cfIcon iconSet="3TrafficLights2" iconId="0"/>
              <x14:cfIcon iconSet="3TrafficLights2" iconId="0"/>
              <x14:cfIcon iconSet="3TrafficLights2" iconId="0"/>
            </x14:iconSet>
          </x14:cfRule>
          <xm:sqref>AD23</xm:sqref>
        </x14:conditionalFormatting>
        <x14:conditionalFormatting xmlns:xm="http://schemas.microsoft.com/office/excel/2006/main">
          <x14:cfRule type="iconSet" priority="5" id="{BE36170F-4AC0-4C01-9DFB-F64FACADB7D9}">
            <x14:iconSet iconSet="3TrafficLights2" showValue="0" custom="1">
              <x14:cfvo type="percent">
                <xm:f>0</xm:f>
              </x14:cfvo>
              <x14:cfvo type="num">
                <xm:f>4</xm:f>
              </x14:cfvo>
              <x14:cfvo type="num" gte="0">
                <xm:f>4</xm:f>
              </x14:cfvo>
              <x14:cfIcon iconSet="3TrafficLights2" iconId="0"/>
              <x14:cfIcon iconSet="3TrafficLights2" iconId="2"/>
              <x14:cfIcon iconSet="3TrafficLights2" iconId="0"/>
            </x14:iconSet>
          </x14:cfRule>
          <xm:sqref>AE23</xm:sqref>
        </x14:conditionalFormatting>
        <x14:conditionalFormatting xmlns:xm="http://schemas.microsoft.com/office/excel/2006/main">
          <x14:cfRule type="iconSet" priority="4" id="{4271703B-ACB9-4217-BB71-4470C326972F}">
            <x14:iconSet iconSet="3TrafficLights2" showValue="0" custom="1">
              <x14:cfvo type="percent">
                <xm:f>0</xm:f>
              </x14:cfvo>
              <x14:cfvo type="num">
                <xm:f>10</xm:f>
              </x14:cfvo>
              <x14:cfvo type="num" gte="0">
                <xm:f>10</xm:f>
              </x14:cfvo>
              <x14:cfIcon iconSet="3TrafficLights2" iconId="0"/>
              <x14:cfIcon iconSet="3TrafficLights2" iconId="2"/>
              <x14:cfIcon iconSet="3TrafficLights2" iconId="0"/>
            </x14:iconSet>
          </x14:cfRule>
          <xm:sqref>AH23</xm:sqref>
        </x14:conditionalFormatting>
        <x14:conditionalFormatting xmlns:xm="http://schemas.microsoft.com/office/excel/2006/main">
          <x14:cfRule type="iconSet" priority="3" id="{D65ECFA1-FC96-48FB-9237-CB24C251A41E}">
            <x14:iconSet iconSet="3TrafficLights2" showValue="0" custom="1">
              <x14:cfvo type="percent">
                <xm:f>0</xm:f>
              </x14:cfvo>
              <x14:cfvo type="num">
                <xm:f>8</xm:f>
              </x14:cfvo>
              <x14:cfvo type="num" gte="0">
                <xm:f>8</xm:f>
              </x14:cfvo>
              <x14:cfIcon iconSet="3TrafficLights2" iconId="0"/>
              <x14:cfIcon iconSet="3TrafficLights2" iconId="2"/>
              <x14:cfIcon iconSet="3TrafficLights2" iconId="0"/>
            </x14:iconSet>
          </x14:cfRule>
          <xm:sqref>AG23</xm:sqref>
        </x14:conditionalFormatting>
        <x14:conditionalFormatting xmlns:xm="http://schemas.microsoft.com/office/excel/2006/main">
          <x14:cfRule type="iconSet" priority="2" id="{27BF7093-2CC4-4AD7-BA26-E3D278E0D1CD}">
            <x14:iconSet iconSet="3TrafficLights2" showValue="0" custom="1">
              <x14:cfvo type="percent">
                <xm:f>0</xm:f>
              </x14:cfvo>
              <x14:cfvo type="num">
                <xm:f>6</xm:f>
              </x14:cfvo>
              <x14:cfvo type="num" gte="0">
                <xm:f>6</xm:f>
              </x14:cfvo>
              <x14:cfIcon iconSet="3TrafficLights2" iconId="0"/>
              <x14:cfIcon iconSet="3TrafficLights2" iconId="2"/>
              <x14:cfIcon iconSet="3TrafficLights2" iconId="0"/>
            </x14:iconSet>
          </x14:cfRule>
          <xm:sqref>AF23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N38" sqref="N38"/>
    </sheetView>
  </sheetViews>
  <sheetFormatPr defaultRowHeight="15"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G12:CV208"/>
  <sheetViews>
    <sheetView zoomScale="25" zoomScaleNormal="25" workbookViewId="0">
      <selection activeCell="CI95" sqref="CI95:CV130"/>
    </sheetView>
  </sheetViews>
  <sheetFormatPr defaultRowHeight="24" customHeight="1" x14ac:dyDescent="0.25"/>
  <sheetData>
    <row r="12" spans="30:41" ht="24" customHeight="1" x14ac:dyDescent="0.25">
      <c r="AD12" s="877"/>
      <c r="AE12" s="877"/>
      <c r="AF12" s="877"/>
      <c r="AG12" s="877"/>
      <c r="AH12" s="877"/>
      <c r="AI12" s="877"/>
      <c r="AJ12" s="877"/>
      <c r="AK12" s="877"/>
      <c r="AL12" s="877"/>
      <c r="AM12" s="877"/>
      <c r="AN12" s="877"/>
      <c r="AO12" s="877"/>
    </row>
    <row r="13" spans="30:41" ht="24" customHeight="1" x14ac:dyDescent="0.25">
      <c r="AD13" s="877"/>
      <c r="AE13" s="877"/>
      <c r="AF13" s="877"/>
      <c r="AG13" s="877"/>
      <c r="AH13" s="877"/>
      <c r="AI13" s="877"/>
      <c r="AJ13" s="877"/>
      <c r="AK13" s="877"/>
      <c r="AL13" s="877"/>
      <c r="AM13" s="877"/>
      <c r="AN13" s="877"/>
      <c r="AO13" s="877"/>
    </row>
    <row r="17" spans="10:100" ht="24" customHeight="1" x14ac:dyDescent="0.25">
      <c r="J17" s="142"/>
      <c r="K17" s="142"/>
      <c r="L17" s="142"/>
      <c r="M17" s="142"/>
      <c r="N17" s="142"/>
      <c r="O17" s="142"/>
      <c r="P17" s="142"/>
      <c r="Q17" s="142"/>
      <c r="R17" s="142"/>
      <c r="S17" s="142"/>
      <c r="T17" s="142"/>
      <c r="U17" s="142"/>
      <c r="V17" s="142"/>
      <c r="W17" s="142"/>
    </row>
    <row r="18" spans="10:100" ht="24" customHeight="1" x14ac:dyDescent="0.25">
      <c r="J18" s="895"/>
      <c r="K18" s="895"/>
      <c r="L18" s="895"/>
      <c r="M18" s="895"/>
      <c r="N18" s="895"/>
      <c r="O18" s="895"/>
      <c r="P18" s="895"/>
      <c r="Q18" s="895"/>
      <c r="R18" s="895"/>
      <c r="S18" s="895"/>
      <c r="T18" s="895"/>
      <c r="U18" s="895"/>
      <c r="V18" s="895"/>
      <c r="W18" s="399"/>
      <c r="AC18" s="886"/>
      <c r="AD18" s="889"/>
      <c r="AE18" s="890"/>
      <c r="AF18" s="890"/>
      <c r="AG18" s="890"/>
      <c r="AH18" s="890"/>
      <c r="AI18" s="890"/>
      <c r="AJ18" s="890"/>
      <c r="AK18" s="890"/>
      <c r="AL18" s="890"/>
      <c r="AM18" s="890"/>
      <c r="AN18" s="890"/>
      <c r="AO18" s="891"/>
      <c r="AP18" s="356"/>
      <c r="AV18" s="886"/>
      <c r="AW18" s="798"/>
      <c r="AX18" s="774"/>
      <c r="AY18" s="774"/>
      <c r="AZ18" s="774"/>
      <c r="BA18" s="774"/>
      <c r="BB18" s="774"/>
      <c r="BC18" s="774"/>
      <c r="BD18" s="774"/>
      <c r="BE18" s="774"/>
      <c r="BF18" s="774"/>
      <c r="BG18" s="774"/>
      <c r="BH18" s="775"/>
      <c r="BI18" s="356"/>
      <c r="BO18" s="886"/>
      <c r="BP18" s="798"/>
      <c r="BQ18" s="774"/>
      <c r="BR18" s="774"/>
      <c r="BS18" s="774"/>
      <c r="BT18" s="774"/>
      <c r="BU18" s="774"/>
      <c r="BV18" s="774"/>
      <c r="BW18" s="774"/>
      <c r="BX18" s="774"/>
      <c r="BY18" s="774"/>
      <c r="BZ18" s="774"/>
      <c r="CA18" s="775"/>
      <c r="CB18" s="356"/>
      <c r="CI18" s="886"/>
      <c r="CJ18" s="798"/>
      <c r="CK18" s="774"/>
      <c r="CL18" s="774"/>
      <c r="CM18" s="774"/>
      <c r="CN18" s="774"/>
      <c r="CO18" s="774"/>
      <c r="CP18" s="774"/>
      <c r="CQ18" s="774"/>
      <c r="CR18" s="774"/>
      <c r="CS18" s="774"/>
      <c r="CT18" s="774"/>
      <c r="CU18" s="775"/>
      <c r="CV18" s="356"/>
    </row>
    <row r="19" spans="10:100" ht="24" customHeight="1" thickBot="1" x14ac:dyDescent="0.3">
      <c r="J19" s="895"/>
      <c r="K19" s="895"/>
      <c r="L19" s="895"/>
      <c r="M19" s="895"/>
      <c r="N19" s="895"/>
      <c r="O19" s="895"/>
      <c r="P19" s="895"/>
      <c r="Q19" s="895"/>
      <c r="R19" s="895"/>
      <c r="S19" s="895"/>
      <c r="T19" s="895"/>
      <c r="U19" s="895"/>
      <c r="V19" s="895"/>
      <c r="W19" s="399"/>
      <c r="AC19" s="888"/>
      <c r="AD19" s="892"/>
      <c r="AE19" s="893"/>
      <c r="AF19" s="893"/>
      <c r="AG19" s="893"/>
      <c r="AH19" s="893"/>
      <c r="AI19" s="893"/>
      <c r="AJ19" s="893"/>
      <c r="AK19" s="893"/>
      <c r="AL19" s="893"/>
      <c r="AM19" s="893"/>
      <c r="AN19" s="893"/>
      <c r="AO19" s="894"/>
      <c r="AP19" s="358"/>
      <c r="AV19" s="888"/>
      <c r="AW19" s="776"/>
      <c r="AX19" s="777"/>
      <c r="AY19" s="777"/>
      <c r="AZ19" s="777"/>
      <c r="BA19" s="777"/>
      <c r="BB19" s="777"/>
      <c r="BC19" s="777"/>
      <c r="BD19" s="777"/>
      <c r="BE19" s="777"/>
      <c r="BF19" s="777"/>
      <c r="BG19" s="777"/>
      <c r="BH19" s="778"/>
      <c r="BI19" s="358"/>
      <c r="BO19" s="888"/>
      <c r="BP19" s="776"/>
      <c r="BQ19" s="777"/>
      <c r="BR19" s="777"/>
      <c r="BS19" s="777"/>
      <c r="BT19" s="777"/>
      <c r="BU19" s="777"/>
      <c r="BV19" s="777"/>
      <c r="BW19" s="777"/>
      <c r="BX19" s="777"/>
      <c r="BY19" s="777"/>
      <c r="BZ19" s="777"/>
      <c r="CA19" s="778"/>
      <c r="CB19" s="358"/>
      <c r="CI19" s="888"/>
      <c r="CJ19" s="776"/>
      <c r="CK19" s="777"/>
      <c r="CL19" s="777"/>
      <c r="CM19" s="777"/>
      <c r="CN19" s="777"/>
      <c r="CO19" s="777"/>
      <c r="CP19" s="777"/>
      <c r="CQ19" s="777"/>
      <c r="CR19" s="777"/>
      <c r="CS19" s="777"/>
      <c r="CT19" s="777"/>
      <c r="CU19" s="778"/>
      <c r="CV19" s="358"/>
    </row>
    <row r="20" spans="10:100" ht="24" customHeight="1" x14ac:dyDescent="0.25">
      <c r="J20" s="319"/>
      <c r="K20" s="745" t="s">
        <v>1082</v>
      </c>
      <c r="L20" s="746"/>
      <c r="M20" s="746"/>
      <c r="N20" s="746"/>
      <c r="O20" s="746"/>
      <c r="P20" s="746"/>
      <c r="Q20" s="746"/>
      <c r="R20" s="746"/>
      <c r="S20" s="746"/>
      <c r="T20" s="746"/>
      <c r="U20" s="746"/>
      <c r="V20" s="747"/>
      <c r="W20" s="883" t="s">
        <v>628</v>
      </c>
      <c r="Y20" s="143"/>
      <c r="Z20" s="143"/>
      <c r="AA20" s="143"/>
      <c r="AB20" s="143"/>
      <c r="AC20" s="319"/>
      <c r="AD20" s="707" t="s">
        <v>1081</v>
      </c>
      <c r="AE20" s="708"/>
      <c r="AF20" s="708"/>
      <c r="AG20" s="708"/>
      <c r="AH20" s="708"/>
      <c r="AI20" s="708"/>
      <c r="AJ20" s="708"/>
      <c r="AK20" s="708"/>
      <c r="AL20" s="708"/>
      <c r="AM20" s="708"/>
      <c r="AN20" s="708"/>
      <c r="AO20" s="719"/>
      <c r="AP20" s="882" t="s">
        <v>628</v>
      </c>
      <c r="AV20" s="319"/>
      <c r="AW20" s="873"/>
      <c r="AX20" s="874"/>
      <c r="AY20" s="874"/>
      <c r="AZ20" s="874"/>
      <c r="BA20" s="874"/>
      <c r="BB20" s="874"/>
      <c r="BC20" s="874"/>
      <c r="BD20" s="874"/>
      <c r="BE20" s="874"/>
      <c r="BF20" s="874"/>
      <c r="BG20" s="874"/>
      <c r="BH20" s="875"/>
      <c r="BI20" s="882"/>
      <c r="BO20" s="319"/>
      <c r="BP20" s="873"/>
      <c r="BQ20" s="874"/>
      <c r="BR20" s="874"/>
      <c r="BS20" s="874"/>
      <c r="BT20" s="874"/>
      <c r="BU20" s="874"/>
      <c r="BV20" s="874"/>
      <c r="BW20" s="874"/>
      <c r="BX20" s="874"/>
      <c r="BY20" s="874"/>
      <c r="BZ20" s="874"/>
      <c r="CA20" s="875"/>
      <c r="CB20" s="882"/>
      <c r="CI20" s="319"/>
      <c r="CJ20" s="873"/>
      <c r="CK20" s="874"/>
      <c r="CL20" s="874"/>
      <c r="CM20" s="874"/>
      <c r="CN20" s="874"/>
      <c r="CO20" s="874"/>
      <c r="CP20" s="874"/>
      <c r="CQ20" s="874"/>
      <c r="CR20" s="874"/>
      <c r="CS20" s="874"/>
      <c r="CT20" s="874"/>
      <c r="CU20" s="875"/>
      <c r="CV20" s="882" t="s">
        <v>628</v>
      </c>
    </row>
    <row r="21" spans="10:100" ht="24" customHeight="1" x14ac:dyDescent="0.25">
      <c r="J21" s="319"/>
      <c r="K21" s="745"/>
      <c r="L21" s="746"/>
      <c r="M21" s="746"/>
      <c r="N21" s="746"/>
      <c r="O21" s="746"/>
      <c r="P21" s="746"/>
      <c r="Q21" s="746"/>
      <c r="R21" s="746"/>
      <c r="S21" s="746"/>
      <c r="T21" s="746"/>
      <c r="U21" s="746"/>
      <c r="V21" s="747"/>
      <c r="W21" s="883"/>
      <c r="Y21" s="143"/>
      <c r="Z21" s="143"/>
      <c r="AA21" s="143"/>
      <c r="AB21" s="143"/>
      <c r="AC21" s="319"/>
      <c r="AD21" s="720"/>
      <c r="AE21" s="721"/>
      <c r="AF21" s="721"/>
      <c r="AG21" s="721"/>
      <c r="AH21" s="721"/>
      <c r="AI21" s="721"/>
      <c r="AJ21" s="721"/>
      <c r="AK21" s="721"/>
      <c r="AL21" s="721"/>
      <c r="AM21" s="721"/>
      <c r="AN21" s="721"/>
      <c r="AO21" s="722"/>
      <c r="AP21" s="883"/>
      <c r="AV21" s="319"/>
      <c r="AW21" s="876"/>
      <c r="AX21" s="877"/>
      <c r="AY21" s="877"/>
      <c r="AZ21" s="877"/>
      <c r="BA21" s="877"/>
      <c r="BB21" s="877"/>
      <c r="BC21" s="877"/>
      <c r="BD21" s="877"/>
      <c r="BE21" s="877"/>
      <c r="BF21" s="877"/>
      <c r="BG21" s="877"/>
      <c r="BH21" s="878"/>
      <c r="BI21" s="883"/>
      <c r="BO21" s="319"/>
      <c r="BP21" s="876"/>
      <c r="BQ21" s="877"/>
      <c r="BR21" s="877"/>
      <c r="BS21" s="877"/>
      <c r="BT21" s="877"/>
      <c r="BU21" s="877"/>
      <c r="BV21" s="877"/>
      <c r="BW21" s="877"/>
      <c r="BX21" s="877"/>
      <c r="BY21" s="877"/>
      <c r="BZ21" s="877"/>
      <c r="CA21" s="878"/>
      <c r="CB21" s="883"/>
      <c r="CI21" s="319"/>
      <c r="CJ21" s="876"/>
      <c r="CK21" s="877"/>
      <c r="CL21" s="877"/>
      <c r="CM21" s="877"/>
      <c r="CN21" s="877"/>
      <c r="CO21" s="877"/>
      <c r="CP21" s="877"/>
      <c r="CQ21" s="877"/>
      <c r="CR21" s="877"/>
      <c r="CS21" s="877"/>
      <c r="CT21" s="877"/>
      <c r="CU21" s="878"/>
      <c r="CV21" s="883"/>
    </row>
    <row r="22" spans="10:100" ht="24" customHeight="1" x14ac:dyDescent="0.25">
      <c r="J22" s="319"/>
      <c r="K22" s="745"/>
      <c r="L22" s="746"/>
      <c r="M22" s="746"/>
      <c r="N22" s="746"/>
      <c r="O22" s="746"/>
      <c r="P22" s="746"/>
      <c r="Q22" s="746"/>
      <c r="R22" s="746"/>
      <c r="S22" s="746"/>
      <c r="T22" s="746"/>
      <c r="U22" s="746"/>
      <c r="V22" s="747"/>
      <c r="W22" s="884"/>
      <c r="Y22" s="143"/>
      <c r="Z22" s="143"/>
      <c r="AA22" s="143"/>
      <c r="AB22" s="143"/>
      <c r="AC22" s="319"/>
      <c r="AD22" s="709"/>
      <c r="AE22" s="710"/>
      <c r="AF22" s="710"/>
      <c r="AG22" s="710"/>
      <c r="AH22" s="710"/>
      <c r="AI22" s="710"/>
      <c r="AJ22" s="710"/>
      <c r="AK22" s="710"/>
      <c r="AL22" s="710"/>
      <c r="AM22" s="710"/>
      <c r="AN22" s="710"/>
      <c r="AO22" s="724"/>
      <c r="AP22" s="884"/>
      <c r="AV22" s="319"/>
      <c r="AW22" s="876"/>
      <c r="AX22" s="877"/>
      <c r="AY22" s="877"/>
      <c r="AZ22" s="877"/>
      <c r="BA22" s="877"/>
      <c r="BB22" s="877"/>
      <c r="BC22" s="877"/>
      <c r="BD22" s="877"/>
      <c r="BE22" s="877"/>
      <c r="BF22" s="877"/>
      <c r="BG22" s="877"/>
      <c r="BH22" s="878"/>
      <c r="BI22" s="884"/>
      <c r="BO22" s="319"/>
      <c r="BP22" s="876"/>
      <c r="BQ22" s="877"/>
      <c r="BR22" s="877"/>
      <c r="BS22" s="877"/>
      <c r="BT22" s="877"/>
      <c r="BU22" s="877"/>
      <c r="BV22" s="877"/>
      <c r="BW22" s="877"/>
      <c r="BX22" s="877"/>
      <c r="BY22" s="877"/>
      <c r="BZ22" s="877"/>
      <c r="CA22" s="878"/>
      <c r="CB22" s="884"/>
      <c r="CI22" s="319"/>
      <c r="CJ22" s="876"/>
      <c r="CK22" s="877"/>
      <c r="CL22" s="877"/>
      <c r="CM22" s="877"/>
      <c r="CN22" s="877"/>
      <c r="CO22" s="877"/>
      <c r="CP22" s="877"/>
      <c r="CQ22" s="877"/>
      <c r="CR22" s="877"/>
      <c r="CS22" s="877"/>
      <c r="CT22" s="877"/>
      <c r="CU22" s="878"/>
      <c r="CV22" s="884"/>
    </row>
    <row r="23" spans="10:100" ht="24" customHeight="1" x14ac:dyDescent="0.25">
      <c r="J23" s="319"/>
      <c r="K23" s="745"/>
      <c r="L23" s="746"/>
      <c r="M23" s="746"/>
      <c r="N23" s="746"/>
      <c r="O23" s="746"/>
      <c r="P23" s="746"/>
      <c r="Q23" s="746"/>
      <c r="R23" s="746"/>
      <c r="S23" s="746"/>
      <c r="T23" s="746"/>
      <c r="U23" s="746"/>
      <c r="V23" s="747"/>
      <c r="W23" s="885"/>
      <c r="Y23" s="143"/>
      <c r="Z23" s="143"/>
      <c r="AA23" s="143"/>
      <c r="AB23" s="143"/>
      <c r="AC23" s="319"/>
      <c r="AD23" s="324"/>
      <c r="AE23" s="325"/>
      <c r="AF23" s="325"/>
      <c r="AG23" s="325"/>
      <c r="AH23" s="325"/>
      <c r="AI23" s="325"/>
      <c r="AJ23" s="325"/>
      <c r="AK23" s="325"/>
      <c r="AL23" s="325"/>
      <c r="AM23" s="325"/>
      <c r="AN23" s="325"/>
      <c r="AO23" s="326"/>
      <c r="AP23" s="885"/>
      <c r="AV23" s="319"/>
      <c r="AW23" s="876"/>
      <c r="AX23" s="877"/>
      <c r="AY23" s="877"/>
      <c r="AZ23" s="877"/>
      <c r="BA23" s="877"/>
      <c r="BB23" s="877"/>
      <c r="BC23" s="877"/>
      <c r="BD23" s="877"/>
      <c r="BE23" s="877"/>
      <c r="BF23" s="877"/>
      <c r="BG23" s="877"/>
      <c r="BH23" s="878"/>
      <c r="BI23" s="885"/>
      <c r="BO23" s="319"/>
      <c r="BP23" s="876"/>
      <c r="BQ23" s="877"/>
      <c r="BR23" s="877"/>
      <c r="BS23" s="877"/>
      <c r="BT23" s="877"/>
      <c r="BU23" s="877"/>
      <c r="BV23" s="877"/>
      <c r="BW23" s="877"/>
      <c r="BX23" s="877"/>
      <c r="BY23" s="877"/>
      <c r="BZ23" s="877"/>
      <c r="CA23" s="878"/>
      <c r="CB23" s="885"/>
      <c r="CI23" s="319"/>
      <c r="CJ23" s="876"/>
      <c r="CK23" s="877"/>
      <c r="CL23" s="877"/>
      <c r="CM23" s="877"/>
      <c r="CN23" s="877"/>
      <c r="CO23" s="877"/>
      <c r="CP23" s="877"/>
      <c r="CQ23" s="877"/>
      <c r="CR23" s="877"/>
      <c r="CS23" s="877"/>
      <c r="CT23" s="877"/>
      <c r="CU23" s="878"/>
      <c r="CV23" s="885"/>
    </row>
    <row r="24" spans="10:100" ht="24" customHeight="1" x14ac:dyDescent="0.25">
      <c r="J24" s="319"/>
      <c r="K24" s="745"/>
      <c r="L24" s="746"/>
      <c r="M24" s="746"/>
      <c r="N24" s="746"/>
      <c r="O24" s="746"/>
      <c r="P24" s="746"/>
      <c r="Q24" s="746"/>
      <c r="R24" s="746"/>
      <c r="S24" s="746"/>
      <c r="T24" s="746"/>
      <c r="U24" s="746"/>
      <c r="V24" s="747"/>
      <c r="W24" s="885"/>
      <c r="Y24" s="143"/>
      <c r="Z24" s="143"/>
      <c r="AA24" s="143"/>
      <c r="AB24" s="143"/>
      <c r="AC24" s="319"/>
      <c r="AD24" s="327"/>
      <c r="AE24" s="328"/>
      <c r="AF24" s="328"/>
      <c r="AG24" s="328"/>
      <c r="AH24" s="328"/>
      <c r="AI24" s="328"/>
      <c r="AJ24" s="328"/>
      <c r="AK24" s="328"/>
      <c r="AL24" s="328"/>
      <c r="AM24" s="328"/>
      <c r="AN24" s="328"/>
      <c r="AO24" s="329"/>
      <c r="AP24" s="885"/>
      <c r="AV24" s="319"/>
      <c r="AW24" s="876"/>
      <c r="AX24" s="877"/>
      <c r="AY24" s="877"/>
      <c r="AZ24" s="877"/>
      <c r="BA24" s="877"/>
      <c r="BB24" s="877"/>
      <c r="BC24" s="877"/>
      <c r="BD24" s="877"/>
      <c r="BE24" s="877"/>
      <c r="BF24" s="877"/>
      <c r="BG24" s="877"/>
      <c r="BH24" s="878"/>
      <c r="BI24" s="885"/>
      <c r="BO24" s="319"/>
      <c r="BP24" s="876"/>
      <c r="BQ24" s="877"/>
      <c r="BR24" s="877"/>
      <c r="BS24" s="877"/>
      <c r="BT24" s="877"/>
      <c r="BU24" s="877"/>
      <c r="BV24" s="877"/>
      <c r="BW24" s="877"/>
      <c r="BX24" s="877"/>
      <c r="BY24" s="877"/>
      <c r="BZ24" s="877"/>
      <c r="CA24" s="878"/>
      <c r="CB24" s="885"/>
      <c r="CI24" s="319"/>
      <c r="CJ24" s="876"/>
      <c r="CK24" s="877"/>
      <c r="CL24" s="877"/>
      <c r="CM24" s="877"/>
      <c r="CN24" s="877"/>
      <c r="CO24" s="877"/>
      <c r="CP24" s="877"/>
      <c r="CQ24" s="877"/>
      <c r="CR24" s="877"/>
      <c r="CS24" s="877"/>
      <c r="CT24" s="877"/>
      <c r="CU24" s="878"/>
      <c r="CV24" s="885"/>
    </row>
    <row r="25" spans="10:100" ht="24" customHeight="1" x14ac:dyDescent="0.25">
      <c r="J25" s="319"/>
      <c r="K25" s="745"/>
      <c r="L25" s="746"/>
      <c r="M25" s="746"/>
      <c r="N25" s="746"/>
      <c r="O25" s="746"/>
      <c r="P25" s="746"/>
      <c r="Q25" s="746"/>
      <c r="R25" s="746"/>
      <c r="S25" s="746"/>
      <c r="T25" s="746"/>
      <c r="U25" s="746"/>
      <c r="V25" s="747"/>
      <c r="W25" s="885"/>
      <c r="Y25" s="143"/>
      <c r="Z25" s="143"/>
      <c r="AA25" s="143"/>
      <c r="AB25" s="143"/>
      <c r="AC25" s="319"/>
      <c r="AD25" s="876"/>
      <c r="AE25" s="877"/>
      <c r="AF25" s="877"/>
      <c r="AG25" s="877"/>
      <c r="AH25" s="877"/>
      <c r="AI25" s="877"/>
      <c r="AJ25" s="877"/>
      <c r="AK25" s="877"/>
      <c r="AL25" s="877"/>
      <c r="AM25" s="877"/>
      <c r="AN25" s="877"/>
      <c r="AO25" s="878"/>
      <c r="AP25" s="885"/>
      <c r="AV25" s="319"/>
      <c r="AW25" s="876"/>
      <c r="AX25" s="877"/>
      <c r="AY25" s="877"/>
      <c r="AZ25" s="877"/>
      <c r="BA25" s="877"/>
      <c r="BB25" s="877"/>
      <c r="BC25" s="877"/>
      <c r="BD25" s="877"/>
      <c r="BE25" s="877"/>
      <c r="BF25" s="877"/>
      <c r="BG25" s="877"/>
      <c r="BH25" s="878"/>
      <c r="BI25" s="885"/>
      <c r="BO25" s="319"/>
      <c r="BP25" s="876"/>
      <c r="BQ25" s="877"/>
      <c r="BR25" s="877"/>
      <c r="BS25" s="877"/>
      <c r="BT25" s="877"/>
      <c r="BU25" s="877"/>
      <c r="BV25" s="877"/>
      <c r="BW25" s="877"/>
      <c r="BX25" s="877"/>
      <c r="BY25" s="877"/>
      <c r="BZ25" s="877"/>
      <c r="CA25" s="878"/>
      <c r="CB25" s="885"/>
      <c r="CI25" s="319"/>
      <c r="CJ25" s="876"/>
      <c r="CK25" s="877"/>
      <c r="CL25" s="877"/>
      <c r="CM25" s="877"/>
      <c r="CN25" s="877"/>
      <c r="CO25" s="877"/>
      <c r="CP25" s="877"/>
      <c r="CQ25" s="877"/>
      <c r="CR25" s="877"/>
      <c r="CS25" s="877"/>
      <c r="CT25" s="877"/>
      <c r="CU25" s="878"/>
      <c r="CV25" s="885"/>
    </row>
    <row r="26" spans="10:100" ht="24" customHeight="1" x14ac:dyDescent="0.25">
      <c r="J26" s="319"/>
      <c r="K26" s="745"/>
      <c r="L26" s="746"/>
      <c r="M26" s="746"/>
      <c r="N26" s="746"/>
      <c r="O26" s="746"/>
      <c r="P26" s="746"/>
      <c r="Q26" s="746"/>
      <c r="R26" s="746"/>
      <c r="S26" s="746"/>
      <c r="T26" s="746"/>
      <c r="U26" s="746"/>
      <c r="V26" s="747"/>
      <c r="W26" s="885"/>
      <c r="Y26" s="143"/>
      <c r="Z26" s="143"/>
      <c r="AA26" s="143"/>
      <c r="AB26" s="143"/>
      <c r="AC26" s="319"/>
      <c r="AD26" s="876"/>
      <c r="AE26" s="877"/>
      <c r="AF26" s="877"/>
      <c r="AG26" s="877"/>
      <c r="AH26" s="877"/>
      <c r="AI26" s="877"/>
      <c r="AJ26" s="877"/>
      <c r="AK26" s="877"/>
      <c r="AL26" s="877"/>
      <c r="AM26" s="877"/>
      <c r="AN26" s="877"/>
      <c r="AO26" s="878"/>
      <c r="AP26" s="885"/>
      <c r="AV26" s="319"/>
      <c r="AW26" s="876"/>
      <c r="AX26" s="877"/>
      <c r="AY26" s="877"/>
      <c r="AZ26" s="877"/>
      <c r="BA26" s="877"/>
      <c r="BB26" s="877"/>
      <c r="BC26" s="877"/>
      <c r="BD26" s="877"/>
      <c r="BE26" s="877"/>
      <c r="BF26" s="877"/>
      <c r="BG26" s="877"/>
      <c r="BH26" s="878"/>
      <c r="BI26" s="885"/>
      <c r="BO26" s="319"/>
      <c r="BP26" s="876"/>
      <c r="BQ26" s="877"/>
      <c r="BR26" s="877"/>
      <c r="BS26" s="877"/>
      <c r="BT26" s="877"/>
      <c r="BU26" s="877"/>
      <c r="BV26" s="877"/>
      <c r="BW26" s="877"/>
      <c r="BX26" s="877"/>
      <c r="BY26" s="877"/>
      <c r="BZ26" s="877"/>
      <c r="CA26" s="878"/>
      <c r="CB26" s="885"/>
      <c r="CI26" s="319"/>
      <c r="CJ26" s="876"/>
      <c r="CK26" s="877"/>
      <c r="CL26" s="877"/>
      <c r="CM26" s="877"/>
      <c r="CN26" s="877"/>
      <c r="CO26" s="877"/>
      <c r="CP26" s="877"/>
      <c r="CQ26" s="877"/>
      <c r="CR26" s="877"/>
      <c r="CS26" s="877"/>
      <c r="CT26" s="877"/>
      <c r="CU26" s="878"/>
      <c r="CV26" s="885"/>
    </row>
    <row r="27" spans="10:100" ht="24" customHeight="1" x14ac:dyDescent="0.25">
      <c r="J27" s="319"/>
      <c r="K27" s="745"/>
      <c r="L27" s="746"/>
      <c r="M27" s="746"/>
      <c r="N27" s="746"/>
      <c r="O27" s="746"/>
      <c r="P27" s="746"/>
      <c r="Q27" s="746"/>
      <c r="R27" s="746"/>
      <c r="S27" s="746"/>
      <c r="T27" s="746"/>
      <c r="U27" s="746"/>
      <c r="V27" s="747"/>
      <c r="W27" s="885"/>
      <c r="Y27" s="143"/>
      <c r="Z27" s="143"/>
      <c r="AA27" s="143"/>
      <c r="AB27" s="143"/>
      <c r="AC27" s="319"/>
      <c r="AD27" s="876"/>
      <c r="AE27" s="877"/>
      <c r="AF27" s="877"/>
      <c r="AG27" s="877"/>
      <c r="AH27" s="877"/>
      <c r="AI27" s="877"/>
      <c r="AJ27" s="877"/>
      <c r="AK27" s="877"/>
      <c r="AL27" s="877"/>
      <c r="AM27" s="877"/>
      <c r="AN27" s="877"/>
      <c r="AO27" s="878"/>
      <c r="AP27" s="885"/>
      <c r="AV27" s="319"/>
      <c r="AW27" s="876"/>
      <c r="AX27" s="877"/>
      <c r="AY27" s="877"/>
      <c r="AZ27" s="877"/>
      <c r="BA27" s="877"/>
      <c r="BB27" s="877"/>
      <c r="BC27" s="877"/>
      <c r="BD27" s="877"/>
      <c r="BE27" s="877"/>
      <c r="BF27" s="877"/>
      <c r="BG27" s="877"/>
      <c r="BH27" s="878"/>
      <c r="BI27" s="885"/>
      <c r="BO27" s="319"/>
      <c r="BP27" s="876"/>
      <c r="BQ27" s="877"/>
      <c r="BR27" s="877"/>
      <c r="BS27" s="877"/>
      <c r="BT27" s="877"/>
      <c r="BU27" s="877"/>
      <c r="BV27" s="877"/>
      <c r="BW27" s="877"/>
      <c r="BX27" s="877"/>
      <c r="BY27" s="877"/>
      <c r="BZ27" s="877"/>
      <c r="CA27" s="878"/>
      <c r="CB27" s="885"/>
      <c r="CI27" s="319"/>
      <c r="CJ27" s="876"/>
      <c r="CK27" s="877"/>
      <c r="CL27" s="877"/>
      <c r="CM27" s="877"/>
      <c r="CN27" s="877"/>
      <c r="CO27" s="877"/>
      <c r="CP27" s="877"/>
      <c r="CQ27" s="877"/>
      <c r="CR27" s="877"/>
      <c r="CS27" s="877"/>
      <c r="CT27" s="877"/>
      <c r="CU27" s="878"/>
      <c r="CV27" s="885"/>
    </row>
    <row r="28" spans="10:100" ht="24" customHeight="1" x14ac:dyDescent="0.25">
      <c r="J28" s="319"/>
      <c r="K28" s="745"/>
      <c r="L28" s="746"/>
      <c r="M28" s="746"/>
      <c r="N28" s="746"/>
      <c r="O28" s="746"/>
      <c r="P28" s="746"/>
      <c r="Q28" s="746"/>
      <c r="R28" s="746"/>
      <c r="S28" s="746"/>
      <c r="T28" s="746"/>
      <c r="U28" s="746"/>
      <c r="V28" s="747"/>
      <c r="W28" s="885"/>
      <c r="Y28" s="143"/>
      <c r="Z28" s="143"/>
      <c r="AA28" s="143"/>
      <c r="AB28" s="143"/>
      <c r="AC28" s="319"/>
      <c r="AD28" s="876"/>
      <c r="AE28" s="877"/>
      <c r="AF28" s="877"/>
      <c r="AG28" s="877"/>
      <c r="AH28" s="877"/>
      <c r="AI28" s="877"/>
      <c r="AJ28" s="877"/>
      <c r="AK28" s="877"/>
      <c r="AL28" s="877"/>
      <c r="AM28" s="877"/>
      <c r="AN28" s="877"/>
      <c r="AO28" s="878"/>
      <c r="AP28" s="885"/>
      <c r="AV28" s="319"/>
      <c r="AW28" s="876"/>
      <c r="AX28" s="877"/>
      <c r="AY28" s="877"/>
      <c r="AZ28" s="877"/>
      <c r="BA28" s="877"/>
      <c r="BB28" s="877"/>
      <c r="BC28" s="877"/>
      <c r="BD28" s="877"/>
      <c r="BE28" s="877"/>
      <c r="BF28" s="877"/>
      <c r="BG28" s="877"/>
      <c r="BH28" s="878"/>
      <c r="BI28" s="885"/>
      <c r="BO28" s="319"/>
      <c r="BP28" s="876"/>
      <c r="BQ28" s="877"/>
      <c r="BR28" s="877"/>
      <c r="BS28" s="877"/>
      <c r="BT28" s="877"/>
      <c r="BU28" s="877"/>
      <c r="BV28" s="877"/>
      <c r="BW28" s="877"/>
      <c r="BX28" s="877"/>
      <c r="BY28" s="877"/>
      <c r="BZ28" s="877"/>
      <c r="CA28" s="878"/>
      <c r="CB28" s="885"/>
      <c r="CI28" s="319"/>
      <c r="CJ28" s="876"/>
      <c r="CK28" s="877"/>
      <c r="CL28" s="877"/>
      <c r="CM28" s="877"/>
      <c r="CN28" s="877"/>
      <c r="CO28" s="877"/>
      <c r="CP28" s="877"/>
      <c r="CQ28" s="877"/>
      <c r="CR28" s="877"/>
      <c r="CS28" s="877"/>
      <c r="CT28" s="877"/>
      <c r="CU28" s="878"/>
      <c r="CV28" s="885"/>
    </row>
    <row r="29" spans="10:100" ht="24" customHeight="1" x14ac:dyDescent="0.25">
      <c r="J29" s="319"/>
      <c r="K29" s="745"/>
      <c r="L29" s="746"/>
      <c r="M29" s="746"/>
      <c r="N29" s="746"/>
      <c r="O29" s="746"/>
      <c r="P29" s="746"/>
      <c r="Q29" s="746"/>
      <c r="R29" s="746"/>
      <c r="S29" s="746"/>
      <c r="T29" s="746"/>
      <c r="U29" s="746"/>
      <c r="V29" s="747"/>
      <c r="W29" s="885"/>
      <c r="Y29" s="143"/>
      <c r="Z29" s="143"/>
      <c r="AA29" s="143"/>
      <c r="AB29" s="143"/>
      <c r="AC29" s="319"/>
      <c r="AD29" s="876"/>
      <c r="AE29" s="877"/>
      <c r="AF29" s="877"/>
      <c r="AG29" s="877"/>
      <c r="AH29" s="877"/>
      <c r="AI29" s="877"/>
      <c r="AJ29" s="877"/>
      <c r="AK29" s="877"/>
      <c r="AL29" s="877"/>
      <c r="AM29" s="877"/>
      <c r="AN29" s="877"/>
      <c r="AO29" s="878"/>
      <c r="AP29" s="885"/>
      <c r="AV29" s="319"/>
      <c r="AW29" s="876"/>
      <c r="AX29" s="877"/>
      <c r="AY29" s="877"/>
      <c r="AZ29" s="877"/>
      <c r="BA29" s="877"/>
      <c r="BB29" s="877"/>
      <c r="BC29" s="877"/>
      <c r="BD29" s="877"/>
      <c r="BE29" s="877"/>
      <c r="BF29" s="877"/>
      <c r="BG29" s="877"/>
      <c r="BH29" s="878"/>
      <c r="BI29" s="885"/>
      <c r="BO29" s="319"/>
      <c r="BP29" s="876"/>
      <c r="BQ29" s="877"/>
      <c r="BR29" s="877"/>
      <c r="BS29" s="877"/>
      <c r="BT29" s="877"/>
      <c r="BU29" s="877"/>
      <c r="BV29" s="877"/>
      <c r="BW29" s="877"/>
      <c r="BX29" s="877"/>
      <c r="BY29" s="877"/>
      <c r="BZ29" s="877"/>
      <c r="CA29" s="878"/>
      <c r="CB29" s="885"/>
      <c r="CI29" s="319"/>
      <c r="CJ29" s="876"/>
      <c r="CK29" s="877"/>
      <c r="CL29" s="877"/>
      <c r="CM29" s="877"/>
      <c r="CN29" s="877"/>
      <c r="CO29" s="877"/>
      <c r="CP29" s="877"/>
      <c r="CQ29" s="877"/>
      <c r="CR29" s="877"/>
      <c r="CS29" s="877"/>
      <c r="CT29" s="877"/>
      <c r="CU29" s="878"/>
      <c r="CV29" s="885"/>
    </row>
    <row r="30" spans="10:100" ht="24" customHeight="1" x14ac:dyDescent="0.25">
      <c r="J30" s="319"/>
      <c r="K30" s="745"/>
      <c r="L30" s="746"/>
      <c r="M30" s="746"/>
      <c r="N30" s="746"/>
      <c r="O30" s="746"/>
      <c r="P30" s="746"/>
      <c r="Q30" s="746"/>
      <c r="R30" s="746"/>
      <c r="S30" s="746"/>
      <c r="T30" s="746"/>
      <c r="U30" s="746"/>
      <c r="V30" s="747"/>
      <c r="W30" s="885"/>
      <c r="Y30" s="143"/>
      <c r="Z30" s="143"/>
      <c r="AA30" s="143"/>
      <c r="AB30" s="143"/>
      <c r="AC30" s="319"/>
      <c r="AD30" s="876"/>
      <c r="AE30" s="877"/>
      <c r="AF30" s="877"/>
      <c r="AG30" s="877"/>
      <c r="AH30" s="877"/>
      <c r="AI30" s="877"/>
      <c r="AJ30" s="877"/>
      <c r="AK30" s="877"/>
      <c r="AL30" s="877"/>
      <c r="AM30" s="877"/>
      <c r="AN30" s="877"/>
      <c r="AO30" s="878"/>
      <c r="AP30" s="885"/>
      <c r="AV30" s="319"/>
      <c r="AW30" s="876"/>
      <c r="AX30" s="877"/>
      <c r="AY30" s="877"/>
      <c r="AZ30" s="877"/>
      <c r="BA30" s="877"/>
      <c r="BB30" s="877"/>
      <c r="BC30" s="877"/>
      <c r="BD30" s="877"/>
      <c r="BE30" s="877"/>
      <c r="BF30" s="877"/>
      <c r="BG30" s="877"/>
      <c r="BH30" s="878"/>
      <c r="BI30" s="885"/>
      <c r="BO30" s="319"/>
      <c r="BP30" s="876"/>
      <c r="BQ30" s="877"/>
      <c r="BR30" s="877"/>
      <c r="BS30" s="877"/>
      <c r="BT30" s="877"/>
      <c r="BU30" s="877"/>
      <c r="BV30" s="877"/>
      <c r="BW30" s="877"/>
      <c r="BX30" s="877"/>
      <c r="BY30" s="877"/>
      <c r="BZ30" s="877"/>
      <c r="CA30" s="878"/>
      <c r="CB30" s="885"/>
      <c r="CI30" s="319"/>
      <c r="CJ30" s="876"/>
      <c r="CK30" s="877"/>
      <c r="CL30" s="877"/>
      <c r="CM30" s="877"/>
      <c r="CN30" s="877"/>
      <c r="CO30" s="877"/>
      <c r="CP30" s="877"/>
      <c r="CQ30" s="877"/>
      <c r="CR30" s="877"/>
      <c r="CS30" s="877"/>
      <c r="CT30" s="877"/>
      <c r="CU30" s="878"/>
      <c r="CV30" s="885"/>
    </row>
    <row r="31" spans="10:100" ht="24" customHeight="1" x14ac:dyDescent="0.25">
      <c r="J31" s="319"/>
      <c r="K31" s="745"/>
      <c r="L31" s="746"/>
      <c r="M31" s="746"/>
      <c r="N31" s="746"/>
      <c r="O31" s="746"/>
      <c r="P31" s="746"/>
      <c r="Q31" s="746"/>
      <c r="R31" s="746"/>
      <c r="S31" s="746"/>
      <c r="T31" s="746"/>
      <c r="U31" s="746"/>
      <c r="V31" s="747"/>
      <c r="W31" s="885"/>
      <c r="Y31" s="143"/>
      <c r="Z31" s="143"/>
      <c r="AA31" s="143"/>
      <c r="AB31" s="143"/>
      <c r="AC31" s="319"/>
      <c r="AD31" s="876"/>
      <c r="AE31" s="877"/>
      <c r="AF31" s="877"/>
      <c r="AG31" s="877"/>
      <c r="AH31" s="877"/>
      <c r="AI31" s="877"/>
      <c r="AJ31" s="877"/>
      <c r="AK31" s="877"/>
      <c r="AL31" s="877"/>
      <c r="AM31" s="877"/>
      <c r="AN31" s="877"/>
      <c r="AO31" s="878"/>
      <c r="AP31" s="885"/>
      <c r="AV31" s="319"/>
      <c r="AW31" s="876"/>
      <c r="AX31" s="877"/>
      <c r="AY31" s="877"/>
      <c r="AZ31" s="877"/>
      <c r="BA31" s="877"/>
      <c r="BB31" s="877"/>
      <c r="BC31" s="877"/>
      <c r="BD31" s="877"/>
      <c r="BE31" s="877"/>
      <c r="BF31" s="877"/>
      <c r="BG31" s="877"/>
      <c r="BH31" s="878"/>
      <c r="BI31" s="885"/>
      <c r="BO31" s="319"/>
      <c r="BP31" s="876"/>
      <c r="BQ31" s="877"/>
      <c r="BR31" s="877"/>
      <c r="BS31" s="877"/>
      <c r="BT31" s="877"/>
      <c r="BU31" s="877"/>
      <c r="BV31" s="877"/>
      <c r="BW31" s="877"/>
      <c r="BX31" s="877"/>
      <c r="BY31" s="877"/>
      <c r="BZ31" s="877"/>
      <c r="CA31" s="878"/>
      <c r="CB31" s="885"/>
      <c r="CI31" s="319"/>
      <c r="CJ31" s="876"/>
      <c r="CK31" s="877"/>
      <c r="CL31" s="877"/>
      <c r="CM31" s="877"/>
      <c r="CN31" s="877"/>
      <c r="CO31" s="877"/>
      <c r="CP31" s="877"/>
      <c r="CQ31" s="877"/>
      <c r="CR31" s="877"/>
      <c r="CS31" s="877"/>
      <c r="CT31" s="877"/>
      <c r="CU31" s="878"/>
      <c r="CV31" s="885"/>
    </row>
    <row r="32" spans="10:100" ht="24" customHeight="1" x14ac:dyDescent="0.25">
      <c r="J32" s="319"/>
      <c r="K32" s="745"/>
      <c r="L32" s="746"/>
      <c r="M32" s="746"/>
      <c r="N32" s="746"/>
      <c r="O32" s="746"/>
      <c r="P32" s="746"/>
      <c r="Q32" s="746"/>
      <c r="R32" s="746"/>
      <c r="S32" s="746"/>
      <c r="T32" s="746"/>
      <c r="U32" s="746"/>
      <c r="V32" s="747"/>
      <c r="W32" s="885"/>
      <c r="Y32" s="143"/>
      <c r="Z32" s="143"/>
      <c r="AA32" s="143"/>
      <c r="AB32" s="143"/>
      <c r="AC32" s="319"/>
      <c r="AD32" s="876"/>
      <c r="AE32" s="877"/>
      <c r="AF32" s="877"/>
      <c r="AG32" s="877"/>
      <c r="AH32" s="877"/>
      <c r="AI32" s="877"/>
      <c r="AJ32" s="877"/>
      <c r="AK32" s="877"/>
      <c r="AL32" s="877"/>
      <c r="AM32" s="877"/>
      <c r="AN32" s="877"/>
      <c r="AO32" s="878"/>
      <c r="AP32" s="885"/>
      <c r="AV32" s="319"/>
      <c r="AW32" s="876"/>
      <c r="AX32" s="877"/>
      <c r="AY32" s="877"/>
      <c r="AZ32" s="877"/>
      <c r="BA32" s="877"/>
      <c r="BB32" s="877"/>
      <c r="BC32" s="877"/>
      <c r="BD32" s="877"/>
      <c r="BE32" s="877"/>
      <c r="BF32" s="877"/>
      <c r="BG32" s="877"/>
      <c r="BH32" s="878"/>
      <c r="BI32" s="885"/>
      <c r="BO32" s="319"/>
      <c r="BP32" s="876"/>
      <c r="BQ32" s="877"/>
      <c r="BR32" s="877"/>
      <c r="BS32" s="877"/>
      <c r="BT32" s="877"/>
      <c r="BU32" s="877"/>
      <c r="BV32" s="877"/>
      <c r="BW32" s="877"/>
      <c r="BX32" s="877"/>
      <c r="BY32" s="877"/>
      <c r="BZ32" s="877"/>
      <c r="CA32" s="878"/>
      <c r="CB32" s="885"/>
      <c r="CI32" s="319"/>
      <c r="CJ32" s="876"/>
      <c r="CK32" s="877"/>
      <c r="CL32" s="877"/>
      <c r="CM32" s="877"/>
      <c r="CN32" s="877"/>
      <c r="CO32" s="877"/>
      <c r="CP32" s="877"/>
      <c r="CQ32" s="877"/>
      <c r="CR32" s="877"/>
      <c r="CS32" s="877"/>
      <c r="CT32" s="877"/>
      <c r="CU32" s="878"/>
      <c r="CV32" s="885"/>
    </row>
    <row r="33" spans="10:100" ht="24" customHeight="1" x14ac:dyDescent="0.25">
      <c r="J33" s="319"/>
      <c r="K33" s="745"/>
      <c r="L33" s="746"/>
      <c r="M33" s="746"/>
      <c r="N33" s="746"/>
      <c r="O33" s="746"/>
      <c r="P33" s="746"/>
      <c r="Q33" s="746"/>
      <c r="R33" s="746"/>
      <c r="S33" s="746"/>
      <c r="T33" s="746"/>
      <c r="U33" s="746"/>
      <c r="V33" s="747"/>
      <c r="W33" s="885"/>
      <c r="AC33" s="319"/>
      <c r="AD33" s="876"/>
      <c r="AE33" s="877"/>
      <c r="AF33" s="877"/>
      <c r="AG33" s="877"/>
      <c r="AH33" s="877"/>
      <c r="AI33" s="877"/>
      <c r="AJ33" s="877"/>
      <c r="AK33" s="877"/>
      <c r="AL33" s="877"/>
      <c r="AM33" s="877"/>
      <c r="AN33" s="877"/>
      <c r="AO33" s="878"/>
      <c r="AP33" s="885"/>
      <c r="AV33" s="319"/>
      <c r="AW33" s="876"/>
      <c r="AX33" s="877"/>
      <c r="AY33" s="877"/>
      <c r="AZ33" s="877"/>
      <c r="BA33" s="877"/>
      <c r="BB33" s="877"/>
      <c r="BC33" s="877"/>
      <c r="BD33" s="877"/>
      <c r="BE33" s="877"/>
      <c r="BF33" s="877"/>
      <c r="BG33" s="877"/>
      <c r="BH33" s="878"/>
      <c r="BI33" s="885"/>
      <c r="BO33" s="319"/>
      <c r="BP33" s="876"/>
      <c r="BQ33" s="877"/>
      <c r="BR33" s="877"/>
      <c r="BS33" s="877"/>
      <c r="BT33" s="877"/>
      <c r="BU33" s="877"/>
      <c r="BV33" s="877"/>
      <c r="BW33" s="877"/>
      <c r="BX33" s="877"/>
      <c r="BY33" s="877"/>
      <c r="BZ33" s="877"/>
      <c r="CA33" s="878"/>
      <c r="CB33" s="885"/>
      <c r="CI33" s="319"/>
      <c r="CJ33" s="876"/>
      <c r="CK33" s="877"/>
      <c r="CL33" s="877"/>
      <c r="CM33" s="877"/>
      <c r="CN33" s="877"/>
      <c r="CO33" s="877"/>
      <c r="CP33" s="877"/>
      <c r="CQ33" s="877"/>
      <c r="CR33" s="877"/>
      <c r="CS33" s="877"/>
      <c r="CT33" s="877"/>
      <c r="CU33" s="878"/>
      <c r="CV33" s="885"/>
    </row>
    <row r="34" spans="10:100" ht="24" customHeight="1" x14ac:dyDescent="0.25">
      <c r="J34" s="319"/>
      <c r="K34" s="745"/>
      <c r="L34" s="746"/>
      <c r="M34" s="746"/>
      <c r="N34" s="746"/>
      <c r="O34" s="746"/>
      <c r="P34" s="746"/>
      <c r="Q34" s="746"/>
      <c r="R34" s="746"/>
      <c r="S34" s="746"/>
      <c r="T34" s="746"/>
      <c r="U34" s="746"/>
      <c r="V34" s="747"/>
      <c r="W34" s="885"/>
      <c r="AC34" s="319"/>
      <c r="AD34" s="876"/>
      <c r="AE34" s="877"/>
      <c r="AF34" s="877"/>
      <c r="AG34" s="877"/>
      <c r="AH34" s="877"/>
      <c r="AI34" s="877"/>
      <c r="AJ34" s="877"/>
      <c r="AK34" s="877"/>
      <c r="AL34" s="877"/>
      <c r="AM34" s="877"/>
      <c r="AN34" s="877"/>
      <c r="AO34" s="878"/>
      <c r="AP34" s="885"/>
      <c r="AV34" s="319"/>
      <c r="AW34" s="876"/>
      <c r="AX34" s="877"/>
      <c r="AY34" s="877"/>
      <c r="AZ34" s="877"/>
      <c r="BA34" s="877"/>
      <c r="BB34" s="877"/>
      <c r="BC34" s="877"/>
      <c r="BD34" s="877"/>
      <c r="BE34" s="877"/>
      <c r="BF34" s="877"/>
      <c r="BG34" s="877"/>
      <c r="BH34" s="878"/>
      <c r="BI34" s="885"/>
      <c r="BO34" s="319"/>
      <c r="BP34" s="876"/>
      <c r="BQ34" s="877"/>
      <c r="BR34" s="877"/>
      <c r="BS34" s="877"/>
      <c r="BT34" s="877"/>
      <c r="BU34" s="877"/>
      <c r="BV34" s="877"/>
      <c r="BW34" s="877"/>
      <c r="BX34" s="877"/>
      <c r="BY34" s="877"/>
      <c r="BZ34" s="877"/>
      <c r="CA34" s="878"/>
      <c r="CB34" s="885"/>
      <c r="CI34" s="319"/>
      <c r="CJ34" s="876"/>
      <c r="CK34" s="877"/>
      <c r="CL34" s="877"/>
      <c r="CM34" s="877"/>
      <c r="CN34" s="877"/>
      <c r="CO34" s="877"/>
      <c r="CP34" s="877"/>
      <c r="CQ34" s="877"/>
      <c r="CR34" s="877"/>
      <c r="CS34" s="877"/>
      <c r="CT34" s="877"/>
      <c r="CU34" s="878"/>
      <c r="CV34" s="885"/>
    </row>
    <row r="35" spans="10:100" ht="24" customHeight="1" x14ac:dyDescent="0.25">
      <c r="J35" s="319"/>
      <c r="K35" s="745"/>
      <c r="L35" s="746"/>
      <c r="M35" s="746"/>
      <c r="N35" s="746"/>
      <c r="O35" s="746"/>
      <c r="P35" s="746"/>
      <c r="Q35" s="746"/>
      <c r="R35" s="746"/>
      <c r="S35" s="746"/>
      <c r="T35" s="746"/>
      <c r="U35" s="746"/>
      <c r="V35" s="747"/>
      <c r="W35" s="885"/>
      <c r="AC35" s="319"/>
      <c r="AD35" s="876"/>
      <c r="AE35" s="877"/>
      <c r="AF35" s="877"/>
      <c r="AG35" s="877"/>
      <c r="AH35" s="877"/>
      <c r="AI35" s="877"/>
      <c r="AJ35" s="877"/>
      <c r="AK35" s="877"/>
      <c r="AL35" s="877"/>
      <c r="AM35" s="877"/>
      <c r="AN35" s="877"/>
      <c r="AO35" s="878"/>
      <c r="AP35" s="885"/>
      <c r="AV35" s="319"/>
      <c r="AW35" s="876"/>
      <c r="AX35" s="877"/>
      <c r="AY35" s="877"/>
      <c r="AZ35" s="877"/>
      <c r="BA35" s="877"/>
      <c r="BB35" s="877"/>
      <c r="BC35" s="877"/>
      <c r="BD35" s="877"/>
      <c r="BE35" s="877"/>
      <c r="BF35" s="877"/>
      <c r="BG35" s="877"/>
      <c r="BH35" s="878"/>
      <c r="BI35" s="885"/>
      <c r="BO35" s="319"/>
      <c r="BP35" s="876"/>
      <c r="BQ35" s="877"/>
      <c r="BR35" s="877"/>
      <c r="BS35" s="877"/>
      <c r="BT35" s="877"/>
      <c r="BU35" s="877"/>
      <c r="BV35" s="877"/>
      <c r="BW35" s="877"/>
      <c r="BX35" s="877"/>
      <c r="BY35" s="877"/>
      <c r="BZ35" s="877"/>
      <c r="CA35" s="878"/>
      <c r="CB35" s="885"/>
      <c r="CI35" s="319"/>
      <c r="CJ35" s="876"/>
      <c r="CK35" s="877"/>
      <c r="CL35" s="877"/>
      <c r="CM35" s="877"/>
      <c r="CN35" s="877"/>
      <c r="CO35" s="877"/>
      <c r="CP35" s="877"/>
      <c r="CQ35" s="877"/>
      <c r="CR35" s="877"/>
      <c r="CS35" s="877"/>
      <c r="CT35" s="877"/>
      <c r="CU35" s="878"/>
      <c r="CV35" s="885"/>
    </row>
    <row r="36" spans="10:100" ht="24" customHeight="1" x14ac:dyDescent="0.25">
      <c r="J36" s="319"/>
      <c r="K36" s="745"/>
      <c r="L36" s="746"/>
      <c r="M36" s="746"/>
      <c r="N36" s="746"/>
      <c r="O36" s="746"/>
      <c r="P36" s="746"/>
      <c r="Q36" s="746"/>
      <c r="R36" s="746"/>
      <c r="S36" s="746"/>
      <c r="T36" s="746"/>
      <c r="U36" s="746"/>
      <c r="V36" s="747"/>
      <c r="W36" s="885"/>
      <c r="AC36" s="319"/>
      <c r="AD36" s="876"/>
      <c r="AE36" s="877"/>
      <c r="AF36" s="877"/>
      <c r="AG36" s="877"/>
      <c r="AH36" s="877"/>
      <c r="AI36" s="877"/>
      <c r="AJ36" s="877"/>
      <c r="AK36" s="877"/>
      <c r="AL36" s="877"/>
      <c r="AM36" s="877"/>
      <c r="AN36" s="877"/>
      <c r="AO36" s="878"/>
      <c r="AP36" s="885"/>
      <c r="AV36" s="319"/>
      <c r="AW36" s="876"/>
      <c r="AX36" s="877"/>
      <c r="AY36" s="877"/>
      <c r="AZ36" s="877"/>
      <c r="BA36" s="877"/>
      <c r="BB36" s="877"/>
      <c r="BC36" s="877"/>
      <c r="BD36" s="877"/>
      <c r="BE36" s="877"/>
      <c r="BF36" s="877"/>
      <c r="BG36" s="877"/>
      <c r="BH36" s="878"/>
      <c r="BI36" s="885"/>
      <c r="BO36" s="319"/>
      <c r="BP36" s="876"/>
      <c r="BQ36" s="877"/>
      <c r="BR36" s="877"/>
      <c r="BS36" s="877"/>
      <c r="BT36" s="877"/>
      <c r="BU36" s="877"/>
      <c r="BV36" s="877"/>
      <c r="BW36" s="877"/>
      <c r="BX36" s="877"/>
      <c r="BY36" s="877"/>
      <c r="BZ36" s="877"/>
      <c r="CA36" s="878"/>
      <c r="CB36" s="885"/>
      <c r="CI36" s="319"/>
      <c r="CJ36" s="876"/>
      <c r="CK36" s="877"/>
      <c r="CL36" s="877"/>
      <c r="CM36" s="877"/>
      <c r="CN36" s="877"/>
      <c r="CO36" s="877"/>
      <c r="CP36" s="877"/>
      <c r="CQ36" s="877"/>
      <c r="CR36" s="877"/>
      <c r="CS36" s="877"/>
      <c r="CT36" s="877"/>
      <c r="CU36" s="878"/>
      <c r="CV36" s="885"/>
    </row>
    <row r="37" spans="10:100" ht="24" customHeight="1" x14ac:dyDescent="0.25">
      <c r="J37" s="319"/>
      <c r="K37" s="745"/>
      <c r="L37" s="746"/>
      <c r="M37" s="746"/>
      <c r="N37" s="746"/>
      <c r="O37" s="746"/>
      <c r="P37" s="746"/>
      <c r="Q37" s="746"/>
      <c r="R37" s="746"/>
      <c r="S37" s="746"/>
      <c r="T37" s="746"/>
      <c r="U37" s="746"/>
      <c r="V37" s="747"/>
      <c r="W37" s="885"/>
      <c r="AC37" s="319"/>
      <c r="AD37" s="876"/>
      <c r="AE37" s="877"/>
      <c r="AF37" s="877"/>
      <c r="AG37" s="877"/>
      <c r="AH37" s="877"/>
      <c r="AI37" s="877"/>
      <c r="AJ37" s="877"/>
      <c r="AK37" s="877"/>
      <c r="AL37" s="877"/>
      <c r="AM37" s="877"/>
      <c r="AN37" s="877"/>
      <c r="AO37" s="878"/>
      <c r="AP37" s="885"/>
      <c r="AV37" s="319"/>
      <c r="AW37" s="876"/>
      <c r="AX37" s="877"/>
      <c r="AY37" s="877"/>
      <c r="AZ37" s="877"/>
      <c r="BA37" s="877"/>
      <c r="BB37" s="877"/>
      <c r="BC37" s="877"/>
      <c r="BD37" s="877"/>
      <c r="BE37" s="877"/>
      <c r="BF37" s="877"/>
      <c r="BG37" s="877"/>
      <c r="BH37" s="878"/>
      <c r="BI37" s="885"/>
      <c r="BO37" s="319"/>
      <c r="BP37" s="876"/>
      <c r="BQ37" s="877"/>
      <c r="BR37" s="877"/>
      <c r="BS37" s="877"/>
      <c r="BT37" s="877"/>
      <c r="BU37" s="877"/>
      <c r="BV37" s="877"/>
      <c r="BW37" s="877"/>
      <c r="BX37" s="877"/>
      <c r="BY37" s="877"/>
      <c r="BZ37" s="877"/>
      <c r="CA37" s="878"/>
      <c r="CB37" s="885"/>
      <c r="CI37" s="319"/>
      <c r="CJ37" s="876"/>
      <c r="CK37" s="877"/>
      <c r="CL37" s="877"/>
      <c r="CM37" s="877"/>
      <c r="CN37" s="877"/>
      <c r="CO37" s="877"/>
      <c r="CP37" s="877"/>
      <c r="CQ37" s="877"/>
      <c r="CR37" s="877"/>
      <c r="CS37" s="877"/>
      <c r="CT37" s="877"/>
      <c r="CU37" s="878"/>
      <c r="CV37" s="885"/>
    </row>
    <row r="38" spans="10:100" ht="24" customHeight="1" x14ac:dyDescent="0.25">
      <c r="J38" s="319"/>
      <c r="K38" s="748"/>
      <c r="L38" s="749"/>
      <c r="M38" s="749"/>
      <c r="N38" s="749"/>
      <c r="O38" s="749"/>
      <c r="P38" s="749"/>
      <c r="Q38" s="749"/>
      <c r="R38" s="749"/>
      <c r="S38" s="749"/>
      <c r="T38" s="749"/>
      <c r="U38" s="749"/>
      <c r="V38" s="750"/>
      <c r="W38" s="885"/>
      <c r="AC38" s="319"/>
      <c r="AD38" s="876"/>
      <c r="AE38" s="877"/>
      <c r="AF38" s="877"/>
      <c r="AG38" s="877"/>
      <c r="AH38" s="877"/>
      <c r="AI38" s="877"/>
      <c r="AJ38" s="877"/>
      <c r="AK38" s="877"/>
      <c r="AL38" s="877"/>
      <c r="AM38" s="877"/>
      <c r="AN38" s="877"/>
      <c r="AO38" s="878"/>
      <c r="AP38" s="885"/>
      <c r="AV38" s="319"/>
      <c r="AW38" s="876"/>
      <c r="AX38" s="877"/>
      <c r="AY38" s="877"/>
      <c r="AZ38" s="877"/>
      <c r="BA38" s="877"/>
      <c r="BB38" s="877"/>
      <c r="BC38" s="877"/>
      <c r="BD38" s="877"/>
      <c r="BE38" s="877"/>
      <c r="BF38" s="877"/>
      <c r="BG38" s="877"/>
      <c r="BH38" s="878"/>
      <c r="BI38" s="885"/>
      <c r="BO38" s="319"/>
      <c r="BP38" s="876"/>
      <c r="BQ38" s="877"/>
      <c r="BR38" s="877"/>
      <c r="BS38" s="877"/>
      <c r="BT38" s="877"/>
      <c r="BU38" s="877"/>
      <c r="BV38" s="877"/>
      <c r="BW38" s="877"/>
      <c r="BX38" s="877"/>
      <c r="BY38" s="877"/>
      <c r="BZ38" s="877"/>
      <c r="CA38" s="878"/>
      <c r="CB38" s="885"/>
      <c r="CI38" s="319"/>
      <c r="CJ38" s="876"/>
      <c r="CK38" s="877"/>
      <c r="CL38" s="877"/>
      <c r="CM38" s="877"/>
      <c r="CN38" s="877"/>
      <c r="CO38" s="877"/>
      <c r="CP38" s="877"/>
      <c r="CQ38" s="877"/>
      <c r="CR38" s="877"/>
      <c r="CS38" s="877"/>
      <c r="CT38" s="877"/>
      <c r="CU38" s="878"/>
      <c r="CV38" s="885"/>
    </row>
    <row r="39" spans="10:100" ht="24" customHeight="1" x14ac:dyDescent="0.25">
      <c r="J39" s="319"/>
      <c r="K39" s="324"/>
      <c r="L39" s="325"/>
      <c r="M39" s="325"/>
      <c r="N39" s="325"/>
      <c r="O39" s="325"/>
      <c r="P39" s="325"/>
      <c r="Q39" s="325"/>
      <c r="R39" s="325"/>
      <c r="S39" s="325"/>
      <c r="T39" s="325"/>
      <c r="U39" s="325"/>
      <c r="V39" s="326"/>
      <c r="W39" s="885"/>
      <c r="AC39" s="319"/>
      <c r="AD39" s="876"/>
      <c r="AE39" s="877"/>
      <c r="AF39" s="877"/>
      <c r="AG39" s="877"/>
      <c r="AH39" s="877"/>
      <c r="AI39" s="877"/>
      <c r="AJ39" s="877"/>
      <c r="AK39" s="877"/>
      <c r="AL39" s="877"/>
      <c r="AM39" s="877"/>
      <c r="AN39" s="877"/>
      <c r="AO39" s="878"/>
      <c r="AP39" s="885"/>
      <c r="AV39" s="319"/>
      <c r="AW39" s="876"/>
      <c r="AX39" s="877"/>
      <c r="AY39" s="877"/>
      <c r="AZ39" s="877"/>
      <c r="BA39" s="877"/>
      <c r="BB39" s="877"/>
      <c r="BC39" s="877"/>
      <c r="BD39" s="877"/>
      <c r="BE39" s="877"/>
      <c r="BF39" s="877"/>
      <c r="BG39" s="877"/>
      <c r="BH39" s="878"/>
      <c r="BI39" s="885"/>
      <c r="BO39" s="319"/>
      <c r="BP39" s="876"/>
      <c r="BQ39" s="877"/>
      <c r="BR39" s="877"/>
      <c r="BS39" s="877"/>
      <c r="BT39" s="877"/>
      <c r="BU39" s="877"/>
      <c r="BV39" s="877"/>
      <c r="BW39" s="877"/>
      <c r="BX39" s="877"/>
      <c r="BY39" s="877"/>
      <c r="BZ39" s="877"/>
      <c r="CA39" s="878"/>
      <c r="CB39" s="885"/>
      <c r="CI39" s="319"/>
      <c r="CJ39" s="876"/>
      <c r="CK39" s="877"/>
      <c r="CL39" s="877"/>
      <c r="CM39" s="877"/>
      <c r="CN39" s="877"/>
      <c r="CO39" s="877"/>
      <c r="CP39" s="877"/>
      <c r="CQ39" s="877"/>
      <c r="CR39" s="877"/>
      <c r="CS39" s="877"/>
      <c r="CT39" s="877"/>
      <c r="CU39" s="878"/>
      <c r="CV39" s="885"/>
    </row>
    <row r="40" spans="10:100" ht="24" customHeight="1" x14ac:dyDescent="0.25">
      <c r="J40" s="319"/>
      <c r="K40" s="327"/>
      <c r="L40" s="328"/>
      <c r="M40" s="328"/>
      <c r="N40" s="328"/>
      <c r="O40" s="328"/>
      <c r="P40" s="328"/>
      <c r="Q40" s="328"/>
      <c r="R40" s="328"/>
      <c r="S40" s="328"/>
      <c r="T40" s="328"/>
      <c r="U40" s="328"/>
      <c r="V40" s="329"/>
      <c r="W40" s="885"/>
      <c r="AC40" s="319"/>
      <c r="AD40" s="876"/>
      <c r="AE40" s="877"/>
      <c r="AF40" s="877"/>
      <c r="AG40" s="877"/>
      <c r="AH40" s="877"/>
      <c r="AI40" s="877"/>
      <c r="AJ40" s="877"/>
      <c r="AK40" s="877"/>
      <c r="AL40" s="877"/>
      <c r="AM40" s="877"/>
      <c r="AN40" s="877"/>
      <c r="AO40" s="878"/>
      <c r="AP40" s="885"/>
      <c r="AV40" s="319"/>
      <c r="AW40" s="876"/>
      <c r="AX40" s="877"/>
      <c r="AY40" s="877"/>
      <c r="AZ40" s="877"/>
      <c r="BA40" s="877"/>
      <c r="BB40" s="877"/>
      <c r="BC40" s="877"/>
      <c r="BD40" s="877"/>
      <c r="BE40" s="877"/>
      <c r="BF40" s="877"/>
      <c r="BG40" s="877"/>
      <c r="BH40" s="878"/>
      <c r="BI40" s="885"/>
      <c r="BO40" s="319"/>
      <c r="BP40" s="876"/>
      <c r="BQ40" s="877"/>
      <c r="BR40" s="877"/>
      <c r="BS40" s="877"/>
      <c r="BT40" s="877"/>
      <c r="BU40" s="877"/>
      <c r="BV40" s="877"/>
      <c r="BW40" s="877"/>
      <c r="BX40" s="877"/>
      <c r="BY40" s="877"/>
      <c r="BZ40" s="877"/>
      <c r="CA40" s="878"/>
      <c r="CB40" s="885"/>
      <c r="CI40" s="319"/>
      <c r="CJ40" s="876"/>
      <c r="CK40" s="877"/>
      <c r="CL40" s="877"/>
      <c r="CM40" s="877"/>
      <c r="CN40" s="877"/>
      <c r="CO40" s="877"/>
      <c r="CP40" s="877"/>
      <c r="CQ40" s="877"/>
      <c r="CR40" s="877"/>
      <c r="CS40" s="877"/>
      <c r="CT40" s="877"/>
      <c r="CU40" s="878"/>
      <c r="CV40" s="885"/>
    </row>
    <row r="41" spans="10:100" ht="24" customHeight="1" x14ac:dyDescent="0.25">
      <c r="J41" s="319"/>
      <c r="K41" s="745" t="s">
        <v>1045</v>
      </c>
      <c r="L41" s="746"/>
      <c r="M41" s="746"/>
      <c r="N41" s="746"/>
      <c r="O41" s="746"/>
      <c r="P41" s="746"/>
      <c r="Q41" s="746"/>
      <c r="R41" s="746"/>
      <c r="S41" s="746"/>
      <c r="T41" s="746"/>
      <c r="U41" s="746"/>
      <c r="V41" s="747"/>
      <c r="W41" s="885"/>
      <c r="AC41" s="319"/>
      <c r="AD41" s="876"/>
      <c r="AE41" s="877"/>
      <c r="AF41" s="877"/>
      <c r="AG41" s="877"/>
      <c r="AH41" s="877"/>
      <c r="AI41" s="877"/>
      <c r="AJ41" s="877"/>
      <c r="AK41" s="877"/>
      <c r="AL41" s="877"/>
      <c r="AM41" s="877"/>
      <c r="AN41" s="877"/>
      <c r="AO41" s="878"/>
      <c r="AP41" s="885"/>
      <c r="AV41" s="319"/>
      <c r="AW41" s="876"/>
      <c r="AX41" s="877"/>
      <c r="AY41" s="877"/>
      <c r="AZ41" s="877"/>
      <c r="BA41" s="877"/>
      <c r="BB41" s="877"/>
      <c r="BC41" s="877"/>
      <c r="BD41" s="877"/>
      <c r="BE41" s="877"/>
      <c r="BF41" s="877"/>
      <c r="BG41" s="877"/>
      <c r="BH41" s="878"/>
      <c r="BI41" s="885"/>
      <c r="BO41" s="319"/>
      <c r="BP41" s="876"/>
      <c r="BQ41" s="877"/>
      <c r="BR41" s="877"/>
      <c r="BS41" s="877"/>
      <c r="BT41" s="877"/>
      <c r="BU41" s="877"/>
      <c r="BV41" s="877"/>
      <c r="BW41" s="877"/>
      <c r="BX41" s="877"/>
      <c r="BY41" s="877"/>
      <c r="BZ41" s="877"/>
      <c r="CA41" s="878"/>
      <c r="CB41" s="885"/>
      <c r="CI41" s="319"/>
      <c r="CJ41" s="876"/>
      <c r="CK41" s="877"/>
      <c r="CL41" s="877"/>
      <c r="CM41" s="877"/>
      <c r="CN41" s="877"/>
      <c r="CO41" s="877"/>
      <c r="CP41" s="877"/>
      <c r="CQ41" s="877"/>
      <c r="CR41" s="877"/>
      <c r="CS41" s="877"/>
      <c r="CT41" s="877"/>
      <c r="CU41" s="878"/>
      <c r="CV41" s="885"/>
    </row>
    <row r="42" spans="10:100" ht="24" customHeight="1" x14ac:dyDescent="0.25">
      <c r="J42" s="319"/>
      <c r="K42" s="745"/>
      <c r="L42" s="746"/>
      <c r="M42" s="746"/>
      <c r="N42" s="746"/>
      <c r="O42" s="746"/>
      <c r="P42" s="746"/>
      <c r="Q42" s="746"/>
      <c r="R42" s="746"/>
      <c r="S42" s="746"/>
      <c r="T42" s="746"/>
      <c r="U42" s="746"/>
      <c r="V42" s="747"/>
      <c r="W42" s="885"/>
      <c r="AC42" s="319"/>
      <c r="AD42" s="876"/>
      <c r="AE42" s="877"/>
      <c r="AF42" s="877"/>
      <c r="AG42" s="877"/>
      <c r="AH42" s="877"/>
      <c r="AI42" s="877"/>
      <c r="AJ42" s="877"/>
      <c r="AK42" s="877"/>
      <c r="AL42" s="877"/>
      <c r="AM42" s="877"/>
      <c r="AN42" s="877"/>
      <c r="AO42" s="878"/>
      <c r="AP42" s="885"/>
      <c r="AV42" s="319"/>
      <c r="AW42" s="876"/>
      <c r="AX42" s="877"/>
      <c r="AY42" s="877"/>
      <c r="AZ42" s="877"/>
      <c r="BA42" s="877"/>
      <c r="BB42" s="877"/>
      <c r="BC42" s="877"/>
      <c r="BD42" s="877"/>
      <c r="BE42" s="877"/>
      <c r="BF42" s="877"/>
      <c r="BG42" s="877"/>
      <c r="BH42" s="878"/>
      <c r="BI42" s="885"/>
      <c r="BO42" s="319"/>
      <c r="BP42" s="876"/>
      <c r="BQ42" s="877"/>
      <c r="BR42" s="877"/>
      <c r="BS42" s="877"/>
      <c r="BT42" s="877"/>
      <c r="BU42" s="877"/>
      <c r="BV42" s="877"/>
      <c r="BW42" s="877"/>
      <c r="BX42" s="877"/>
      <c r="BY42" s="877"/>
      <c r="BZ42" s="877"/>
      <c r="CA42" s="878"/>
      <c r="CB42" s="885"/>
      <c r="CI42" s="319"/>
      <c r="CJ42" s="876"/>
      <c r="CK42" s="877"/>
      <c r="CL42" s="877"/>
      <c r="CM42" s="877"/>
      <c r="CN42" s="877"/>
      <c r="CO42" s="877"/>
      <c r="CP42" s="877"/>
      <c r="CQ42" s="877"/>
      <c r="CR42" s="877"/>
      <c r="CS42" s="877"/>
      <c r="CT42" s="877"/>
      <c r="CU42" s="878"/>
      <c r="CV42" s="885"/>
    </row>
    <row r="43" spans="10:100" ht="24" customHeight="1" x14ac:dyDescent="0.25">
      <c r="J43" s="319"/>
      <c r="K43" s="745"/>
      <c r="L43" s="746"/>
      <c r="M43" s="746"/>
      <c r="N43" s="746"/>
      <c r="O43" s="746"/>
      <c r="P43" s="746"/>
      <c r="Q43" s="746"/>
      <c r="R43" s="746"/>
      <c r="S43" s="746"/>
      <c r="T43" s="746"/>
      <c r="U43" s="746"/>
      <c r="V43" s="747"/>
      <c r="W43" s="885"/>
      <c r="AC43" s="319"/>
      <c r="AD43" s="876"/>
      <c r="AE43" s="877"/>
      <c r="AF43" s="877"/>
      <c r="AG43" s="877"/>
      <c r="AH43" s="877"/>
      <c r="AI43" s="877"/>
      <c r="AJ43" s="877"/>
      <c r="AK43" s="877"/>
      <c r="AL43" s="877"/>
      <c r="AM43" s="877"/>
      <c r="AN43" s="877"/>
      <c r="AO43" s="878"/>
      <c r="AP43" s="885"/>
      <c r="AV43" s="319"/>
      <c r="AW43" s="876"/>
      <c r="AX43" s="877"/>
      <c r="AY43" s="877"/>
      <c r="AZ43" s="877"/>
      <c r="BA43" s="877"/>
      <c r="BB43" s="877"/>
      <c r="BC43" s="877"/>
      <c r="BD43" s="877"/>
      <c r="BE43" s="877"/>
      <c r="BF43" s="877"/>
      <c r="BG43" s="877"/>
      <c r="BH43" s="878"/>
      <c r="BI43" s="885"/>
      <c r="BO43" s="319"/>
      <c r="BP43" s="876"/>
      <c r="BQ43" s="877"/>
      <c r="BR43" s="877"/>
      <c r="BS43" s="877"/>
      <c r="BT43" s="877"/>
      <c r="BU43" s="877"/>
      <c r="BV43" s="877"/>
      <c r="BW43" s="877"/>
      <c r="BX43" s="877"/>
      <c r="BY43" s="877"/>
      <c r="BZ43" s="877"/>
      <c r="CA43" s="878"/>
      <c r="CB43" s="885"/>
      <c r="CI43" s="319"/>
      <c r="CJ43" s="876"/>
      <c r="CK43" s="877"/>
      <c r="CL43" s="877"/>
      <c r="CM43" s="877"/>
      <c r="CN43" s="877"/>
      <c r="CO43" s="877"/>
      <c r="CP43" s="877"/>
      <c r="CQ43" s="877"/>
      <c r="CR43" s="877"/>
      <c r="CS43" s="877"/>
      <c r="CT43" s="877"/>
      <c r="CU43" s="878"/>
      <c r="CV43" s="885"/>
    </row>
    <row r="44" spans="10:100" ht="24" customHeight="1" x14ac:dyDescent="0.25">
      <c r="J44" s="319"/>
      <c r="K44" s="745"/>
      <c r="L44" s="746"/>
      <c r="M44" s="746"/>
      <c r="N44" s="746"/>
      <c r="O44" s="746"/>
      <c r="P44" s="746"/>
      <c r="Q44" s="746"/>
      <c r="R44" s="746"/>
      <c r="S44" s="746"/>
      <c r="T44" s="746"/>
      <c r="U44" s="746"/>
      <c r="V44" s="747"/>
      <c r="W44" s="885"/>
      <c r="AC44" s="319"/>
      <c r="AD44" s="876"/>
      <c r="AE44" s="877"/>
      <c r="AF44" s="877"/>
      <c r="AG44" s="877"/>
      <c r="AH44" s="877"/>
      <c r="AI44" s="877"/>
      <c r="AJ44" s="877"/>
      <c r="AK44" s="877"/>
      <c r="AL44" s="877"/>
      <c r="AM44" s="877"/>
      <c r="AN44" s="877"/>
      <c r="AO44" s="878"/>
      <c r="AP44" s="885"/>
      <c r="AV44" s="319"/>
      <c r="AW44" s="876"/>
      <c r="AX44" s="877"/>
      <c r="AY44" s="877"/>
      <c r="AZ44" s="877"/>
      <c r="BA44" s="877"/>
      <c r="BB44" s="877"/>
      <c r="BC44" s="877"/>
      <c r="BD44" s="877"/>
      <c r="BE44" s="877"/>
      <c r="BF44" s="877"/>
      <c r="BG44" s="877"/>
      <c r="BH44" s="878"/>
      <c r="BI44" s="885"/>
      <c r="BO44" s="319"/>
      <c r="BP44" s="876"/>
      <c r="BQ44" s="877"/>
      <c r="BR44" s="877"/>
      <c r="BS44" s="877"/>
      <c r="BT44" s="877"/>
      <c r="BU44" s="877"/>
      <c r="BV44" s="877"/>
      <c r="BW44" s="877"/>
      <c r="BX44" s="877"/>
      <c r="BY44" s="877"/>
      <c r="BZ44" s="877"/>
      <c r="CA44" s="878"/>
      <c r="CB44" s="885"/>
      <c r="CI44" s="319"/>
      <c r="CJ44" s="876"/>
      <c r="CK44" s="877"/>
      <c r="CL44" s="877"/>
      <c r="CM44" s="877"/>
      <c r="CN44" s="877"/>
      <c r="CO44" s="877"/>
      <c r="CP44" s="877"/>
      <c r="CQ44" s="877"/>
      <c r="CR44" s="877"/>
      <c r="CS44" s="877"/>
      <c r="CT44" s="877"/>
      <c r="CU44" s="878"/>
      <c r="CV44" s="885"/>
    </row>
    <row r="45" spans="10:100" ht="24" customHeight="1" x14ac:dyDescent="0.25">
      <c r="J45" s="319"/>
      <c r="K45" s="745"/>
      <c r="L45" s="746"/>
      <c r="M45" s="746"/>
      <c r="N45" s="746"/>
      <c r="O45" s="746"/>
      <c r="P45" s="746"/>
      <c r="Q45" s="746"/>
      <c r="R45" s="746"/>
      <c r="S45" s="746"/>
      <c r="T45" s="746"/>
      <c r="U45" s="746"/>
      <c r="V45" s="747"/>
      <c r="W45" s="885"/>
      <c r="AC45" s="319"/>
      <c r="AD45" s="876"/>
      <c r="AE45" s="877"/>
      <c r="AF45" s="877"/>
      <c r="AG45" s="877"/>
      <c r="AH45" s="877"/>
      <c r="AI45" s="877"/>
      <c r="AJ45" s="877"/>
      <c r="AK45" s="877"/>
      <c r="AL45" s="877"/>
      <c r="AM45" s="877"/>
      <c r="AN45" s="877"/>
      <c r="AO45" s="878"/>
      <c r="AP45" s="885"/>
      <c r="AV45" s="319"/>
      <c r="AW45" s="876"/>
      <c r="AX45" s="877"/>
      <c r="AY45" s="877"/>
      <c r="AZ45" s="877"/>
      <c r="BA45" s="877"/>
      <c r="BB45" s="877"/>
      <c r="BC45" s="877"/>
      <c r="BD45" s="877"/>
      <c r="BE45" s="877"/>
      <c r="BF45" s="877"/>
      <c r="BG45" s="877"/>
      <c r="BH45" s="878"/>
      <c r="BI45" s="885"/>
      <c r="BO45" s="319"/>
      <c r="BP45" s="876"/>
      <c r="BQ45" s="877"/>
      <c r="BR45" s="877"/>
      <c r="BS45" s="877"/>
      <c r="BT45" s="877"/>
      <c r="BU45" s="877"/>
      <c r="BV45" s="877"/>
      <c r="BW45" s="877"/>
      <c r="BX45" s="877"/>
      <c r="BY45" s="877"/>
      <c r="BZ45" s="877"/>
      <c r="CA45" s="878"/>
      <c r="CB45" s="885"/>
      <c r="CI45" s="319"/>
      <c r="CJ45" s="876"/>
      <c r="CK45" s="877"/>
      <c r="CL45" s="877"/>
      <c r="CM45" s="877"/>
      <c r="CN45" s="877"/>
      <c r="CO45" s="877"/>
      <c r="CP45" s="877"/>
      <c r="CQ45" s="877"/>
      <c r="CR45" s="877"/>
      <c r="CS45" s="877"/>
      <c r="CT45" s="877"/>
      <c r="CU45" s="878"/>
      <c r="CV45" s="885"/>
    </row>
    <row r="46" spans="10:100" ht="24" customHeight="1" x14ac:dyDescent="0.25">
      <c r="J46" s="319"/>
      <c r="K46" s="745"/>
      <c r="L46" s="746"/>
      <c r="M46" s="746"/>
      <c r="N46" s="746"/>
      <c r="O46" s="746"/>
      <c r="P46" s="746"/>
      <c r="Q46" s="746"/>
      <c r="R46" s="746"/>
      <c r="S46" s="746"/>
      <c r="T46" s="746"/>
      <c r="U46" s="746"/>
      <c r="V46" s="747"/>
      <c r="W46" s="885"/>
      <c r="AC46" s="319"/>
      <c r="AD46" s="876"/>
      <c r="AE46" s="877"/>
      <c r="AF46" s="877"/>
      <c r="AG46" s="877"/>
      <c r="AH46" s="877"/>
      <c r="AI46" s="877"/>
      <c r="AJ46" s="877"/>
      <c r="AK46" s="877"/>
      <c r="AL46" s="877"/>
      <c r="AM46" s="877"/>
      <c r="AN46" s="877"/>
      <c r="AO46" s="878"/>
      <c r="AP46" s="885"/>
      <c r="AV46" s="319"/>
      <c r="AW46" s="876"/>
      <c r="AX46" s="877"/>
      <c r="AY46" s="877"/>
      <c r="AZ46" s="877"/>
      <c r="BA46" s="877"/>
      <c r="BB46" s="877"/>
      <c r="BC46" s="877"/>
      <c r="BD46" s="877"/>
      <c r="BE46" s="877"/>
      <c r="BF46" s="877"/>
      <c r="BG46" s="877"/>
      <c r="BH46" s="878"/>
      <c r="BI46" s="885"/>
      <c r="BO46" s="319"/>
      <c r="BP46" s="876"/>
      <c r="BQ46" s="877"/>
      <c r="BR46" s="877"/>
      <c r="BS46" s="877"/>
      <c r="BT46" s="877"/>
      <c r="BU46" s="877"/>
      <c r="BV46" s="877"/>
      <c r="BW46" s="877"/>
      <c r="BX46" s="877"/>
      <c r="BY46" s="877"/>
      <c r="BZ46" s="877"/>
      <c r="CA46" s="878"/>
      <c r="CB46" s="885"/>
      <c r="CI46" s="319"/>
      <c r="CJ46" s="876"/>
      <c r="CK46" s="877"/>
      <c r="CL46" s="877"/>
      <c r="CM46" s="877"/>
      <c r="CN46" s="877"/>
      <c r="CO46" s="877"/>
      <c r="CP46" s="877"/>
      <c r="CQ46" s="877"/>
      <c r="CR46" s="877"/>
      <c r="CS46" s="877"/>
      <c r="CT46" s="877"/>
      <c r="CU46" s="878"/>
      <c r="CV46" s="885"/>
    </row>
    <row r="47" spans="10:100" ht="24" customHeight="1" x14ac:dyDescent="0.25">
      <c r="J47" s="319"/>
      <c r="K47" s="745"/>
      <c r="L47" s="746"/>
      <c r="M47" s="746"/>
      <c r="N47" s="746"/>
      <c r="O47" s="746"/>
      <c r="P47" s="746"/>
      <c r="Q47" s="746"/>
      <c r="R47" s="746"/>
      <c r="S47" s="746"/>
      <c r="T47" s="746"/>
      <c r="U47" s="746"/>
      <c r="V47" s="747"/>
      <c r="W47" s="885"/>
      <c r="AC47" s="319"/>
      <c r="AD47" s="876"/>
      <c r="AE47" s="877"/>
      <c r="AF47" s="877"/>
      <c r="AG47" s="877"/>
      <c r="AH47" s="877"/>
      <c r="AI47" s="877"/>
      <c r="AJ47" s="877"/>
      <c r="AK47" s="877"/>
      <c r="AL47" s="877"/>
      <c r="AM47" s="877"/>
      <c r="AN47" s="877"/>
      <c r="AO47" s="878"/>
      <c r="AP47" s="885"/>
      <c r="AV47" s="319"/>
      <c r="AW47" s="876"/>
      <c r="AX47" s="877"/>
      <c r="AY47" s="877"/>
      <c r="AZ47" s="877"/>
      <c r="BA47" s="877"/>
      <c r="BB47" s="877"/>
      <c r="BC47" s="877"/>
      <c r="BD47" s="877"/>
      <c r="BE47" s="877"/>
      <c r="BF47" s="877"/>
      <c r="BG47" s="877"/>
      <c r="BH47" s="878"/>
      <c r="BI47" s="885"/>
      <c r="BO47" s="319"/>
      <c r="BP47" s="876"/>
      <c r="BQ47" s="877"/>
      <c r="BR47" s="877"/>
      <c r="BS47" s="877"/>
      <c r="BT47" s="877"/>
      <c r="BU47" s="877"/>
      <c r="BV47" s="877"/>
      <c r="BW47" s="877"/>
      <c r="BX47" s="877"/>
      <c r="BY47" s="877"/>
      <c r="BZ47" s="877"/>
      <c r="CA47" s="878"/>
      <c r="CB47" s="885"/>
      <c r="CI47" s="319"/>
      <c r="CJ47" s="876"/>
      <c r="CK47" s="877"/>
      <c r="CL47" s="877"/>
      <c r="CM47" s="877"/>
      <c r="CN47" s="877"/>
      <c r="CO47" s="877"/>
      <c r="CP47" s="877"/>
      <c r="CQ47" s="877"/>
      <c r="CR47" s="877"/>
      <c r="CS47" s="877"/>
      <c r="CT47" s="877"/>
      <c r="CU47" s="878"/>
      <c r="CV47" s="885"/>
    </row>
    <row r="48" spans="10:100" ht="24" customHeight="1" x14ac:dyDescent="0.25">
      <c r="J48" s="319"/>
      <c r="K48" s="745"/>
      <c r="L48" s="746"/>
      <c r="M48" s="746"/>
      <c r="N48" s="746"/>
      <c r="O48" s="746"/>
      <c r="P48" s="746"/>
      <c r="Q48" s="746"/>
      <c r="R48" s="746"/>
      <c r="S48" s="746"/>
      <c r="T48" s="746"/>
      <c r="U48" s="746"/>
      <c r="V48" s="747"/>
      <c r="W48" s="885"/>
      <c r="AC48" s="319"/>
      <c r="AD48" s="876"/>
      <c r="AE48" s="877"/>
      <c r="AF48" s="877"/>
      <c r="AG48" s="877"/>
      <c r="AH48" s="877"/>
      <c r="AI48" s="877"/>
      <c r="AJ48" s="877"/>
      <c r="AK48" s="877"/>
      <c r="AL48" s="877"/>
      <c r="AM48" s="877"/>
      <c r="AN48" s="877"/>
      <c r="AO48" s="878"/>
      <c r="AP48" s="885"/>
      <c r="AV48" s="319"/>
      <c r="AW48" s="876"/>
      <c r="AX48" s="877"/>
      <c r="AY48" s="877"/>
      <c r="AZ48" s="877"/>
      <c r="BA48" s="877"/>
      <c r="BB48" s="877"/>
      <c r="BC48" s="877"/>
      <c r="BD48" s="877"/>
      <c r="BE48" s="877"/>
      <c r="BF48" s="877"/>
      <c r="BG48" s="877"/>
      <c r="BH48" s="878"/>
      <c r="BI48" s="885"/>
      <c r="BO48" s="319"/>
      <c r="BP48" s="876"/>
      <c r="BQ48" s="877"/>
      <c r="BR48" s="877"/>
      <c r="BS48" s="877"/>
      <c r="BT48" s="877"/>
      <c r="BU48" s="877"/>
      <c r="BV48" s="877"/>
      <c r="BW48" s="877"/>
      <c r="BX48" s="877"/>
      <c r="BY48" s="877"/>
      <c r="BZ48" s="877"/>
      <c r="CA48" s="878"/>
      <c r="CB48" s="885"/>
      <c r="CI48" s="319"/>
      <c r="CJ48" s="876"/>
      <c r="CK48" s="877"/>
      <c r="CL48" s="877"/>
      <c r="CM48" s="877"/>
      <c r="CN48" s="877"/>
      <c r="CO48" s="877"/>
      <c r="CP48" s="877"/>
      <c r="CQ48" s="877"/>
      <c r="CR48" s="877"/>
      <c r="CS48" s="877"/>
      <c r="CT48" s="877"/>
      <c r="CU48" s="878"/>
      <c r="CV48" s="885"/>
    </row>
    <row r="49" spans="7:100" ht="24" customHeight="1" x14ac:dyDescent="0.25">
      <c r="J49" s="319"/>
      <c r="K49" s="745"/>
      <c r="L49" s="746"/>
      <c r="M49" s="746"/>
      <c r="N49" s="746"/>
      <c r="O49" s="746"/>
      <c r="P49" s="746"/>
      <c r="Q49" s="746"/>
      <c r="R49" s="746"/>
      <c r="S49" s="746"/>
      <c r="T49" s="746"/>
      <c r="U49" s="746"/>
      <c r="V49" s="747"/>
      <c r="W49" s="896"/>
      <c r="AC49" s="319"/>
      <c r="AD49" s="876"/>
      <c r="AE49" s="877"/>
      <c r="AF49" s="877"/>
      <c r="AG49" s="877"/>
      <c r="AH49" s="877"/>
      <c r="AI49" s="877"/>
      <c r="AJ49" s="877"/>
      <c r="AK49" s="877"/>
      <c r="AL49" s="877"/>
      <c r="AM49" s="877"/>
      <c r="AN49" s="877"/>
      <c r="AO49" s="878"/>
      <c r="AP49" s="885"/>
      <c r="AV49" s="319"/>
      <c r="AW49" s="876"/>
      <c r="AX49" s="877"/>
      <c r="AY49" s="877"/>
      <c r="AZ49" s="877"/>
      <c r="BA49" s="877"/>
      <c r="BB49" s="877"/>
      <c r="BC49" s="877"/>
      <c r="BD49" s="877"/>
      <c r="BE49" s="877"/>
      <c r="BF49" s="877"/>
      <c r="BG49" s="877"/>
      <c r="BH49" s="878"/>
      <c r="BI49" s="885"/>
      <c r="BO49" s="319"/>
      <c r="BP49" s="876"/>
      <c r="BQ49" s="877"/>
      <c r="BR49" s="877"/>
      <c r="BS49" s="877"/>
      <c r="BT49" s="877"/>
      <c r="BU49" s="877"/>
      <c r="BV49" s="877"/>
      <c r="BW49" s="877"/>
      <c r="BX49" s="877"/>
      <c r="BY49" s="877"/>
      <c r="BZ49" s="877"/>
      <c r="CA49" s="878"/>
      <c r="CB49" s="885"/>
      <c r="CI49" s="319"/>
      <c r="CJ49" s="876"/>
      <c r="CK49" s="877"/>
      <c r="CL49" s="877"/>
      <c r="CM49" s="877"/>
      <c r="CN49" s="877"/>
      <c r="CO49" s="877"/>
      <c r="CP49" s="877"/>
      <c r="CQ49" s="877"/>
      <c r="CR49" s="877"/>
      <c r="CS49" s="877"/>
      <c r="CT49" s="877"/>
      <c r="CU49" s="878"/>
      <c r="CV49" s="885"/>
    </row>
    <row r="50" spans="7:100" ht="24" customHeight="1" x14ac:dyDescent="0.25">
      <c r="J50" s="319"/>
      <c r="K50" s="745"/>
      <c r="L50" s="746"/>
      <c r="M50" s="746"/>
      <c r="N50" s="746"/>
      <c r="O50" s="746"/>
      <c r="P50" s="746"/>
      <c r="Q50" s="746"/>
      <c r="R50" s="746"/>
      <c r="S50" s="746"/>
      <c r="T50" s="746"/>
      <c r="U50" s="746"/>
      <c r="V50" s="747"/>
      <c r="W50" s="356"/>
      <c r="AC50" s="319"/>
      <c r="AD50" s="876"/>
      <c r="AE50" s="877"/>
      <c r="AF50" s="877"/>
      <c r="AG50" s="877"/>
      <c r="AH50" s="877"/>
      <c r="AI50" s="877"/>
      <c r="AJ50" s="877"/>
      <c r="AK50" s="877"/>
      <c r="AL50" s="877"/>
      <c r="AM50" s="877"/>
      <c r="AN50" s="877"/>
      <c r="AO50" s="878"/>
      <c r="AP50" s="356"/>
      <c r="AV50" s="319"/>
      <c r="AW50" s="876"/>
      <c r="AX50" s="877"/>
      <c r="AY50" s="877"/>
      <c r="AZ50" s="877"/>
      <c r="BA50" s="877"/>
      <c r="BB50" s="877"/>
      <c r="BC50" s="877"/>
      <c r="BD50" s="877"/>
      <c r="BE50" s="877"/>
      <c r="BF50" s="877"/>
      <c r="BG50" s="877"/>
      <c r="BH50" s="878"/>
      <c r="BI50" s="356"/>
      <c r="BO50" s="319"/>
      <c r="BP50" s="876"/>
      <c r="BQ50" s="877"/>
      <c r="BR50" s="877"/>
      <c r="BS50" s="877"/>
      <c r="BT50" s="877"/>
      <c r="BU50" s="877"/>
      <c r="BV50" s="877"/>
      <c r="BW50" s="877"/>
      <c r="BX50" s="877"/>
      <c r="BY50" s="877"/>
      <c r="BZ50" s="877"/>
      <c r="CA50" s="878"/>
      <c r="CB50" s="356"/>
      <c r="CI50" s="319"/>
      <c r="CJ50" s="876"/>
      <c r="CK50" s="877"/>
      <c r="CL50" s="877"/>
      <c r="CM50" s="877"/>
      <c r="CN50" s="877"/>
      <c r="CO50" s="877"/>
      <c r="CP50" s="877"/>
      <c r="CQ50" s="877"/>
      <c r="CR50" s="877"/>
      <c r="CS50" s="877"/>
      <c r="CT50" s="877"/>
      <c r="CU50" s="878"/>
      <c r="CV50" s="356"/>
    </row>
    <row r="51" spans="7:100" ht="24" customHeight="1" x14ac:dyDescent="0.25">
      <c r="G51" s="142"/>
      <c r="H51" s="142"/>
      <c r="I51" s="142"/>
      <c r="J51" s="319"/>
      <c r="K51" s="748"/>
      <c r="L51" s="749"/>
      <c r="M51" s="749"/>
      <c r="N51" s="749"/>
      <c r="O51" s="749"/>
      <c r="P51" s="749"/>
      <c r="Q51" s="749"/>
      <c r="R51" s="749"/>
      <c r="S51" s="749"/>
      <c r="T51" s="749"/>
      <c r="U51" s="749"/>
      <c r="V51" s="750"/>
      <c r="W51" s="357"/>
      <c r="AC51" s="319"/>
      <c r="AD51" s="879"/>
      <c r="AE51" s="880"/>
      <c r="AF51" s="880"/>
      <c r="AG51" s="880"/>
      <c r="AH51" s="880"/>
      <c r="AI51" s="880"/>
      <c r="AJ51" s="880"/>
      <c r="AK51" s="880"/>
      <c r="AL51" s="880"/>
      <c r="AM51" s="880"/>
      <c r="AN51" s="880"/>
      <c r="AO51" s="881"/>
      <c r="AP51" s="357"/>
      <c r="AV51" s="319"/>
      <c r="AW51" s="879"/>
      <c r="AX51" s="880"/>
      <c r="AY51" s="880"/>
      <c r="AZ51" s="880"/>
      <c r="BA51" s="880"/>
      <c r="BB51" s="880"/>
      <c r="BC51" s="880"/>
      <c r="BD51" s="880"/>
      <c r="BE51" s="880"/>
      <c r="BF51" s="880"/>
      <c r="BG51" s="880"/>
      <c r="BH51" s="881"/>
      <c r="BI51" s="357"/>
      <c r="BO51" s="319"/>
      <c r="BP51" s="879"/>
      <c r="BQ51" s="880"/>
      <c r="BR51" s="880"/>
      <c r="BS51" s="880"/>
      <c r="BT51" s="880"/>
      <c r="BU51" s="880"/>
      <c r="BV51" s="880"/>
      <c r="BW51" s="880"/>
      <c r="BX51" s="880"/>
      <c r="BY51" s="880"/>
      <c r="BZ51" s="880"/>
      <c r="CA51" s="881"/>
      <c r="CB51" s="357"/>
      <c r="CI51" s="319"/>
      <c r="CJ51" s="879"/>
      <c r="CK51" s="880"/>
      <c r="CL51" s="880"/>
      <c r="CM51" s="880"/>
      <c r="CN51" s="880"/>
      <c r="CO51" s="880"/>
      <c r="CP51" s="880"/>
      <c r="CQ51" s="880"/>
      <c r="CR51" s="880"/>
      <c r="CS51" s="880"/>
      <c r="CT51" s="880"/>
      <c r="CU51" s="881"/>
      <c r="CV51" s="357"/>
    </row>
    <row r="52" spans="7:100" ht="24" customHeight="1" x14ac:dyDescent="0.25">
      <c r="G52" s="142"/>
      <c r="H52" s="142"/>
      <c r="I52" s="142"/>
      <c r="J52" s="319"/>
      <c r="K52" s="886"/>
      <c r="L52" s="886"/>
      <c r="M52" s="886"/>
      <c r="N52" s="886"/>
      <c r="O52" s="886"/>
      <c r="P52" s="886"/>
      <c r="Q52" s="886"/>
      <c r="R52" s="886"/>
      <c r="S52" s="886"/>
      <c r="T52" s="886"/>
      <c r="U52" s="886"/>
      <c r="V52" s="886"/>
      <c r="W52" s="357"/>
      <c r="AC52" s="319"/>
      <c r="AD52" s="886"/>
      <c r="AE52" s="886"/>
      <c r="AF52" s="886"/>
      <c r="AG52" s="886"/>
      <c r="AH52" s="886"/>
      <c r="AI52" s="886"/>
      <c r="AJ52" s="886"/>
      <c r="AK52" s="886"/>
      <c r="AL52" s="886"/>
      <c r="AM52" s="886"/>
      <c r="AN52" s="886"/>
      <c r="AO52" s="886"/>
      <c r="AP52" s="357"/>
      <c r="AV52" s="319"/>
      <c r="AW52" s="886"/>
      <c r="AX52" s="886"/>
      <c r="AY52" s="886"/>
      <c r="AZ52" s="886"/>
      <c r="BA52" s="886"/>
      <c r="BB52" s="886"/>
      <c r="BC52" s="886"/>
      <c r="BD52" s="886"/>
      <c r="BE52" s="886"/>
      <c r="BF52" s="886"/>
      <c r="BG52" s="886"/>
      <c r="BH52" s="886"/>
      <c r="BI52" s="357"/>
      <c r="BO52" s="319"/>
      <c r="BP52" s="886"/>
      <c r="BQ52" s="886"/>
      <c r="BR52" s="886"/>
      <c r="BS52" s="886"/>
      <c r="BT52" s="886"/>
      <c r="BU52" s="886"/>
      <c r="BV52" s="886"/>
      <c r="BW52" s="886"/>
      <c r="BX52" s="886"/>
      <c r="BY52" s="886"/>
      <c r="BZ52" s="886"/>
      <c r="CA52" s="886"/>
      <c r="CB52" s="357"/>
      <c r="CI52" s="319"/>
      <c r="CJ52" s="886"/>
      <c r="CK52" s="886"/>
      <c r="CL52" s="886"/>
      <c r="CM52" s="886"/>
      <c r="CN52" s="886"/>
      <c r="CO52" s="886"/>
      <c r="CP52" s="886"/>
      <c r="CQ52" s="886"/>
      <c r="CR52" s="886"/>
      <c r="CS52" s="886"/>
      <c r="CT52" s="886"/>
      <c r="CU52" s="886"/>
      <c r="CV52" s="357"/>
    </row>
    <row r="53" spans="7:100" ht="24" customHeight="1" thickBot="1" x14ac:dyDescent="0.3">
      <c r="G53" s="142"/>
      <c r="H53" s="142"/>
      <c r="I53" s="142"/>
      <c r="J53" s="320"/>
      <c r="K53" s="887"/>
      <c r="L53" s="887"/>
      <c r="M53" s="887"/>
      <c r="N53" s="887"/>
      <c r="O53" s="887"/>
      <c r="P53" s="887"/>
      <c r="Q53" s="887"/>
      <c r="R53" s="887"/>
      <c r="S53" s="887"/>
      <c r="T53" s="887"/>
      <c r="U53" s="887"/>
      <c r="V53" s="887"/>
      <c r="W53" s="358"/>
      <c r="AC53" s="320"/>
      <c r="AD53" s="887"/>
      <c r="AE53" s="887"/>
      <c r="AF53" s="887"/>
      <c r="AG53" s="887"/>
      <c r="AH53" s="887"/>
      <c r="AI53" s="887"/>
      <c r="AJ53" s="887"/>
      <c r="AK53" s="887"/>
      <c r="AL53" s="887"/>
      <c r="AM53" s="887"/>
      <c r="AN53" s="887"/>
      <c r="AO53" s="887"/>
      <c r="AP53" s="358"/>
      <c r="AV53" s="320"/>
      <c r="AW53" s="887"/>
      <c r="AX53" s="887"/>
      <c r="AY53" s="887"/>
      <c r="AZ53" s="887"/>
      <c r="BA53" s="887"/>
      <c r="BB53" s="887"/>
      <c r="BC53" s="887"/>
      <c r="BD53" s="887"/>
      <c r="BE53" s="887"/>
      <c r="BF53" s="887"/>
      <c r="BG53" s="887"/>
      <c r="BH53" s="887"/>
      <c r="BI53" s="358"/>
      <c r="BO53" s="320"/>
      <c r="BP53" s="887"/>
      <c r="BQ53" s="887"/>
      <c r="BR53" s="887"/>
      <c r="BS53" s="887"/>
      <c r="BT53" s="887"/>
      <c r="BU53" s="887"/>
      <c r="BV53" s="887"/>
      <c r="BW53" s="887"/>
      <c r="BX53" s="887"/>
      <c r="BY53" s="887"/>
      <c r="BZ53" s="887"/>
      <c r="CA53" s="887"/>
      <c r="CB53" s="358"/>
      <c r="CI53" s="320"/>
      <c r="CJ53" s="887"/>
      <c r="CK53" s="887"/>
      <c r="CL53" s="887"/>
      <c r="CM53" s="887"/>
      <c r="CN53" s="887"/>
      <c r="CO53" s="887"/>
      <c r="CP53" s="887"/>
      <c r="CQ53" s="887"/>
      <c r="CR53" s="887"/>
      <c r="CS53" s="887"/>
      <c r="CT53" s="887"/>
      <c r="CU53" s="887"/>
      <c r="CV53" s="358"/>
    </row>
    <row r="57" spans="7:100" ht="24" customHeight="1" x14ac:dyDescent="0.25">
      <c r="J57" s="886"/>
      <c r="K57" s="798"/>
      <c r="L57" s="774"/>
      <c r="M57" s="774"/>
      <c r="N57" s="774"/>
      <c r="O57" s="774"/>
      <c r="P57" s="774"/>
      <c r="Q57" s="774"/>
      <c r="R57" s="774"/>
      <c r="S57" s="774"/>
      <c r="T57" s="774"/>
      <c r="U57" s="774"/>
      <c r="V57" s="775"/>
      <c r="W57" s="356"/>
      <c r="AC57" s="886"/>
      <c r="AD57" s="798"/>
      <c r="AE57" s="774"/>
      <c r="AF57" s="774"/>
      <c r="AG57" s="774"/>
      <c r="AH57" s="774"/>
      <c r="AI57" s="774"/>
      <c r="AJ57" s="774"/>
      <c r="AK57" s="774"/>
      <c r="AL57" s="774"/>
      <c r="AM57" s="774"/>
      <c r="AN57" s="774"/>
      <c r="AO57" s="775"/>
      <c r="AP57" s="356"/>
      <c r="AV57" s="886"/>
      <c r="AW57" s="798"/>
      <c r="AX57" s="774"/>
      <c r="AY57" s="774"/>
      <c r="AZ57" s="774"/>
      <c r="BA57" s="774"/>
      <c r="BB57" s="774"/>
      <c r="BC57" s="774"/>
      <c r="BD57" s="774"/>
      <c r="BE57" s="774"/>
      <c r="BF57" s="774"/>
      <c r="BG57" s="774"/>
      <c r="BH57" s="775"/>
      <c r="BI57" s="356"/>
      <c r="BO57" s="886"/>
      <c r="BP57" s="798"/>
      <c r="BQ57" s="774"/>
      <c r="BR57" s="774"/>
      <c r="BS57" s="774"/>
      <c r="BT57" s="774"/>
      <c r="BU57" s="774"/>
      <c r="BV57" s="774"/>
      <c r="BW57" s="774"/>
      <c r="BX57" s="774"/>
      <c r="BY57" s="774"/>
      <c r="BZ57" s="774"/>
      <c r="CA57" s="775"/>
      <c r="CB57" s="356"/>
      <c r="CI57" s="886"/>
      <c r="CJ57" s="798"/>
      <c r="CK57" s="774"/>
      <c r="CL57" s="774"/>
      <c r="CM57" s="774"/>
      <c r="CN57" s="774"/>
      <c r="CO57" s="774"/>
      <c r="CP57" s="774"/>
      <c r="CQ57" s="774"/>
      <c r="CR57" s="774"/>
      <c r="CS57" s="774"/>
      <c r="CT57" s="774"/>
      <c r="CU57" s="775"/>
      <c r="CV57" s="356"/>
    </row>
    <row r="58" spans="7:100" ht="24" customHeight="1" thickBot="1" x14ac:dyDescent="0.3">
      <c r="J58" s="888"/>
      <c r="K58" s="776"/>
      <c r="L58" s="777"/>
      <c r="M58" s="777"/>
      <c r="N58" s="777"/>
      <c r="O58" s="777"/>
      <c r="P58" s="777"/>
      <c r="Q58" s="777"/>
      <c r="R58" s="777"/>
      <c r="S58" s="777"/>
      <c r="T58" s="777"/>
      <c r="U58" s="777"/>
      <c r="V58" s="778"/>
      <c r="W58" s="358"/>
      <c r="AC58" s="888"/>
      <c r="AD58" s="776"/>
      <c r="AE58" s="777"/>
      <c r="AF58" s="777"/>
      <c r="AG58" s="777"/>
      <c r="AH58" s="777"/>
      <c r="AI58" s="777"/>
      <c r="AJ58" s="777"/>
      <c r="AK58" s="777"/>
      <c r="AL58" s="777"/>
      <c r="AM58" s="777"/>
      <c r="AN58" s="777"/>
      <c r="AO58" s="778"/>
      <c r="AP58" s="358"/>
      <c r="AV58" s="888"/>
      <c r="AW58" s="776"/>
      <c r="AX58" s="777"/>
      <c r="AY58" s="777"/>
      <c r="AZ58" s="777"/>
      <c r="BA58" s="777"/>
      <c r="BB58" s="777"/>
      <c r="BC58" s="777"/>
      <c r="BD58" s="777"/>
      <c r="BE58" s="777"/>
      <c r="BF58" s="777"/>
      <c r="BG58" s="777"/>
      <c r="BH58" s="778"/>
      <c r="BI58" s="358"/>
      <c r="BO58" s="888"/>
      <c r="BP58" s="776"/>
      <c r="BQ58" s="777"/>
      <c r="BR58" s="777"/>
      <c r="BS58" s="777"/>
      <c r="BT58" s="777"/>
      <c r="BU58" s="777"/>
      <c r="BV58" s="777"/>
      <c r="BW58" s="777"/>
      <c r="BX58" s="777"/>
      <c r="BY58" s="777"/>
      <c r="BZ58" s="777"/>
      <c r="CA58" s="778"/>
      <c r="CB58" s="358"/>
      <c r="CI58" s="888"/>
      <c r="CJ58" s="776"/>
      <c r="CK58" s="777"/>
      <c r="CL58" s="777"/>
      <c r="CM58" s="777"/>
      <c r="CN58" s="777"/>
      <c r="CO58" s="777"/>
      <c r="CP58" s="777"/>
      <c r="CQ58" s="777"/>
      <c r="CR58" s="777"/>
      <c r="CS58" s="777"/>
      <c r="CT58" s="777"/>
      <c r="CU58" s="778"/>
      <c r="CV58" s="358"/>
    </row>
    <row r="59" spans="7:100" ht="24" customHeight="1" x14ac:dyDescent="0.25">
      <c r="J59" s="319"/>
      <c r="K59" s="873"/>
      <c r="L59" s="874"/>
      <c r="M59" s="874"/>
      <c r="N59" s="874"/>
      <c r="O59" s="874"/>
      <c r="P59" s="874"/>
      <c r="Q59" s="874"/>
      <c r="R59" s="874"/>
      <c r="S59" s="874"/>
      <c r="T59" s="874"/>
      <c r="U59" s="874"/>
      <c r="V59" s="875"/>
      <c r="W59" s="882" t="s">
        <v>628</v>
      </c>
      <c r="AC59" s="319"/>
      <c r="AD59" s="873"/>
      <c r="AE59" s="874"/>
      <c r="AF59" s="874"/>
      <c r="AG59" s="874"/>
      <c r="AH59" s="874"/>
      <c r="AI59" s="874"/>
      <c r="AJ59" s="874"/>
      <c r="AK59" s="874"/>
      <c r="AL59" s="874"/>
      <c r="AM59" s="874"/>
      <c r="AN59" s="874"/>
      <c r="AO59" s="875"/>
      <c r="AP59" s="882" t="s">
        <v>628</v>
      </c>
      <c r="AV59" s="319"/>
      <c r="AW59" s="873"/>
      <c r="AX59" s="874"/>
      <c r="AY59" s="874"/>
      <c r="AZ59" s="874"/>
      <c r="BA59" s="874"/>
      <c r="BB59" s="874"/>
      <c r="BC59" s="874"/>
      <c r="BD59" s="874"/>
      <c r="BE59" s="874"/>
      <c r="BF59" s="874"/>
      <c r="BG59" s="874"/>
      <c r="BH59" s="875"/>
      <c r="BI59" s="882" t="s">
        <v>628</v>
      </c>
      <c r="BO59" s="319"/>
      <c r="BP59" s="873"/>
      <c r="BQ59" s="874"/>
      <c r="BR59" s="874"/>
      <c r="BS59" s="874"/>
      <c r="BT59" s="874"/>
      <c r="BU59" s="874"/>
      <c r="BV59" s="874"/>
      <c r="BW59" s="874"/>
      <c r="BX59" s="874"/>
      <c r="BY59" s="874"/>
      <c r="BZ59" s="874"/>
      <c r="CA59" s="875"/>
      <c r="CB59" s="882" t="s">
        <v>628</v>
      </c>
      <c r="CI59" s="319"/>
      <c r="CJ59" s="873"/>
      <c r="CK59" s="874"/>
      <c r="CL59" s="874"/>
      <c r="CM59" s="874"/>
      <c r="CN59" s="874"/>
      <c r="CO59" s="874"/>
      <c r="CP59" s="874"/>
      <c r="CQ59" s="874"/>
      <c r="CR59" s="874"/>
      <c r="CS59" s="874"/>
      <c r="CT59" s="874"/>
      <c r="CU59" s="875"/>
      <c r="CV59" s="882" t="s">
        <v>628</v>
      </c>
    </row>
    <row r="60" spans="7:100" ht="24" customHeight="1" x14ac:dyDescent="0.25">
      <c r="J60" s="319"/>
      <c r="K60" s="876"/>
      <c r="L60" s="877"/>
      <c r="M60" s="877"/>
      <c r="N60" s="877"/>
      <c r="O60" s="877"/>
      <c r="P60" s="877"/>
      <c r="Q60" s="877"/>
      <c r="R60" s="877"/>
      <c r="S60" s="877"/>
      <c r="T60" s="877"/>
      <c r="U60" s="877"/>
      <c r="V60" s="878"/>
      <c r="W60" s="883"/>
      <c r="AC60" s="319"/>
      <c r="AD60" s="876"/>
      <c r="AE60" s="877"/>
      <c r="AF60" s="877"/>
      <c r="AG60" s="877"/>
      <c r="AH60" s="877"/>
      <c r="AI60" s="877"/>
      <c r="AJ60" s="877"/>
      <c r="AK60" s="877"/>
      <c r="AL60" s="877"/>
      <c r="AM60" s="877"/>
      <c r="AN60" s="877"/>
      <c r="AO60" s="878"/>
      <c r="AP60" s="883"/>
      <c r="AV60" s="319"/>
      <c r="AW60" s="876"/>
      <c r="AX60" s="877"/>
      <c r="AY60" s="877"/>
      <c r="AZ60" s="877"/>
      <c r="BA60" s="877"/>
      <c r="BB60" s="877"/>
      <c r="BC60" s="877"/>
      <c r="BD60" s="877"/>
      <c r="BE60" s="877"/>
      <c r="BF60" s="877"/>
      <c r="BG60" s="877"/>
      <c r="BH60" s="878"/>
      <c r="BI60" s="883"/>
      <c r="BO60" s="319"/>
      <c r="BP60" s="876"/>
      <c r="BQ60" s="877"/>
      <c r="BR60" s="877"/>
      <c r="BS60" s="877"/>
      <c r="BT60" s="877"/>
      <c r="BU60" s="877"/>
      <c r="BV60" s="877"/>
      <c r="BW60" s="877"/>
      <c r="BX60" s="877"/>
      <c r="BY60" s="877"/>
      <c r="BZ60" s="877"/>
      <c r="CA60" s="878"/>
      <c r="CB60" s="883"/>
      <c r="CI60" s="319"/>
      <c r="CJ60" s="876"/>
      <c r="CK60" s="877"/>
      <c r="CL60" s="877"/>
      <c r="CM60" s="877"/>
      <c r="CN60" s="877"/>
      <c r="CO60" s="877"/>
      <c r="CP60" s="877"/>
      <c r="CQ60" s="877"/>
      <c r="CR60" s="877"/>
      <c r="CS60" s="877"/>
      <c r="CT60" s="877"/>
      <c r="CU60" s="878"/>
      <c r="CV60" s="883"/>
    </row>
    <row r="61" spans="7:100" ht="24" customHeight="1" x14ac:dyDescent="0.25">
      <c r="J61" s="319"/>
      <c r="K61" s="876"/>
      <c r="L61" s="877"/>
      <c r="M61" s="877"/>
      <c r="N61" s="877"/>
      <c r="O61" s="877"/>
      <c r="P61" s="877"/>
      <c r="Q61" s="877"/>
      <c r="R61" s="877"/>
      <c r="S61" s="877"/>
      <c r="T61" s="877"/>
      <c r="U61" s="877"/>
      <c r="V61" s="878"/>
      <c r="W61" s="884"/>
      <c r="AC61" s="319"/>
      <c r="AD61" s="876"/>
      <c r="AE61" s="877"/>
      <c r="AF61" s="877"/>
      <c r="AG61" s="877"/>
      <c r="AH61" s="877"/>
      <c r="AI61" s="877"/>
      <c r="AJ61" s="877"/>
      <c r="AK61" s="877"/>
      <c r="AL61" s="877"/>
      <c r="AM61" s="877"/>
      <c r="AN61" s="877"/>
      <c r="AO61" s="878"/>
      <c r="AP61" s="884"/>
      <c r="AV61" s="319"/>
      <c r="AW61" s="876"/>
      <c r="AX61" s="877"/>
      <c r="AY61" s="877"/>
      <c r="AZ61" s="877"/>
      <c r="BA61" s="877"/>
      <c r="BB61" s="877"/>
      <c r="BC61" s="877"/>
      <c r="BD61" s="877"/>
      <c r="BE61" s="877"/>
      <c r="BF61" s="877"/>
      <c r="BG61" s="877"/>
      <c r="BH61" s="878"/>
      <c r="BI61" s="884"/>
      <c r="BO61" s="319"/>
      <c r="BP61" s="876"/>
      <c r="BQ61" s="877"/>
      <c r="BR61" s="877"/>
      <c r="BS61" s="877"/>
      <c r="BT61" s="877"/>
      <c r="BU61" s="877"/>
      <c r="BV61" s="877"/>
      <c r="BW61" s="877"/>
      <c r="BX61" s="877"/>
      <c r="BY61" s="877"/>
      <c r="BZ61" s="877"/>
      <c r="CA61" s="878"/>
      <c r="CB61" s="884"/>
      <c r="CI61" s="319"/>
      <c r="CJ61" s="876"/>
      <c r="CK61" s="877"/>
      <c r="CL61" s="877"/>
      <c r="CM61" s="877"/>
      <c r="CN61" s="877"/>
      <c r="CO61" s="877"/>
      <c r="CP61" s="877"/>
      <c r="CQ61" s="877"/>
      <c r="CR61" s="877"/>
      <c r="CS61" s="877"/>
      <c r="CT61" s="877"/>
      <c r="CU61" s="878"/>
      <c r="CV61" s="884"/>
    </row>
    <row r="62" spans="7:100" ht="24" customHeight="1" x14ac:dyDescent="0.25">
      <c r="J62" s="319"/>
      <c r="K62" s="876"/>
      <c r="L62" s="877"/>
      <c r="M62" s="877"/>
      <c r="N62" s="877"/>
      <c r="O62" s="877"/>
      <c r="P62" s="877"/>
      <c r="Q62" s="877"/>
      <c r="R62" s="877"/>
      <c r="S62" s="877"/>
      <c r="T62" s="877"/>
      <c r="U62" s="877"/>
      <c r="V62" s="878"/>
      <c r="W62" s="885"/>
      <c r="AC62" s="319"/>
      <c r="AD62" s="876"/>
      <c r="AE62" s="877"/>
      <c r="AF62" s="877"/>
      <c r="AG62" s="877"/>
      <c r="AH62" s="877"/>
      <c r="AI62" s="877"/>
      <c r="AJ62" s="877"/>
      <c r="AK62" s="877"/>
      <c r="AL62" s="877"/>
      <c r="AM62" s="877"/>
      <c r="AN62" s="877"/>
      <c r="AO62" s="878"/>
      <c r="AP62" s="885"/>
      <c r="AV62" s="319"/>
      <c r="AW62" s="876"/>
      <c r="AX62" s="877"/>
      <c r="AY62" s="877"/>
      <c r="AZ62" s="877"/>
      <c r="BA62" s="877"/>
      <c r="BB62" s="877"/>
      <c r="BC62" s="877"/>
      <c r="BD62" s="877"/>
      <c r="BE62" s="877"/>
      <c r="BF62" s="877"/>
      <c r="BG62" s="877"/>
      <c r="BH62" s="878"/>
      <c r="BI62" s="885"/>
      <c r="BO62" s="319"/>
      <c r="BP62" s="876"/>
      <c r="BQ62" s="877"/>
      <c r="BR62" s="877"/>
      <c r="BS62" s="877"/>
      <c r="BT62" s="877"/>
      <c r="BU62" s="877"/>
      <c r="BV62" s="877"/>
      <c r="BW62" s="877"/>
      <c r="BX62" s="877"/>
      <c r="BY62" s="877"/>
      <c r="BZ62" s="877"/>
      <c r="CA62" s="878"/>
      <c r="CB62" s="885"/>
      <c r="CI62" s="319"/>
      <c r="CJ62" s="876"/>
      <c r="CK62" s="877"/>
      <c r="CL62" s="877"/>
      <c r="CM62" s="877"/>
      <c r="CN62" s="877"/>
      <c r="CO62" s="877"/>
      <c r="CP62" s="877"/>
      <c r="CQ62" s="877"/>
      <c r="CR62" s="877"/>
      <c r="CS62" s="877"/>
      <c r="CT62" s="877"/>
      <c r="CU62" s="878"/>
      <c r="CV62" s="885"/>
    </row>
    <row r="63" spans="7:100" ht="24" customHeight="1" x14ac:dyDescent="0.25">
      <c r="J63" s="319"/>
      <c r="K63" s="876"/>
      <c r="L63" s="877"/>
      <c r="M63" s="877"/>
      <c r="N63" s="877"/>
      <c r="O63" s="877"/>
      <c r="P63" s="877"/>
      <c r="Q63" s="877"/>
      <c r="R63" s="877"/>
      <c r="S63" s="877"/>
      <c r="T63" s="877"/>
      <c r="U63" s="877"/>
      <c r="V63" s="878"/>
      <c r="W63" s="885"/>
      <c r="AC63" s="319"/>
      <c r="AD63" s="876"/>
      <c r="AE63" s="877"/>
      <c r="AF63" s="877"/>
      <c r="AG63" s="877"/>
      <c r="AH63" s="877"/>
      <c r="AI63" s="877"/>
      <c r="AJ63" s="877"/>
      <c r="AK63" s="877"/>
      <c r="AL63" s="877"/>
      <c r="AM63" s="877"/>
      <c r="AN63" s="877"/>
      <c r="AO63" s="878"/>
      <c r="AP63" s="885"/>
      <c r="AV63" s="319"/>
      <c r="AW63" s="876"/>
      <c r="AX63" s="877"/>
      <c r="AY63" s="877"/>
      <c r="AZ63" s="877"/>
      <c r="BA63" s="877"/>
      <c r="BB63" s="877"/>
      <c r="BC63" s="877"/>
      <c r="BD63" s="877"/>
      <c r="BE63" s="877"/>
      <c r="BF63" s="877"/>
      <c r="BG63" s="877"/>
      <c r="BH63" s="878"/>
      <c r="BI63" s="885"/>
      <c r="BO63" s="319"/>
      <c r="BP63" s="876"/>
      <c r="BQ63" s="877"/>
      <c r="BR63" s="877"/>
      <c r="BS63" s="877"/>
      <c r="BT63" s="877"/>
      <c r="BU63" s="877"/>
      <c r="BV63" s="877"/>
      <c r="BW63" s="877"/>
      <c r="BX63" s="877"/>
      <c r="BY63" s="877"/>
      <c r="BZ63" s="877"/>
      <c r="CA63" s="878"/>
      <c r="CB63" s="885"/>
      <c r="CI63" s="319"/>
      <c r="CJ63" s="876"/>
      <c r="CK63" s="877"/>
      <c r="CL63" s="877"/>
      <c r="CM63" s="877"/>
      <c r="CN63" s="877"/>
      <c r="CO63" s="877"/>
      <c r="CP63" s="877"/>
      <c r="CQ63" s="877"/>
      <c r="CR63" s="877"/>
      <c r="CS63" s="877"/>
      <c r="CT63" s="877"/>
      <c r="CU63" s="878"/>
      <c r="CV63" s="885"/>
    </row>
    <row r="64" spans="7:100" ht="24" customHeight="1" x14ac:dyDescent="0.25">
      <c r="J64" s="319"/>
      <c r="K64" s="876"/>
      <c r="L64" s="877"/>
      <c r="M64" s="877"/>
      <c r="N64" s="877"/>
      <c r="O64" s="877"/>
      <c r="P64" s="877"/>
      <c r="Q64" s="877"/>
      <c r="R64" s="877"/>
      <c r="S64" s="877"/>
      <c r="T64" s="877"/>
      <c r="U64" s="877"/>
      <c r="V64" s="878"/>
      <c r="W64" s="885"/>
      <c r="AC64" s="319"/>
      <c r="AD64" s="876"/>
      <c r="AE64" s="877"/>
      <c r="AF64" s="877"/>
      <c r="AG64" s="877"/>
      <c r="AH64" s="877"/>
      <c r="AI64" s="877"/>
      <c r="AJ64" s="877"/>
      <c r="AK64" s="877"/>
      <c r="AL64" s="877"/>
      <c r="AM64" s="877"/>
      <c r="AN64" s="877"/>
      <c r="AO64" s="878"/>
      <c r="AP64" s="885"/>
      <c r="AV64" s="319"/>
      <c r="AW64" s="876"/>
      <c r="AX64" s="877"/>
      <c r="AY64" s="877"/>
      <c r="AZ64" s="877"/>
      <c r="BA64" s="877"/>
      <c r="BB64" s="877"/>
      <c r="BC64" s="877"/>
      <c r="BD64" s="877"/>
      <c r="BE64" s="877"/>
      <c r="BF64" s="877"/>
      <c r="BG64" s="877"/>
      <c r="BH64" s="878"/>
      <c r="BI64" s="885"/>
      <c r="BO64" s="319"/>
      <c r="BP64" s="876"/>
      <c r="BQ64" s="877"/>
      <c r="BR64" s="877"/>
      <c r="BS64" s="877"/>
      <c r="BT64" s="877"/>
      <c r="BU64" s="877"/>
      <c r="BV64" s="877"/>
      <c r="BW64" s="877"/>
      <c r="BX64" s="877"/>
      <c r="BY64" s="877"/>
      <c r="BZ64" s="877"/>
      <c r="CA64" s="878"/>
      <c r="CB64" s="885"/>
      <c r="CI64" s="319"/>
      <c r="CJ64" s="876"/>
      <c r="CK64" s="877"/>
      <c r="CL64" s="877"/>
      <c r="CM64" s="877"/>
      <c r="CN64" s="877"/>
      <c r="CO64" s="877"/>
      <c r="CP64" s="877"/>
      <c r="CQ64" s="877"/>
      <c r="CR64" s="877"/>
      <c r="CS64" s="877"/>
      <c r="CT64" s="877"/>
      <c r="CU64" s="878"/>
      <c r="CV64" s="885"/>
    </row>
    <row r="65" spans="7:100" ht="24" customHeight="1" x14ac:dyDescent="0.25">
      <c r="J65" s="319"/>
      <c r="K65" s="876"/>
      <c r="L65" s="877"/>
      <c r="M65" s="877"/>
      <c r="N65" s="877"/>
      <c r="O65" s="877"/>
      <c r="P65" s="877"/>
      <c r="Q65" s="877"/>
      <c r="R65" s="877"/>
      <c r="S65" s="877"/>
      <c r="T65" s="877"/>
      <c r="U65" s="877"/>
      <c r="V65" s="878"/>
      <c r="W65" s="885"/>
      <c r="AC65" s="319"/>
      <c r="AD65" s="876"/>
      <c r="AE65" s="877"/>
      <c r="AF65" s="877"/>
      <c r="AG65" s="877"/>
      <c r="AH65" s="877"/>
      <c r="AI65" s="877"/>
      <c r="AJ65" s="877"/>
      <c r="AK65" s="877"/>
      <c r="AL65" s="877"/>
      <c r="AM65" s="877"/>
      <c r="AN65" s="877"/>
      <c r="AO65" s="878"/>
      <c r="AP65" s="885"/>
      <c r="AV65" s="319"/>
      <c r="AW65" s="876"/>
      <c r="AX65" s="877"/>
      <c r="AY65" s="877"/>
      <c r="AZ65" s="877"/>
      <c r="BA65" s="877"/>
      <c r="BB65" s="877"/>
      <c r="BC65" s="877"/>
      <c r="BD65" s="877"/>
      <c r="BE65" s="877"/>
      <c r="BF65" s="877"/>
      <c r="BG65" s="877"/>
      <c r="BH65" s="878"/>
      <c r="BI65" s="885"/>
      <c r="BO65" s="319"/>
      <c r="BP65" s="876"/>
      <c r="BQ65" s="877"/>
      <c r="BR65" s="877"/>
      <c r="BS65" s="877"/>
      <c r="BT65" s="877"/>
      <c r="BU65" s="877"/>
      <c r="BV65" s="877"/>
      <c r="BW65" s="877"/>
      <c r="BX65" s="877"/>
      <c r="BY65" s="877"/>
      <c r="BZ65" s="877"/>
      <c r="CA65" s="878"/>
      <c r="CB65" s="885"/>
      <c r="CI65" s="319"/>
      <c r="CJ65" s="876"/>
      <c r="CK65" s="877"/>
      <c r="CL65" s="877"/>
      <c r="CM65" s="877"/>
      <c r="CN65" s="877"/>
      <c r="CO65" s="877"/>
      <c r="CP65" s="877"/>
      <c r="CQ65" s="877"/>
      <c r="CR65" s="877"/>
      <c r="CS65" s="877"/>
      <c r="CT65" s="877"/>
      <c r="CU65" s="878"/>
      <c r="CV65" s="885"/>
    </row>
    <row r="66" spans="7:100" ht="24" customHeight="1" x14ac:dyDescent="0.25">
      <c r="J66" s="319"/>
      <c r="K66" s="876"/>
      <c r="L66" s="877"/>
      <c r="M66" s="877"/>
      <c r="N66" s="877"/>
      <c r="O66" s="877"/>
      <c r="P66" s="877"/>
      <c r="Q66" s="877"/>
      <c r="R66" s="877"/>
      <c r="S66" s="877"/>
      <c r="T66" s="877"/>
      <c r="U66" s="877"/>
      <c r="V66" s="878"/>
      <c r="W66" s="885"/>
      <c r="AC66" s="319"/>
      <c r="AD66" s="876"/>
      <c r="AE66" s="877"/>
      <c r="AF66" s="877"/>
      <c r="AG66" s="877"/>
      <c r="AH66" s="877"/>
      <c r="AI66" s="877"/>
      <c r="AJ66" s="877"/>
      <c r="AK66" s="877"/>
      <c r="AL66" s="877"/>
      <c r="AM66" s="877"/>
      <c r="AN66" s="877"/>
      <c r="AO66" s="878"/>
      <c r="AP66" s="885"/>
      <c r="AV66" s="319"/>
      <c r="AW66" s="876"/>
      <c r="AX66" s="877"/>
      <c r="AY66" s="877"/>
      <c r="AZ66" s="877"/>
      <c r="BA66" s="877"/>
      <c r="BB66" s="877"/>
      <c r="BC66" s="877"/>
      <c r="BD66" s="877"/>
      <c r="BE66" s="877"/>
      <c r="BF66" s="877"/>
      <c r="BG66" s="877"/>
      <c r="BH66" s="878"/>
      <c r="BI66" s="885"/>
      <c r="BO66" s="319"/>
      <c r="BP66" s="876"/>
      <c r="BQ66" s="877"/>
      <c r="BR66" s="877"/>
      <c r="BS66" s="877"/>
      <c r="BT66" s="877"/>
      <c r="BU66" s="877"/>
      <c r="BV66" s="877"/>
      <c r="BW66" s="877"/>
      <c r="BX66" s="877"/>
      <c r="BY66" s="877"/>
      <c r="BZ66" s="877"/>
      <c r="CA66" s="878"/>
      <c r="CB66" s="885"/>
      <c r="CI66" s="319"/>
      <c r="CJ66" s="876"/>
      <c r="CK66" s="877"/>
      <c r="CL66" s="877"/>
      <c r="CM66" s="877"/>
      <c r="CN66" s="877"/>
      <c r="CO66" s="877"/>
      <c r="CP66" s="877"/>
      <c r="CQ66" s="877"/>
      <c r="CR66" s="877"/>
      <c r="CS66" s="877"/>
      <c r="CT66" s="877"/>
      <c r="CU66" s="878"/>
      <c r="CV66" s="885"/>
    </row>
    <row r="67" spans="7:100" ht="24" customHeight="1" x14ac:dyDescent="0.25">
      <c r="J67" s="319"/>
      <c r="K67" s="876"/>
      <c r="L67" s="877"/>
      <c r="M67" s="877"/>
      <c r="N67" s="877"/>
      <c r="O67" s="877"/>
      <c r="P67" s="877"/>
      <c r="Q67" s="877"/>
      <c r="R67" s="877"/>
      <c r="S67" s="877"/>
      <c r="T67" s="877"/>
      <c r="U67" s="877"/>
      <c r="V67" s="878"/>
      <c r="W67" s="885"/>
      <c r="AC67" s="319"/>
      <c r="AD67" s="876"/>
      <c r="AE67" s="877"/>
      <c r="AF67" s="877"/>
      <c r="AG67" s="877"/>
      <c r="AH67" s="877"/>
      <c r="AI67" s="877"/>
      <c r="AJ67" s="877"/>
      <c r="AK67" s="877"/>
      <c r="AL67" s="877"/>
      <c r="AM67" s="877"/>
      <c r="AN67" s="877"/>
      <c r="AO67" s="878"/>
      <c r="AP67" s="885"/>
      <c r="AV67" s="319"/>
      <c r="AW67" s="876"/>
      <c r="AX67" s="877"/>
      <c r="AY67" s="877"/>
      <c r="AZ67" s="877"/>
      <c r="BA67" s="877"/>
      <c r="BB67" s="877"/>
      <c r="BC67" s="877"/>
      <c r="BD67" s="877"/>
      <c r="BE67" s="877"/>
      <c r="BF67" s="877"/>
      <c r="BG67" s="877"/>
      <c r="BH67" s="878"/>
      <c r="BI67" s="885"/>
      <c r="BO67" s="319"/>
      <c r="BP67" s="876"/>
      <c r="BQ67" s="877"/>
      <c r="BR67" s="877"/>
      <c r="BS67" s="877"/>
      <c r="BT67" s="877"/>
      <c r="BU67" s="877"/>
      <c r="BV67" s="877"/>
      <c r="BW67" s="877"/>
      <c r="BX67" s="877"/>
      <c r="BY67" s="877"/>
      <c r="BZ67" s="877"/>
      <c r="CA67" s="878"/>
      <c r="CB67" s="885"/>
      <c r="CI67" s="319"/>
      <c r="CJ67" s="876"/>
      <c r="CK67" s="877"/>
      <c r="CL67" s="877"/>
      <c r="CM67" s="877"/>
      <c r="CN67" s="877"/>
      <c r="CO67" s="877"/>
      <c r="CP67" s="877"/>
      <c r="CQ67" s="877"/>
      <c r="CR67" s="877"/>
      <c r="CS67" s="877"/>
      <c r="CT67" s="877"/>
      <c r="CU67" s="878"/>
      <c r="CV67" s="885"/>
    </row>
    <row r="68" spans="7:100" ht="24" customHeight="1" x14ac:dyDescent="0.25">
      <c r="J68" s="319"/>
      <c r="K68" s="876"/>
      <c r="L68" s="877"/>
      <c r="M68" s="877"/>
      <c r="N68" s="877"/>
      <c r="O68" s="877"/>
      <c r="P68" s="877"/>
      <c r="Q68" s="877"/>
      <c r="R68" s="877"/>
      <c r="S68" s="877"/>
      <c r="T68" s="877"/>
      <c r="U68" s="877"/>
      <c r="V68" s="878"/>
      <c r="W68" s="885"/>
      <c r="AC68" s="319"/>
      <c r="AD68" s="876"/>
      <c r="AE68" s="877"/>
      <c r="AF68" s="877"/>
      <c r="AG68" s="877"/>
      <c r="AH68" s="877"/>
      <c r="AI68" s="877"/>
      <c r="AJ68" s="877"/>
      <c r="AK68" s="877"/>
      <c r="AL68" s="877"/>
      <c r="AM68" s="877"/>
      <c r="AN68" s="877"/>
      <c r="AO68" s="878"/>
      <c r="AP68" s="885"/>
      <c r="AV68" s="319"/>
      <c r="AW68" s="876"/>
      <c r="AX68" s="877"/>
      <c r="AY68" s="877"/>
      <c r="AZ68" s="877"/>
      <c r="BA68" s="877"/>
      <c r="BB68" s="877"/>
      <c r="BC68" s="877"/>
      <c r="BD68" s="877"/>
      <c r="BE68" s="877"/>
      <c r="BF68" s="877"/>
      <c r="BG68" s="877"/>
      <c r="BH68" s="878"/>
      <c r="BI68" s="885"/>
      <c r="BO68" s="319"/>
      <c r="BP68" s="876"/>
      <c r="BQ68" s="877"/>
      <c r="BR68" s="877"/>
      <c r="BS68" s="877"/>
      <c r="BT68" s="877"/>
      <c r="BU68" s="877"/>
      <c r="BV68" s="877"/>
      <c r="BW68" s="877"/>
      <c r="BX68" s="877"/>
      <c r="BY68" s="877"/>
      <c r="BZ68" s="877"/>
      <c r="CA68" s="878"/>
      <c r="CB68" s="885"/>
      <c r="CI68" s="319"/>
      <c r="CJ68" s="876"/>
      <c r="CK68" s="877"/>
      <c r="CL68" s="877"/>
      <c r="CM68" s="877"/>
      <c r="CN68" s="877"/>
      <c r="CO68" s="877"/>
      <c r="CP68" s="877"/>
      <c r="CQ68" s="877"/>
      <c r="CR68" s="877"/>
      <c r="CS68" s="877"/>
      <c r="CT68" s="877"/>
      <c r="CU68" s="878"/>
      <c r="CV68" s="885"/>
    </row>
    <row r="69" spans="7:100" ht="24" customHeight="1" x14ac:dyDescent="0.25">
      <c r="J69" s="319"/>
      <c r="K69" s="876"/>
      <c r="L69" s="877"/>
      <c r="M69" s="877"/>
      <c r="N69" s="877"/>
      <c r="O69" s="877"/>
      <c r="P69" s="877"/>
      <c r="Q69" s="877"/>
      <c r="R69" s="877"/>
      <c r="S69" s="877"/>
      <c r="T69" s="877"/>
      <c r="U69" s="877"/>
      <c r="V69" s="878"/>
      <c r="W69" s="885"/>
      <c r="AC69" s="319"/>
      <c r="AD69" s="876"/>
      <c r="AE69" s="877"/>
      <c r="AF69" s="877"/>
      <c r="AG69" s="877"/>
      <c r="AH69" s="877"/>
      <c r="AI69" s="877"/>
      <c r="AJ69" s="877"/>
      <c r="AK69" s="877"/>
      <c r="AL69" s="877"/>
      <c r="AM69" s="877"/>
      <c r="AN69" s="877"/>
      <c r="AO69" s="878"/>
      <c r="AP69" s="885"/>
      <c r="AV69" s="319"/>
      <c r="AW69" s="876"/>
      <c r="AX69" s="877"/>
      <c r="AY69" s="877"/>
      <c r="AZ69" s="877"/>
      <c r="BA69" s="877"/>
      <c r="BB69" s="877"/>
      <c r="BC69" s="877"/>
      <c r="BD69" s="877"/>
      <c r="BE69" s="877"/>
      <c r="BF69" s="877"/>
      <c r="BG69" s="877"/>
      <c r="BH69" s="878"/>
      <c r="BI69" s="885"/>
      <c r="BO69" s="319"/>
      <c r="BP69" s="876"/>
      <c r="BQ69" s="877"/>
      <c r="BR69" s="877"/>
      <c r="BS69" s="877"/>
      <c r="BT69" s="877"/>
      <c r="BU69" s="877"/>
      <c r="BV69" s="877"/>
      <c r="BW69" s="877"/>
      <c r="BX69" s="877"/>
      <c r="BY69" s="877"/>
      <c r="BZ69" s="877"/>
      <c r="CA69" s="878"/>
      <c r="CB69" s="885"/>
      <c r="CI69" s="319"/>
      <c r="CJ69" s="876"/>
      <c r="CK69" s="877"/>
      <c r="CL69" s="877"/>
      <c r="CM69" s="877"/>
      <c r="CN69" s="877"/>
      <c r="CO69" s="877"/>
      <c r="CP69" s="877"/>
      <c r="CQ69" s="877"/>
      <c r="CR69" s="877"/>
      <c r="CS69" s="877"/>
      <c r="CT69" s="877"/>
      <c r="CU69" s="878"/>
      <c r="CV69" s="885"/>
    </row>
    <row r="70" spans="7:100" ht="24" customHeight="1" x14ac:dyDescent="0.25">
      <c r="J70" s="319"/>
      <c r="K70" s="876"/>
      <c r="L70" s="877"/>
      <c r="M70" s="877"/>
      <c r="N70" s="877"/>
      <c r="O70" s="877"/>
      <c r="P70" s="877"/>
      <c r="Q70" s="877"/>
      <c r="R70" s="877"/>
      <c r="S70" s="877"/>
      <c r="T70" s="877"/>
      <c r="U70" s="877"/>
      <c r="V70" s="878"/>
      <c r="W70" s="885"/>
      <c r="AC70" s="319"/>
      <c r="AD70" s="876"/>
      <c r="AE70" s="877"/>
      <c r="AF70" s="877"/>
      <c r="AG70" s="877"/>
      <c r="AH70" s="877"/>
      <c r="AI70" s="877"/>
      <c r="AJ70" s="877"/>
      <c r="AK70" s="877"/>
      <c r="AL70" s="877"/>
      <c r="AM70" s="877"/>
      <c r="AN70" s="877"/>
      <c r="AO70" s="878"/>
      <c r="AP70" s="885"/>
      <c r="AV70" s="319"/>
      <c r="AW70" s="876"/>
      <c r="AX70" s="877"/>
      <c r="AY70" s="877"/>
      <c r="AZ70" s="877"/>
      <c r="BA70" s="877"/>
      <c r="BB70" s="877"/>
      <c r="BC70" s="877"/>
      <c r="BD70" s="877"/>
      <c r="BE70" s="877"/>
      <c r="BF70" s="877"/>
      <c r="BG70" s="877"/>
      <c r="BH70" s="878"/>
      <c r="BI70" s="885"/>
      <c r="BO70" s="319"/>
      <c r="BP70" s="876"/>
      <c r="BQ70" s="877"/>
      <c r="BR70" s="877"/>
      <c r="BS70" s="877"/>
      <c r="BT70" s="877"/>
      <c r="BU70" s="877"/>
      <c r="BV70" s="877"/>
      <c r="BW70" s="877"/>
      <c r="BX70" s="877"/>
      <c r="BY70" s="877"/>
      <c r="BZ70" s="877"/>
      <c r="CA70" s="878"/>
      <c r="CB70" s="885"/>
      <c r="CI70" s="319"/>
      <c r="CJ70" s="876"/>
      <c r="CK70" s="877"/>
      <c r="CL70" s="877"/>
      <c r="CM70" s="877"/>
      <c r="CN70" s="877"/>
      <c r="CO70" s="877"/>
      <c r="CP70" s="877"/>
      <c r="CQ70" s="877"/>
      <c r="CR70" s="877"/>
      <c r="CS70" s="877"/>
      <c r="CT70" s="877"/>
      <c r="CU70" s="878"/>
      <c r="CV70" s="885"/>
    </row>
    <row r="71" spans="7:100" ht="24" customHeight="1" x14ac:dyDescent="0.25">
      <c r="J71" s="319"/>
      <c r="K71" s="876"/>
      <c r="L71" s="877"/>
      <c r="M71" s="877"/>
      <c r="N71" s="877"/>
      <c r="O71" s="877"/>
      <c r="P71" s="877"/>
      <c r="Q71" s="877"/>
      <c r="R71" s="877"/>
      <c r="S71" s="877"/>
      <c r="T71" s="877"/>
      <c r="U71" s="877"/>
      <c r="V71" s="878"/>
      <c r="W71" s="885"/>
      <c r="AC71" s="319"/>
      <c r="AD71" s="876"/>
      <c r="AE71" s="877"/>
      <c r="AF71" s="877"/>
      <c r="AG71" s="877"/>
      <c r="AH71" s="877"/>
      <c r="AI71" s="877"/>
      <c r="AJ71" s="877"/>
      <c r="AK71" s="877"/>
      <c r="AL71" s="877"/>
      <c r="AM71" s="877"/>
      <c r="AN71" s="877"/>
      <c r="AO71" s="878"/>
      <c r="AP71" s="885"/>
      <c r="AV71" s="319"/>
      <c r="AW71" s="876"/>
      <c r="AX71" s="877"/>
      <c r="AY71" s="877"/>
      <c r="AZ71" s="877"/>
      <c r="BA71" s="877"/>
      <c r="BB71" s="877"/>
      <c r="BC71" s="877"/>
      <c r="BD71" s="877"/>
      <c r="BE71" s="877"/>
      <c r="BF71" s="877"/>
      <c r="BG71" s="877"/>
      <c r="BH71" s="878"/>
      <c r="BI71" s="885"/>
      <c r="BO71" s="319"/>
      <c r="BP71" s="876"/>
      <c r="BQ71" s="877"/>
      <c r="BR71" s="877"/>
      <c r="BS71" s="877"/>
      <c r="BT71" s="877"/>
      <c r="BU71" s="877"/>
      <c r="BV71" s="877"/>
      <c r="BW71" s="877"/>
      <c r="BX71" s="877"/>
      <c r="BY71" s="877"/>
      <c r="BZ71" s="877"/>
      <c r="CA71" s="878"/>
      <c r="CB71" s="885"/>
      <c r="CI71" s="319"/>
      <c r="CJ71" s="876"/>
      <c r="CK71" s="877"/>
      <c r="CL71" s="877"/>
      <c r="CM71" s="877"/>
      <c r="CN71" s="877"/>
      <c r="CO71" s="877"/>
      <c r="CP71" s="877"/>
      <c r="CQ71" s="877"/>
      <c r="CR71" s="877"/>
      <c r="CS71" s="877"/>
      <c r="CT71" s="877"/>
      <c r="CU71" s="878"/>
      <c r="CV71" s="885"/>
    </row>
    <row r="72" spans="7:100" ht="24" customHeight="1" x14ac:dyDescent="0.25">
      <c r="J72" s="319"/>
      <c r="K72" s="876"/>
      <c r="L72" s="877"/>
      <c r="M72" s="877"/>
      <c r="N72" s="877"/>
      <c r="O72" s="877"/>
      <c r="P72" s="877"/>
      <c r="Q72" s="877"/>
      <c r="R72" s="877"/>
      <c r="S72" s="877"/>
      <c r="T72" s="877"/>
      <c r="U72" s="877"/>
      <c r="V72" s="878"/>
      <c r="W72" s="885"/>
      <c r="AC72" s="319"/>
      <c r="AD72" s="876"/>
      <c r="AE72" s="877"/>
      <c r="AF72" s="877"/>
      <c r="AG72" s="877"/>
      <c r="AH72" s="877"/>
      <c r="AI72" s="877"/>
      <c r="AJ72" s="877"/>
      <c r="AK72" s="877"/>
      <c r="AL72" s="877"/>
      <c r="AM72" s="877"/>
      <c r="AN72" s="877"/>
      <c r="AO72" s="878"/>
      <c r="AP72" s="885"/>
      <c r="AV72" s="319"/>
      <c r="AW72" s="876"/>
      <c r="AX72" s="877"/>
      <c r="AY72" s="877"/>
      <c r="AZ72" s="877"/>
      <c r="BA72" s="877"/>
      <c r="BB72" s="877"/>
      <c r="BC72" s="877"/>
      <c r="BD72" s="877"/>
      <c r="BE72" s="877"/>
      <c r="BF72" s="877"/>
      <c r="BG72" s="877"/>
      <c r="BH72" s="878"/>
      <c r="BI72" s="885"/>
      <c r="BO72" s="319"/>
      <c r="BP72" s="876"/>
      <c r="BQ72" s="877"/>
      <c r="BR72" s="877"/>
      <c r="BS72" s="877"/>
      <c r="BT72" s="877"/>
      <c r="BU72" s="877"/>
      <c r="BV72" s="877"/>
      <c r="BW72" s="877"/>
      <c r="BX72" s="877"/>
      <c r="BY72" s="877"/>
      <c r="BZ72" s="877"/>
      <c r="CA72" s="878"/>
      <c r="CB72" s="885"/>
      <c r="CI72" s="319"/>
      <c r="CJ72" s="876"/>
      <c r="CK72" s="877"/>
      <c r="CL72" s="877"/>
      <c r="CM72" s="877"/>
      <c r="CN72" s="877"/>
      <c r="CO72" s="877"/>
      <c r="CP72" s="877"/>
      <c r="CQ72" s="877"/>
      <c r="CR72" s="877"/>
      <c r="CS72" s="877"/>
      <c r="CT72" s="877"/>
      <c r="CU72" s="878"/>
      <c r="CV72" s="885"/>
    </row>
    <row r="73" spans="7:100" ht="24" customHeight="1" x14ac:dyDescent="0.25">
      <c r="J73" s="319"/>
      <c r="K73" s="876"/>
      <c r="L73" s="877"/>
      <c r="M73" s="877"/>
      <c r="N73" s="877"/>
      <c r="O73" s="877"/>
      <c r="P73" s="877"/>
      <c r="Q73" s="877"/>
      <c r="R73" s="877"/>
      <c r="S73" s="877"/>
      <c r="T73" s="877"/>
      <c r="U73" s="877"/>
      <c r="V73" s="878"/>
      <c r="W73" s="885"/>
      <c r="AC73" s="319"/>
      <c r="AD73" s="876"/>
      <c r="AE73" s="877"/>
      <c r="AF73" s="877"/>
      <c r="AG73" s="877"/>
      <c r="AH73" s="877"/>
      <c r="AI73" s="877"/>
      <c r="AJ73" s="877"/>
      <c r="AK73" s="877"/>
      <c r="AL73" s="877"/>
      <c r="AM73" s="877"/>
      <c r="AN73" s="877"/>
      <c r="AO73" s="878"/>
      <c r="AP73" s="885"/>
      <c r="AV73" s="319"/>
      <c r="AW73" s="876"/>
      <c r="AX73" s="877"/>
      <c r="AY73" s="877"/>
      <c r="AZ73" s="877"/>
      <c r="BA73" s="877"/>
      <c r="BB73" s="877"/>
      <c r="BC73" s="877"/>
      <c r="BD73" s="877"/>
      <c r="BE73" s="877"/>
      <c r="BF73" s="877"/>
      <c r="BG73" s="877"/>
      <c r="BH73" s="878"/>
      <c r="BI73" s="885"/>
      <c r="BO73" s="319"/>
      <c r="BP73" s="876"/>
      <c r="BQ73" s="877"/>
      <c r="BR73" s="877"/>
      <c r="BS73" s="877"/>
      <c r="BT73" s="877"/>
      <c r="BU73" s="877"/>
      <c r="BV73" s="877"/>
      <c r="BW73" s="877"/>
      <c r="BX73" s="877"/>
      <c r="BY73" s="877"/>
      <c r="BZ73" s="877"/>
      <c r="CA73" s="878"/>
      <c r="CB73" s="885"/>
      <c r="CI73" s="319"/>
      <c r="CJ73" s="876"/>
      <c r="CK73" s="877"/>
      <c r="CL73" s="877"/>
      <c r="CM73" s="877"/>
      <c r="CN73" s="877"/>
      <c r="CO73" s="877"/>
      <c r="CP73" s="877"/>
      <c r="CQ73" s="877"/>
      <c r="CR73" s="877"/>
      <c r="CS73" s="877"/>
      <c r="CT73" s="877"/>
      <c r="CU73" s="878"/>
      <c r="CV73" s="885"/>
    </row>
    <row r="74" spans="7:100" ht="24" customHeight="1" x14ac:dyDescent="0.25">
      <c r="G74" s="144"/>
      <c r="H74" s="144"/>
      <c r="I74" s="144"/>
      <c r="J74" s="319"/>
      <c r="K74" s="876"/>
      <c r="L74" s="877"/>
      <c r="M74" s="877"/>
      <c r="N74" s="877"/>
      <c r="O74" s="877"/>
      <c r="P74" s="877"/>
      <c r="Q74" s="877"/>
      <c r="R74" s="877"/>
      <c r="S74" s="877"/>
      <c r="T74" s="877"/>
      <c r="U74" s="877"/>
      <c r="V74" s="878"/>
      <c r="W74" s="885"/>
      <c r="AC74" s="319"/>
      <c r="AD74" s="876"/>
      <c r="AE74" s="877"/>
      <c r="AF74" s="877"/>
      <c r="AG74" s="877"/>
      <c r="AH74" s="877"/>
      <c r="AI74" s="877"/>
      <c r="AJ74" s="877"/>
      <c r="AK74" s="877"/>
      <c r="AL74" s="877"/>
      <c r="AM74" s="877"/>
      <c r="AN74" s="877"/>
      <c r="AO74" s="878"/>
      <c r="AP74" s="885"/>
      <c r="AV74" s="319"/>
      <c r="AW74" s="876"/>
      <c r="AX74" s="877"/>
      <c r="AY74" s="877"/>
      <c r="AZ74" s="877"/>
      <c r="BA74" s="877"/>
      <c r="BB74" s="877"/>
      <c r="BC74" s="877"/>
      <c r="BD74" s="877"/>
      <c r="BE74" s="877"/>
      <c r="BF74" s="877"/>
      <c r="BG74" s="877"/>
      <c r="BH74" s="878"/>
      <c r="BI74" s="885"/>
      <c r="BO74" s="319"/>
      <c r="BP74" s="876"/>
      <c r="BQ74" s="877"/>
      <c r="BR74" s="877"/>
      <c r="BS74" s="877"/>
      <c r="BT74" s="877"/>
      <c r="BU74" s="877"/>
      <c r="BV74" s="877"/>
      <c r="BW74" s="877"/>
      <c r="BX74" s="877"/>
      <c r="BY74" s="877"/>
      <c r="BZ74" s="877"/>
      <c r="CA74" s="878"/>
      <c r="CB74" s="885"/>
      <c r="CI74" s="319"/>
      <c r="CJ74" s="876"/>
      <c r="CK74" s="877"/>
      <c r="CL74" s="877"/>
      <c r="CM74" s="877"/>
      <c r="CN74" s="877"/>
      <c r="CO74" s="877"/>
      <c r="CP74" s="877"/>
      <c r="CQ74" s="877"/>
      <c r="CR74" s="877"/>
      <c r="CS74" s="877"/>
      <c r="CT74" s="877"/>
      <c r="CU74" s="878"/>
      <c r="CV74" s="885"/>
    </row>
    <row r="75" spans="7:100" ht="24" customHeight="1" x14ac:dyDescent="0.25">
      <c r="G75" s="144"/>
      <c r="H75" s="144"/>
      <c r="I75" s="144"/>
      <c r="J75" s="319"/>
      <c r="K75" s="876"/>
      <c r="L75" s="877"/>
      <c r="M75" s="877"/>
      <c r="N75" s="877"/>
      <c r="O75" s="877"/>
      <c r="P75" s="877"/>
      <c r="Q75" s="877"/>
      <c r="R75" s="877"/>
      <c r="S75" s="877"/>
      <c r="T75" s="877"/>
      <c r="U75" s="877"/>
      <c r="V75" s="878"/>
      <c r="W75" s="885"/>
      <c r="AC75" s="319"/>
      <c r="AD75" s="876"/>
      <c r="AE75" s="877"/>
      <c r="AF75" s="877"/>
      <c r="AG75" s="877"/>
      <c r="AH75" s="877"/>
      <c r="AI75" s="877"/>
      <c r="AJ75" s="877"/>
      <c r="AK75" s="877"/>
      <c r="AL75" s="877"/>
      <c r="AM75" s="877"/>
      <c r="AN75" s="877"/>
      <c r="AO75" s="878"/>
      <c r="AP75" s="885"/>
      <c r="AV75" s="319"/>
      <c r="AW75" s="876"/>
      <c r="AX75" s="877"/>
      <c r="AY75" s="877"/>
      <c r="AZ75" s="877"/>
      <c r="BA75" s="877"/>
      <c r="BB75" s="877"/>
      <c r="BC75" s="877"/>
      <c r="BD75" s="877"/>
      <c r="BE75" s="877"/>
      <c r="BF75" s="877"/>
      <c r="BG75" s="877"/>
      <c r="BH75" s="878"/>
      <c r="BI75" s="885"/>
      <c r="BO75" s="319"/>
      <c r="BP75" s="876"/>
      <c r="BQ75" s="877"/>
      <c r="BR75" s="877"/>
      <c r="BS75" s="877"/>
      <c r="BT75" s="877"/>
      <c r="BU75" s="877"/>
      <c r="BV75" s="877"/>
      <c r="BW75" s="877"/>
      <c r="BX75" s="877"/>
      <c r="BY75" s="877"/>
      <c r="BZ75" s="877"/>
      <c r="CA75" s="878"/>
      <c r="CB75" s="885"/>
      <c r="CI75" s="319"/>
      <c r="CJ75" s="876"/>
      <c r="CK75" s="877"/>
      <c r="CL75" s="877"/>
      <c r="CM75" s="877"/>
      <c r="CN75" s="877"/>
      <c r="CO75" s="877"/>
      <c r="CP75" s="877"/>
      <c r="CQ75" s="877"/>
      <c r="CR75" s="877"/>
      <c r="CS75" s="877"/>
      <c r="CT75" s="877"/>
      <c r="CU75" s="878"/>
      <c r="CV75" s="885"/>
    </row>
    <row r="76" spans="7:100" ht="24" customHeight="1" x14ac:dyDescent="0.25">
      <c r="G76" s="144"/>
      <c r="H76" s="144"/>
      <c r="I76" s="144"/>
      <c r="J76" s="319"/>
      <c r="K76" s="876"/>
      <c r="L76" s="877"/>
      <c r="M76" s="877"/>
      <c r="N76" s="877"/>
      <c r="O76" s="877"/>
      <c r="P76" s="877"/>
      <c r="Q76" s="877"/>
      <c r="R76" s="877"/>
      <c r="S76" s="877"/>
      <c r="T76" s="877"/>
      <c r="U76" s="877"/>
      <c r="V76" s="878"/>
      <c r="W76" s="885"/>
      <c r="AC76" s="319"/>
      <c r="AD76" s="876"/>
      <c r="AE76" s="877"/>
      <c r="AF76" s="877"/>
      <c r="AG76" s="877"/>
      <c r="AH76" s="877"/>
      <c r="AI76" s="877"/>
      <c r="AJ76" s="877"/>
      <c r="AK76" s="877"/>
      <c r="AL76" s="877"/>
      <c r="AM76" s="877"/>
      <c r="AN76" s="877"/>
      <c r="AO76" s="878"/>
      <c r="AP76" s="885"/>
      <c r="AV76" s="319"/>
      <c r="AW76" s="876"/>
      <c r="AX76" s="877"/>
      <c r="AY76" s="877"/>
      <c r="AZ76" s="877"/>
      <c r="BA76" s="877"/>
      <c r="BB76" s="877"/>
      <c r="BC76" s="877"/>
      <c r="BD76" s="877"/>
      <c r="BE76" s="877"/>
      <c r="BF76" s="877"/>
      <c r="BG76" s="877"/>
      <c r="BH76" s="878"/>
      <c r="BI76" s="885"/>
      <c r="BO76" s="319"/>
      <c r="BP76" s="876"/>
      <c r="BQ76" s="877"/>
      <c r="BR76" s="877"/>
      <c r="BS76" s="877"/>
      <c r="BT76" s="877"/>
      <c r="BU76" s="877"/>
      <c r="BV76" s="877"/>
      <c r="BW76" s="877"/>
      <c r="BX76" s="877"/>
      <c r="BY76" s="877"/>
      <c r="BZ76" s="877"/>
      <c r="CA76" s="878"/>
      <c r="CB76" s="885"/>
      <c r="CI76" s="319"/>
      <c r="CJ76" s="876"/>
      <c r="CK76" s="877"/>
      <c r="CL76" s="877"/>
      <c r="CM76" s="877"/>
      <c r="CN76" s="877"/>
      <c r="CO76" s="877"/>
      <c r="CP76" s="877"/>
      <c r="CQ76" s="877"/>
      <c r="CR76" s="877"/>
      <c r="CS76" s="877"/>
      <c r="CT76" s="877"/>
      <c r="CU76" s="878"/>
      <c r="CV76" s="885"/>
    </row>
    <row r="77" spans="7:100" ht="24" customHeight="1" x14ac:dyDescent="0.25">
      <c r="G77" s="144"/>
      <c r="H77" s="144"/>
      <c r="I77" s="144"/>
      <c r="J77" s="319"/>
      <c r="K77" s="876"/>
      <c r="L77" s="877"/>
      <c r="M77" s="877"/>
      <c r="N77" s="877"/>
      <c r="O77" s="877"/>
      <c r="P77" s="877"/>
      <c r="Q77" s="877"/>
      <c r="R77" s="877"/>
      <c r="S77" s="877"/>
      <c r="T77" s="877"/>
      <c r="U77" s="877"/>
      <c r="V77" s="878"/>
      <c r="W77" s="885"/>
      <c r="AC77" s="319"/>
      <c r="AD77" s="876"/>
      <c r="AE77" s="877"/>
      <c r="AF77" s="877"/>
      <c r="AG77" s="877"/>
      <c r="AH77" s="877"/>
      <c r="AI77" s="877"/>
      <c r="AJ77" s="877"/>
      <c r="AK77" s="877"/>
      <c r="AL77" s="877"/>
      <c r="AM77" s="877"/>
      <c r="AN77" s="877"/>
      <c r="AO77" s="878"/>
      <c r="AP77" s="885"/>
      <c r="AV77" s="319"/>
      <c r="AW77" s="876"/>
      <c r="AX77" s="877"/>
      <c r="AY77" s="877"/>
      <c r="AZ77" s="877"/>
      <c r="BA77" s="877"/>
      <c r="BB77" s="877"/>
      <c r="BC77" s="877"/>
      <c r="BD77" s="877"/>
      <c r="BE77" s="877"/>
      <c r="BF77" s="877"/>
      <c r="BG77" s="877"/>
      <c r="BH77" s="878"/>
      <c r="BI77" s="885"/>
      <c r="BO77" s="319"/>
      <c r="BP77" s="876"/>
      <c r="BQ77" s="877"/>
      <c r="BR77" s="877"/>
      <c r="BS77" s="877"/>
      <c r="BT77" s="877"/>
      <c r="BU77" s="877"/>
      <c r="BV77" s="877"/>
      <c r="BW77" s="877"/>
      <c r="BX77" s="877"/>
      <c r="BY77" s="877"/>
      <c r="BZ77" s="877"/>
      <c r="CA77" s="878"/>
      <c r="CB77" s="885"/>
      <c r="CI77" s="319"/>
      <c r="CJ77" s="876"/>
      <c r="CK77" s="877"/>
      <c r="CL77" s="877"/>
      <c r="CM77" s="877"/>
      <c r="CN77" s="877"/>
      <c r="CO77" s="877"/>
      <c r="CP77" s="877"/>
      <c r="CQ77" s="877"/>
      <c r="CR77" s="877"/>
      <c r="CS77" s="877"/>
      <c r="CT77" s="877"/>
      <c r="CU77" s="878"/>
      <c r="CV77" s="885"/>
    </row>
    <row r="78" spans="7:100" ht="24" customHeight="1" x14ac:dyDescent="0.25">
      <c r="G78" s="144"/>
      <c r="H78" s="144"/>
      <c r="I78" s="144"/>
      <c r="J78" s="319"/>
      <c r="K78" s="876"/>
      <c r="L78" s="877"/>
      <c r="M78" s="877"/>
      <c r="N78" s="877"/>
      <c r="O78" s="877"/>
      <c r="P78" s="877"/>
      <c r="Q78" s="877"/>
      <c r="R78" s="877"/>
      <c r="S78" s="877"/>
      <c r="T78" s="877"/>
      <c r="U78" s="877"/>
      <c r="V78" s="878"/>
      <c r="W78" s="885"/>
      <c r="AC78" s="319"/>
      <c r="AD78" s="876"/>
      <c r="AE78" s="877"/>
      <c r="AF78" s="877"/>
      <c r="AG78" s="877"/>
      <c r="AH78" s="877"/>
      <c r="AI78" s="877"/>
      <c r="AJ78" s="877"/>
      <c r="AK78" s="877"/>
      <c r="AL78" s="877"/>
      <c r="AM78" s="877"/>
      <c r="AN78" s="877"/>
      <c r="AO78" s="878"/>
      <c r="AP78" s="885"/>
      <c r="AV78" s="319"/>
      <c r="AW78" s="876"/>
      <c r="AX78" s="877"/>
      <c r="AY78" s="877"/>
      <c r="AZ78" s="877"/>
      <c r="BA78" s="877"/>
      <c r="BB78" s="877"/>
      <c r="BC78" s="877"/>
      <c r="BD78" s="877"/>
      <c r="BE78" s="877"/>
      <c r="BF78" s="877"/>
      <c r="BG78" s="877"/>
      <c r="BH78" s="878"/>
      <c r="BI78" s="885"/>
      <c r="BO78" s="319"/>
      <c r="BP78" s="876"/>
      <c r="BQ78" s="877"/>
      <c r="BR78" s="877"/>
      <c r="BS78" s="877"/>
      <c r="BT78" s="877"/>
      <c r="BU78" s="877"/>
      <c r="BV78" s="877"/>
      <c r="BW78" s="877"/>
      <c r="BX78" s="877"/>
      <c r="BY78" s="877"/>
      <c r="BZ78" s="877"/>
      <c r="CA78" s="878"/>
      <c r="CB78" s="885"/>
      <c r="CI78" s="319"/>
      <c r="CJ78" s="876"/>
      <c r="CK78" s="877"/>
      <c r="CL78" s="877"/>
      <c r="CM78" s="877"/>
      <c r="CN78" s="877"/>
      <c r="CO78" s="877"/>
      <c r="CP78" s="877"/>
      <c r="CQ78" s="877"/>
      <c r="CR78" s="877"/>
      <c r="CS78" s="877"/>
      <c r="CT78" s="877"/>
      <c r="CU78" s="878"/>
      <c r="CV78" s="885"/>
    </row>
    <row r="79" spans="7:100" ht="24" customHeight="1" x14ac:dyDescent="0.25">
      <c r="G79" s="144"/>
      <c r="H79" s="144"/>
      <c r="I79" s="144"/>
      <c r="J79" s="319"/>
      <c r="K79" s="876"/>
      <c r="L79" s="877"/>
      <c r="M79" s="877"/>
      <c r="N79" s="877"/>
      <c r="O79" s="877"/>
      <c r="P79" s="877"/>
      <c r="Q79" s="877"/>
      <c r="R79" s="877"/>
      <c r="S79" s="877"/>
      <c r="T79" s="877"/>
      <c r="U79" s="877"/>
      <c r="V79" s="878"/>
      <c r="W79" s="885"/>
      <c r="AC79" s="319"/>
      <c r="AD79" s="876"/>
      <c r="AE79" s="877"/>
      <c r="AF79" s="877"/>
      <c r="AG79" s="877"/>
      <c r="AH79" s="877"/>
      <c r="AI79" s="877"/>
      <c r="AJ79" s="877"/>
      <c r="AK79" s="877"/>
      <c r="AL79" s="877"/>
      <c r="AM79" s="877"/>
      <c r="AN79" s="877"/>
      <c r="AO79" s="878"/>
      <c r="AP79" s="885"/>
      <c r="AV79" s="319"/>
      <c r="AW79" s="876"/>
      <c r="AX79" s="877"/>
      <c r="AY79" s="877"/>
      <c r="AZ79" s="877"/>
      <c r="BA79" s="877"/>
      <c r="BB79" s="877"/>
      <c r="BC79" s="877"/>
      <c r="BD79" s="877"/>
      <c r="BE79" s="877"/>
      <c r="BF79" s="877"/>
      <c r="BG79" s="877"/>
      <c r="BH79" s="878"/>
      <c r="BI79" s="885"/>
      <c r="BO79" s="319"/>
      <c r="BP79" s="876"/>
      <c r="BQ79" s="877"/>
      <c r="BR79" s="877"/>
      <c r="BS79" s="877"/>
      <c r="BT79" s="877"/>
      <c r="BU79" s="877"/>
      <c r="BV79" s="877"/>
      <c r="BW79" s="877"/>
      <c r="BX79" s="877"/>
      <c r="BY79" s="877"/>
      <c r="BZ79" s="877"/>
      <c r="CA79" s="878"/>
      <c r="CB79" s="885"/>
      <c r="CI79" s="319"/>
      <c r="CJ79" s="876"/>
      <c r="CK79" s="877"/>
      <c r="CL79" s="877"/>
      <c r="CM79" s="877"/>
      <c r="CN79" s="877"/>
      <c r="CO79" s="877"/>
      <c r="CP79" s="877"/>
      <c r="CQ79" s="877"/>
      <c r="CR79" s="877"/>
      <c r="CS79" s="877"/>
      <c r="CT79" s="877"/>
      <c r="CU79" s="878"/>
      <c r="CV79" s="885"/>
    </row>
    <row r="80" spans="7:100" ht="24" customHeight="1" x14ac:dyDescent="0.25">
      <c r="J80" s="319"/>
      <c r="K80" s="876"/>
      <c r="L80" s="877"/>
      <c r="M80" s="877"/>
      <c r="N80" s="877"/>
      <c r="O80" s="877"/>
      <c r="P80" s="877"/>
      <c r="Q80" s="877"/>
      <c r="R80" s="877"/>
      <c r="S80" s="877"/>
      <c r="T80" s="877"/>
      <c r="U80" s="877"/>
      <c r="V80" s="878"/>
      <c r="W80" s="885"/>
      <c r="AC80" s="319"/>
      <c r="AD80" s="876"/>
      <c r="AE80" s="877"/>
      <c r="AF80" s="877"/>
      <c r="AG80" s="877"/>
      <c r="AH80" s="877"/>
      <c r="AI80" s="877"/>
      <c r="AJ80" s="877"/>
      <c r="AK80" s="877"/>
      <c r="AL80" s="877"/>
      <c r="AM80" s="877"/>
      <c r="AN80" s="877"/>
      <c r="AO80" s="878"/>
      <c r="AP80" s="885"/>
      <c r="AV80" s="319"/>
      <c r="AW80" s="876"/>
      <c r="AX80" s="877"/>
      <c r="AY80" s="877"/>
      <c r="AZ80" s="877"/>
      <c r="BA80" s="877"/>
      <c r="BB80" s="877"/>
      <c r="BC80" s="877"/>
      <c r="BD80" s="877"/>
      <c r="BE80" s="877"/>
      <c r="BF80" s="877"/>
      <c r="BG80" s="877"/>
      <c r="BH80" s="878"/>
      <c r="BI80" s="885"/>
      <c r="BO80" s="319"/>
      <c r="BP80" s="876"/>
      <c r="BQ80" s="877"/>
      <c r="BR80" s="877"/>
      <c r="BS80" s="877"/>
      <c r="BT80" s="877"/>
      <c r="BU80" s="877"/>
      <c r="BV80" s="877"/>
      <c r="BW80" s="877"/>
      <c r="BX80" s="877"/>
      <c r="BY80" s="877"/>
      <c r="BZ80" s="877"/>
      <c r="CA80" s="878"/>
      <c r="CB80" s="885"/>
      <c r="CI80" s="319"/>
      <c r="CJ80" s="876"/>
      <c r="CK80" s="877"/>
      <c r="CL80" s="877"/>
      <c r="CM80" s="877"/>
      <c r="CN80" s="877"/>
      <c r="CO80" s="877"/>
      <c r="CP80" s="877"/>
      <c r="CQ80" s="877"/>
      <c r="CR80" s="877"/>
      <c r="CS80" s="877"/>
      <c r="CT80" s="877"/>
      <c r="CU80" s="878"/>
      <c r="CV80" s="885"/>
    </row>
    <row r="81" spans="10:100" ht="24" customHeight="1" x14ac:dyDescent="0.25">
      <c r="J81" s="319"/>
      <c r="K81" s="876"/>
      <c r="L81" s="877"/>
      <c r="M81" s="877"/>
      <c r="N81" s="877"/>
      <c r="O81" s="877"/>
      <c r="P81" s="877"/>
      <c r="Q81" s="877"/>
      <c r="R81" s="877"/>
      <c r="S81" s="877"/>
      <c r="T81" s="877"/>
      <c r="U81" s="877"/>
      <c r="V81" s="878"/>
      <c r="W81" s="885"/>
      <c r="AC81" s="319"/>
      <c r="AD81" s="876"/>
      <c r="AE81" s="877"/>
      <c r="AF81" s="877"/>
      <c r="AG81" s="877"/>
      <c r="AH81" s="877"/>
      <c r="AI81" s="877"/>
      <c r="AJ81" s="877"/>
      <c r="AK81" s="877"/>
      <c r="AL81" s="877"/>
      <c r="AM81" s="877"/>
      <c r="AN81" s="877"/>
      <c r="AO81" s="878"/>
      <c r="AP81" s="885"/>
      <c r="AV81" s="319"/>
      <c r="AW81" s="876"/>
      <c r="AX81" s="877"/>
      <c r="AY81" s="877"/>
      <c r="AZ81" s="877"/>
      <c r="BA81" s="877"/>
      <c r="BB81" s="877"/>
      <c r="BC81" s="877"/>
      <c r="BD81" s="877"/>
      <c r="BE81" s="877"/>
      <c r="BF81" s="877"/>
      <c r="BG81" s="877"/>
      <c r="BH81" s="878"/>
      <c r="BI81" s="885"/>
      <c r="BO81" s="319"/>
      <c r="BP81" s="876"/>
      <c r="BQ81" s="877"/>
      <c r="BR81" s="877"/>
      <c r="BS81" s="877"/>
      <c r="BT81" s="877"/>
      <c r="BU81" s="877"/>
      <c r="BV81" s="877"/>
      <c r="BW81" s="877"/>
      <c r="BX81" s="877"/>
      <c r="BY81" s="877"/>
      <c r="BZ81" s="877"/>
      <c r="CA81" s="878"/>
      <c r="CB81" s="885"/>
      <c r="CI81" s="319"/>
      <c r="CJ81" s="876"/>
      <c r="CK81" s="877"/>
      <c r="CL81" s="877"/>
      <c r="CM81" s="877"/>
      <c r="CN81" s="877"/>
      <c r="CO81" s="877"/>
      <c r="CP81" s="877"/>
      <c r="CQ81" s="877"/>
      <c r="CR81" s="877"/>
      <c r="CS81" s="877"/>
      <c r="CT81" s="877"/>
      <c r="CU81" s="878"/>
      <c r="CV81" s="885"/>
    </row>
    <row r="82" spans="10:100" ht="24" customHeight="1" x14ac:dyDescent="0.25">
      <c r="J82" s="319"/>
      <c r="K82" s="876"/>
      <c r="L82" s="877"/>
      <c r="M82" s="877"/>
      <c r="N82" s="877"/>
      <c r="O82" s="877"/>
      <c r="P82" s="877"/>
      <c r="Q82" s="877"/>
      <c r="R82" s="877"/>
      <c r="S82" s="877"/>
      <c r="T82" s="877"/>
      <c r="U82" s="877"/>
      <c r="V82" s="878"/>
      <c r="W82" s="885"/>
      <c r="AC82" s="319"/>
      <c r="AD82" s="876"/>
      <c r="AE82" s="877"/>
      <c r="AF82" s="877"/>
      <c r="AG82" s="877"/>
      <c r="AH82" s="877"/>
      <c r="AI82" s="877"/>
      <c r="AJ82" s="877"/>
      <c r="AK82" s="877"/>
      <c r="AL82" s="877"/>
      <c r="AM82" s="877"/>
      <c r="AN82" s="877"/>
      <c r="AO82" s="878"/>
      <c r="AP82" s="885"/>
      <c r="AV82" s="319"/>
      <c r="AW82" s="876"/>
      <c r="AX82" s="877"/>
      <c r="AY82" s="877"/>
      <c r="AZ82" s="877"/>
      <c r="BA82" s="877"/>
      <c r="BB82" s="877"/>
      <c r="BC82" s="877"/>
      <c r="BD82" s="877"/>
      <c r="BE82" s="877"/>
      <c r="BF82" s="877"/>
      <c r="BG82" s="877"/>
      <c r="BH82" s="878"/>
      <c r="BI82" s="885"/>
      <c r="BO82" s="319"/>
      <c r="BP82" s="876"/>
      <c r="BQ82" s="877"/>
      <c r="BR82" s="877"/>
      <c r="BS82" s="877"/>
      <c r="BT82" s="877"/>
      <c r="BU82" s="877"/>
      <c r="BV82" s="877"/>
      <c r="BW82" s="877"/>
      <c r="BX82" s="877"/>
      <c r="BY82" s="877"/>
      <c r="BZ82" s="877"/>
      <c r="CA82" s="878"/>
      <c r="CB82" s="885"/>
      <c r="CI82" s="319"/>
      <c r="CJ82" s="876"/>
      <c r="CK82" s="877"/>
      <c r="CL82" s="877"/>
      <c r="CM82" s="877"/>
      <c r="CN82" s="877"/>
      <c r="CO82" s="877"/>
      <c r="CP82" s="877"/>
      <c r="CQ82" s="877"/>
      <c r="CR82" s="877"/>
      <c r="CS82" s="877"/>
      <c r="CT82" s="877"/>
      <c r="CU82" s="878"/>
      <c r="CV82" s="885"/>
    </row>
    <row r="83" spans="10:100" ht="24" customHeight="1" x14ac:dyDescent="0.25">
      <c r="J83" s="319"/>
      <c r="K83" s="876"/>
      <c r="L83" s="877"/>
      <c r="M83" s="877"/>
      <c r="N83" s="877"/>
      <c r="O83" s="877"/>
      <c r="P83" s="877"/>
      <c r="Q83" s="877"/>
      <c r="R83" s="877"/>
      <c r="S83" s="877"/>
      <c r="T83" s="877"/>
      <c r="U83" s="877"/>
      <c r="V83" s="878"/>
      <c r="W83" s="885"/>
      <c r="AC83" s="319"/>
      <c r="AD83" s="876"/>
      <c r="AE83" s="877"/>
      <c r="AF83" s="877"/>
      <c r="AG83" s="877"/>
      <c r="AH83" s="877"/>
      <c r="AI83" s="877"/>
      <c r="AJ83" s="877"/>
      <c r="AK83" s="877"/>
      <c r="AL83" s="877"/>
      <c r="AM83" s="877"/>
      <c r="AN83" s="877"/>
      <c r="AO83" s="878"/>
      <c r="AP83" s="885"/>
      <c r="AV83" s="319"/>
      <c r="AW83" s="876"/>
      <c r="AX83" s="877"/>
      <c r="AY83" s="877"/>
      <c r="AZ83" s="877"/>
      <c r="BA83" s="877"/>
      <c r="BB83" s="877"/>
      <c r="BC83" s="877"/>
      <c r="BD83" s="877"/>
      <c r="BE83" s="877"/>
      <c r="BF83" s="877"/>
      <c r="BG83" s="877"/>
      <c r="BH83" s="878"/>
      <c r="BI83" s="885"/>
      <c r="BO83" s="319"/>
      <c r="BP83" s="876"/>
      <c r="BQ83" s="877"/>
      <c r="BR83" s="877"/>
      <c r="BS83" s="877"/>
      <c r="BT83" s="877"/>
      <c r="BU83" s="877"/>
      <c r="BV83" s="877"/>
      <c r="BW83" s="877"/>
      <c r="BX83" s="877"/>
      <c r="BY83" s="877"/>
      <c r="BZ83" s="877"/>
      <c r="CA83" s="878"/>
      <c r="CB83" s="885"/>
      <c r="CI83" s="319"/>
      <c r="CJ83" s="876"/>
      <c r="CK83" s="877"/>
      <c r="CL83" s="877"/>
      <c r="CM83" s="877"/>
      <c r="CN83" s="877"/>
      <c r="CO83" s="877"/>
      <c r="CP83" s="877"/>
      <c r="CQ83" s="877"/>
      <c r="CR83" s="877"/>
      <c r="CS83" s="877"/>
      <c r="CT83" s="877"/>
      <c r="CU83" s="878"/>
      <c r="CV83" s="885"/>
    </row>
    <row r="84" spans="10:100" ht="24" customHeight="1" x14ac:dyDescent="0.25">
      <c r="J84" s="319"/>
      <c r="K84" s="876"/>
      <c r="L84" s="877"/>
      <c r="M84" s="877"/>
      <c r="N84" s="877"/>
      <c r="O84" s="877"/>
      <c r="P84" s="877"/>
      <c r="Q84" s="877"/>
      <c r="R84" s="877"/>
      <c r="S84" s="877"/>
      <c r="T84" s="877"/>
      <c r="U84" s="877"/>
      <c r="V84" s="878"/>
      <c r="W84" s="885"/>
      <c r="AC84" s="319"/>
      <c r="AD84" s="876"/>
      <c r="AE84" s="877"/>
      <c r="AF84" s="877"/>
      <c r="AG84" s="877"/>
      <c r="AH84" s="877"/>
      <c r="AI84" s="877"/>
      <c r="AJ84" s="877"/>
      <c r="AK84" s="877"/>
      <c r="AL84" s="877"/>
      <c r="AM84" s="877"/>
      <c r="AN84" s="877"/>
      <c r="AO84" s="878"/>
      <c r="AP84" s="885"/>
      <c r="AV84" s="319"/>
      <c r="AW84" s="876"/>
      <c r="AX84" s="877"/>
      <c r="AY84" s="877"/>
      <c r="AZ84" s="877"/>
      <c r="BA84" s="877"/>
      <c r="BB84" s="877"/>
      <c r="BC84" s="877"/>
      <c r="BD84" s="877"/>
      <c r="BE84" s="877"/>
      <c r="BF84" s="877"/>
      <c r="BG84" s="877"/>
      <c r="BH84" s="878"/>
      <c r="BI84" s="885"/>
      <c r="BO84" s="319"/>
      <c r="BP84" s="876"/>
      <c r="BQ84" s="877"/>
      <c r="BR84" s="877"/>
      <c r="BS84" s="877"/>
      <c r="BT84" s="877"/>
      <c r="BU84" s="877"/>
      <c r="BV84" s="877"/>
      <c r="BW84" s="877"/>
      <c r="BX84" s="877"/>
      <c r="BY84" s="877"/>
      <c r="BZ84" s="877"/>
      <c r="CA84" s="878"/>
      <c r="CB84" s="885"/>
      <c r="CI84" s="319"/>
      <c r="CJ84" s="876"/>
      <c r="CK84" s="877"/>
      <c r="CL84" s="877"/>
      <c r="CM84" s="877"/>
      <c r="CN84" s="877"/>
      <c r="CO84" s="877"/>
      <c r="CP84" s="877"/>
      <c r="CQ84" s="877"/>
      <c r="CR84" s="877"/>
      <c r="CS84" s="877"/>
      <c r="CT84" s="877"/>
      <c r="CU84" s="878"/>
      <c r="CV84" s="885"/>
    </row>
    <row r="85" spans="10:100" ht="24" customHeight="1" x14ac:dyDescent="0.25">
      <c r="J85" s="319"/>
      <c r="K85" s="876"/>
      <c r="L85" s="877"/>
      <c r="M85" s="877"/>
      <c r="N85" s="877"/>
      <c r="O85" s="877"/>
      <c r="P85" s="877"/>
      <c r="Q85" s="877"/>
      <c r="R85" s="877"/>
      <c r="S85" s="877"/>
      <c r="T85" s="877"/>
      <c r="U85" s="877"/>
      <c r="V85" s="878"/>
      <c r="W85" s="885"/>
      <c r="AC85" s="319"/>
      <c r="AD85" s="876"/>
      <c r="AE85" s="877"/>
      <c r="AF85" s="877"/>
      <c r="AG85" s="877"/>
      <c r="AH85" s="877"/>
      <c r="AI85" s="877"/>
      <c r="AJ85" s="877"/>
      <c r="AK85" s="877"/>
      <c r="AL85" s="877"/>
      <c r="AM85" s="877"/>
      <c r="AN85" s="877"/>
      <c r="AO85" s="878"/>
      <c r="AP85" s="885"/>
      <c r="AV85" s="319"/>
      <c r="AW85" s="876"/>
      <c r="AX85" s="877"/>
      <c r="AY85" s="877"/>
      <c r="AZ85" s="877"/>
      <c r="BA85" s="877"/>
      <c r="BB85" s="877"/>
      <c r="BC85" s="877"/>
      <c r="BD85" s="877"/>
      <c r="BE85" s="877"/>
      <c r="BF85" s="877"/>
      <c r="BG85" s="877"/>
      <c r="BH85" s="878"/>
      <c r="BI85" s="885"/>
      <c r="BO85" s="319"/>
      <c r="BP85" s="876"/>
      <c r="BQ85" s="877"/>
      <c r="BR85" s="877"/>
      <c r="BS85" s="877"/>
      <c r="BT85" s="877"/>
      <c r="BU85" s="877"/>
      <c r="BV85" s="877"/>
      <c r="BW85" s="877"/>
      <c r="BX85" s="877"/>
      <c r="BY85" s="877"/>
      <c r="BZ85" s="877"/>
      <c r="CA85" s="878"/>
      <c r="CB85" s="885"/>
      <c r="CI85" s="319"/>
      <c r="CJ85" s="876"/>
      <c r="CK85" s="877"/>
      <c r="CL85" s="877"/>
      <c r="CM85" s="877"/>
      <c r="CN85" s="877"/>
      <c r="CO85" s="877"/>
      <c r="CP85" s="877"/>
      <c r="CQ85" s="877"/>
      <c r="CR85" s="877"/>
      <c r="CS85" s="877"/>
      <c r="CT85" s="877"/>
      <c r="CU85" s="878"/>
      <c r="CV85" s="885"/>
    </row>
    <row r="86" spans="10:100" ht="24" customHeight="1" x14ac:dyDescent="0.25">
      <c r="J86" s="319"/>
      <c r="K86" s="876"/>
      <c r="L86" s="877"/>
      <c r="M86" s="877"/>
      <c r="N86" s="877"/>
      <c r="O86" s="877"/>
      <c r="P86" s="877"/>
      <c r="Q86" s="877"/>
      <c r="R86" s="877"/>
      <c r="S86" s="877"/>
      <c r="T86" s="877"/>
      <c r="U86" s="877"/>
      <c r="V86" s="878"/>
      <c r="W86" s="885"/>
      <c r="AC86" s="319"/>
      <c r="AD86" s="876"/>
      <c r="AE86" s="877"/>
      <c r="AF86" s="877"/>
      <c r="AG86" s="877"/>
      <c r="AH86" s="877"/>
      <c r="AI86" s="877"/>
      <c r="AJ86" s="877"/>
      <c r="AK86" s="877"/>
      <c r="AL86" s="877"/>
      <c r="AM86" s="877"/>
      <c r="AN86" s="877"/>
      <c r="AO86" s="878"/>
      <c r="AP86" s="885"/>
      <c r="AV86" s="319"/>
      <c r="AW86" s="876"/>
      <c r="AX86" s="877"/>
      <c r="AY86" s="877"/>
      <c r="AZ86" s="877"/>
      <c r="BA86" s="877"/>
      <c r="BB86" s="877"/>
      <c r="BC86" s="877"/>
      <c r="BD86" s="877"/>
      <c r="BE86" s="877"/>
      <c r="BF86" s="877"/>
      <c r="BG86" s="877"/>
      <c r="BH86" s="878"/>
      <c r="BI86" s="885"/>
      <c r="BO86" s="319"/>
      <c r="BP86" s="876"/>
      <c r="BQ86" s="877"/>
      <c r="BR86" s="877"/>
      <c r="BS86" s="877"/>
      <c r="BT86" s="877"/>
      <c r="BU86" s="877"/>
      <c r="BV86" s="877"/>
      <c r="BW86" s="877"/>
      <c r="BX86" s="877"/>
      <c r="BY86" s="877"/>
      <c r="BZ86" s="877"/>
      <c r="CA86" s="878"/>
      <c r="CB86" s="885"/>
      <c r="CI86" s="319"/>
      <c r="CJ86" s="876"/>
      <c r="CK86" s="877"/>
      <c r="CL86" s="877"/>
      <c r="CM86" s="877"/>
      <c r="CN86" s="877"/>
      <c r="CO86" s="877"/>
      <c r="CP86" s="877"/>
      <c r="CQ86" s="877"/>
      <c r="CR86" s="877"/>
      <c r="CS86" s="877"/>
      <c r="CT86" s="877"/>
      <c r="CU86" s="878"/>
      <c r="CV86" s="885"/>
    </row>
    <row r="87" spans="10:100" ht="24" customHeight="1" x14ac:dyDescent="0.25">
      <c r="J87" s="319"/>
      <c r="K87" s="876"/>
      <c r="L87" s="877"/>
      <c r="M87" s="877"/>
      <c r="N87" s="877"/>
      <c r="O87" s="877"/>
      <c r="P87" s="877"/>
      <c r="Q87" s="877"/>
      <c r="R87" s="877"/>
      <c r="S87" s="877"/>
      <c r="T87" s="877"/>
      <c r="U87" s="877"/>
      <c r="V87" s="878"/>
      <c r="W87" s="885"/>
      <c r="AC87" s="319"/>
      <c r="AD87" s="876"/>
      <c r="AE87" s="877"/>
      <c r="AF87" s="877"/>
      <c r="AG87" s="877"/>
      <c r="AH87" s="877"/>
      <c r="AI87" s="877"/>
      <c r="AJ87" s="877"/>
      <c r="AK87" s="877"/>
      <c r="AL87" s="877"/>
      <c r="AM87" s="877"/>
      <c r="AN87" s="877"/>
      <c r="AO87" s="878"/>
      <c r="AP87" s="885"/>
      <c r="AV87" s="319"/>
      <c r="AW87" s="876"/>
      <c r="AX87" s="877"/>
      <c r="AY87" s="877"/>
      <c r="AZ87" s="877"/>
      <c r="BA87" s="877"/>
      <c r="BB87" s="877"/>
      <c r="BC87" s="877"/>
      <c r="BD87" s="877"/>
      <c r="BE87" s="877"/>
      <c r="BF87" s="877"/>
      <c r="BG87" s="877"/>
      <c r="BH87" s="878"/>
      <c r="BI87" s="885"/>
      <c r="BO87" s="319"/>
      <c r="BP87" s="876"/>
      <c r="BQ87" s="877"/>
      <c r="BR87" s="877"/>
      <c r="BS87" s="877"/>
      <c r="BT87" s="877"/>
      <c r="BU87" s="877"/>
      <c r="BV87" s="877"/>
      <c r="BW87" s="877"/>
      <c r="BX87" s="877"/>
      <c r="BY87" s="877"/>
      <c r="BZ87" s="877"/>
      <c r="CA87" s="878"/>
      <c r="CB87" s="885"/>
      <c r="CI87" s="319"/>
      <c r="CJ87" s="876"/>
      <c r="CK87" s="877"/>
      <c r="CL87" s="877"/>
      <c r="CM87" s="877"/>
      <c r="CN87" s="877"/>
      <c r="CO87" s="877"/>
      <c r="CP87" s="877"/>
      <c r="CQ87" s="877"/>
      <c r="CR87" s="877"/>
      <c r="CS87" s="877"/>
      <c r="CT87" s="877"/>
      <c r="CU87" s="878"/>
      <c r="CV87" s="885"/>
    </row>
    <row r="88" spans="10:100" ht="24" customHeight="1" x14ac:dyDescent="0.25">
      <c r="J88" s="319"/>
      <c r="K88" s="876"/>
      <c r="L88" s="877"/>
      <c r="M88" s="877"/>
      <c r="N88" s="877"/>
      <c r="O88" s="877"/>
      <c r="P88" s="877"/>
      <c r="Q88" s="877"/>
      <c r="R88" s="877"/>
      <c r="S88" s="877"/>
      <c r="T88" s="877"/>
      <c r="U88" s="877"/>
      <c r="V88" s="878"/>
      <c r="W88" s="885"/>
      <c r="AC88" s="319"/>
      <c r="AD88" s="876"/>
      <c r="AE88" s="877"/>
      <c r="AF88" s="877"/>
      <c r="AG88" s="877"/>
      <c r="AH88" s="877"/>
      <c r="AI88" s="877"/>
      <c r="AJ88" s="877"/>
      <c r="AK88" s="877"/>
      <c r="AL88" s="877"/>
      <c r="AM88" s="877"/>
      <c r="AN88" s="877"/>
      <c r="AO88" s="878"/>
      <c r="AP88" s="885"/>
      <c r="AV88" s="319"/>
      <c r="AW88" s="876"/>
      <c r="AX88" s="877"/>
      <c r="AY88" s="877"/>
      <c r="AZ88" s="877"/>
      <c r="BA88" s="877"/>
      <c r="BB88" s="877"/>
      <c r="BC88" s="877"/>
      <c r="BD88" s="877"/>
      <c r="BE88" s="877"/>
      <c r="BF88" s="877"/>
      <c r="BG88" s="877"/>
      <c r="BH88" s="878"/>
      <c r="BI88" s="885"/>
      <c r="BO88" s="319"/>
      <c r="BP88" s="876"/>
      <c r="BQ88" s="877"/>
      <c r="BR88" s="877"/>
      <c r="BS88" s="877"/>
      <c r="BT88" s="877"/>
      <c r="BU88" s="877"/>
      <c r="BV88" s="877"/>
      <c r="BW88" s="877"/>
      <c r="BX88" s="877"/>
      <c r="BY88" s="877"/>
      <c r="BZ88" s="877"/>
      <c r="CA88" s="878"/>
      <c r="CB88" s="885"/>
      <c r="CI88" s="319"/>
      <c r="CJ88" s="876"/>
      <c r="CK88" s="877"/>
      <c r="CL88" s="877"/>
      <c r="CM88" s="877"/>
      <c r="CN88" s="877"/>
      <c r="CO88" s="877"/>
      <c r="CP88" s="877"/>
      <c r="CQ88" s="877"/>
      <c r="CR88" s="877"/>
      <c r="CS88" s="877"/>
      <c r="CT88" s="877"/>
      <c r="CU88" s="878"/>
      <c r="CV88" s="885"/>
    </row>
    <row r="89" spans="10:100" ht="24" customHeight="1" x14ac:dyDescent="0.25">
      <c r="J89" s="319"/>
      <c r="K89" s="876"/>
      <c r="L89" s="877"/>
      <c r="M89" s="877"/>
      <c r="N89" s="877"/>
      <c r="O89" s="877"/>
      <c r="P89" s="877"/>
      <c r="Q89" s="877"/>
      <c r="R89" s="877"/>
      <c r="S89" s="877"/>
      <c r="T89" s="877"/>
      <c r="U89" s="877"/>
      <c r="V89" s="878"/>
      <c r="W89" s="356"/>
      <c r="AC89" s="319"/>
      <c r="AD89" s="876"/>
      <c r="AE89" s="877"/>
      <c r="AF89" s="877"/>
      <c r="AG89" s="877"/>
      <c r="AH89" s="877"/>
      <c r="AI89" s="877"/>
      <c r="AJ89" s="877"/>
      <c r="AK89" s="877"/>
      <c r="AL89" s="877"/>
      <c r="AM89" s="877"/>
      <c r="AN89" s="877"/>
      <c r="AO89" s="878"/>
      <c r="AP89" s="356"/>
      <c r="AV89" s="319"/>
      <c r="AW89" s="876"/>
      <c r="AX89" s="877"/>
      <c r="AY89" s="877"/>
      <c r="AZ89" s="877"/>
      <c r="BA89" s="877"/>
      <c r="BB89" s="877"/>
      <c r="BC89" s="877"/>
      <c r="BD89" s="877"/>
      <c r="BE89" s="877"/>
      <c r="BF89" s="877"/>
      <c r="BG89" s="877"/>
      <c r="BH89" s="878"/>
      <c r="BI89" s="356"/>
      <c r="BO89" s="319"/>
      <c r="BP89" s="876"/>
      <c r="BQ89" s="877"/>
      <c r="BR89" s="877"/>
      <c r="BS89" s="877"/>
      <c r="BT89" s="877"/>
      <c r="BU89" s="877"/>
      <c r="BV89" s="877"/>
      <c r="BW89" s="877"/>
      <c r="BX89" s="877"/>
      <c r="BY89" s="877"/>
      <c r="BZ89" s="877"/>
      <c r="CA89" s="878"/>
      <c r="CB89" s="356"/>
      <c r="CI89" s="319"/>
      <c r="CJ89" s="876"/>
      <c r="CK89" s="877"/>
      <c r="CL89" s="877"/>
      <c r="CM89" s="877"/>
      <c r="CN89" s="877"/>
      <c r="CO89" s="877"/>
      <c r="CP89" s="877"/>
      <c r="CQ89" s="877"/>
      <c r="CR89" s="877"/>
      <c r="CS89" s="877"/>
      <c r="CT89" s="877"/>
      <c r="CU89" s="878"/>
      <c r="CV89" s="356"/>
    </row>
    <row r="90" spans="10:100" ht="24" customHeight="1" x14ac:dyDescent="0.25">
      <c r="J90" s="319"/>
      <c r="K90" s="879"/>
      <c r="L90" s="880"/>
      <c r="M90" s="880"/>
      <c r="N90" s="880"/>
      <c r="O90" s="880"/>
      <c r="P90" s="880"/>
      <c r="Q90" s="880"/>
      <c r="R90" s="880"/>
      <c r="S90" s="880"/>
      <c r="T90" s="880"/>
      <c r="U90" s="880"/>
      <c r="V90" s="881"/>
      <c r="W90" s="357"/>
      <c r="AC90" s="319"/>
      <c r="AD90" s="879"/>
      <c r="AE90" s="880"/>
      <c r="AF90" s="880"/>
      <c r="AG90" s="880"/>
      <c r="AH90" s="880"/>
      <c r="AI90" s="880"/>
      <c r="AJ90" s="880"/>
      <c r="AK90" s="880"/>
      <c r="AL90" s="880"/>
      <c r="AM90" s="880"/>
      <c r="AN90" s="880"/>
      <c r="AO90" s="881"/>
      <c r="AP90" s="357"/>
      <c r="AV90" s="319"/>
      <c r="AW90" s="879"/>
      <c r="AX90" s="880"/>
      <c r="AY90" s="880"/>
      <c r="AZ90" s="880"/>
      <c r="BA90" s="880"/>
      <c r="BB90" s="880"/>
      <c r="BC90" s="880"/>
      <c r="BD90" s="880"/>
      <c r="BE90" s="880"/>
      <c r="BF90" s="880"/>
      <c r="BG90" s="880"/>
      <c r="BH90" s="881"/>
      <c r="BI90" s="357"/>
      <c r="BO90" s="319"/>
      <c r="BP90" s="879"/>
      <c r="BQ90" s="880"/>
      <c r="BR90" s="880"/>
      <c r="BS90" s="880"/>
      <c r="BT90" s="880"/>
      <c r="BU90" s="880"/>
      <c r="BV90" s="880"/>
      <c r="BW90" s="880"/>
      <c r="BX90" s="880"/>
      <c r="BY90" s="880"/>
      <c r="BZ90" s="880"/>
      <c r="CA90" s="881"/>
      <c r="CB90" s="357"/>
      <c r="CI90" s="319"/>
      <c r="CJ90" s="879"/>
      <c r="CK90" s="880"/>
      <c r="CL90" s="880"/>
      <c r="CM90" s="880"/>
      <c r="CN90" s="880"/>
      <c r="CO90" s="880"/>
      <c r="CP90" s="880"/>
      <c r="CQ90" s="880"/>
      <c r="CR90" s="880"/>
      <c r="CS90" s="880"/>
      <c r="CT90" s="880"/>
      <c r="CU90" s="881"/>
      <c r="CV90" s="357"/>
    </row>
    <row r="91" spans="10:100" ht="24" customHeight="1" x14ac:dyDescent="0.25">
      <c r="J91" s="319"/>
      <c r="K91" s="886"/>
      <c r="L91" s="886"/>
      <c r="M91" s="886"/>
      <c r="N91" s="886"/>
      <c r="O91" s="886"/>
      <c r="P91" s="886"/>
      <c r="Q91" s="886"/>
      <c r="R91" s="886"/>
      <c r="S91" s="886"/>
      <c r="T91" s="886"/>
      <c r="U91" s="886"/>
      <c r="V91" s="886"/>
      <c r="W91" s="357"/>
      <c r="AC91" s="319"/>
      <c r="AD91" s="886"/>
      <c r="AE91" s="886"/>
      <c r="AF91" s="886"/>
      <c r="AG91" s="886"/>
      <c r="AH91" s="886"/>
      <c r="AI91" s="886"/>
      <c r="AJ91" s="886"/>
      <c r="AK91" s="886"/>
      <c r="AL91" s="886"/>
      <c r="AM91" s="886"/>
      <c r="AN91" s="886"/>
      <c r="AO91" s="886"/>
      <c r="AP91" s="357"/>
      <c r="AV91" s="319"/>
      <c r="AW91" s="886"/>
      <c r="AX91" s="886"/>
      <c r="AY91" s="886"/>
      <c r="AZ91" s="886"/>
      <c r="BA91" s="886"/>
      <c r="BB91" s="886"/>
      <c r="BC91" s="886"/>
      <c r="BD91" s="886"/>
      <c r="BE91" s="886"/>
      <c r="BF91" s="886"/>
      <c r="BG91" s="886"/>
      <c r="BH91" s="886"/>
      <c r="BI91" s="357"/>
      <c r="BO91" s="319"/>
      <c r="BP91" s="886"/>
      <c r="BQ91" s="886"/>
      <c r="BR91" s="886"/>
      <c r="BS91" s="886"/>
      <c r="BT91" s="886"/>
      <c r="BU91" s="886"/>
      <c r="BV91" s="886"/>
      <c r="BW91" s="886"/>
      <c r="BX91" s="886"/>
      <c r="BY91" s="886"/>
      <c r="BZ91" s="886"/>
      <c r="CA91" s="886"/>
      <c r="CB91" s="357"/>
      <c r="CI91" s="319"/>
      <c r="CJ91" s="886"/>
      <c r="CK91" s="886"/>
      <c r="CL91" s="886"/>
      <c r="CM91" s="886"/>
      <c r="CN91" s="886"/>
      <c r="CO91" s="886"/>
      <c r="CP91" s="886"/>
      <c r="CQ91" s="886"/>
      <c r="CR91" s="886"/>
      <c r="CS91" s="886"/>
      <c r="CT91" s="886"/>
      <c r="CU91" s="886"/>
      <c r="CV91" s="357"/>
    </row>
    <row r="92" spans="10:100" ht="24" customHeight="1" thickBot="1" x14ac:dyDescent="0.3">
      <c r="J92" s="320"/>
      <c r="K92" s="887"/>
      <c r="L92" s="887"/>
      <c r="M92" s="887"/>
      <c r="N92" s="887"/>
      <c r="O92" s="887"/>
      <c r="P92" s="887"/>
      <c r="Q92" s="887"/>
      <c r="R92" s="887"/>
      <c r="S92" s="887"/>
      <c r="T92" s="887"/>
      <c r="U92" s="887"/>
      <c r="V92" s="887"/>
      <c r="W92" s="358"/>
      <c r="AC92" s="320"/>
      <c r="AD92" s="887"/>
      <c r="AE92" s="887"/>
      <c r="AF92" s="887"/>
      <c r="AG92" s="887"/>
      <c r="AH92" s="887"/>
      <c r="AI92" s="887"/>
      <c r="AJ92" s="887"/>
      <c r="AK92" s="887"/>
      <c r="AL92" s="887"/>
      <c r="AM92" s="887"/>
      <c r="AN92" s="887"/>
      <c r="AO92" s="887"/>
      <c r="AP92" s="358"/>
      <c r="AV92" s="320"/>
      <c r="AW92" s="887"/>
      <c r="AX92" s="887"/>
      <c r="AY92" s="887"/>
      <c r="AZ92" s="887"/>
      <c r="BA92" s="887"/>
      <c r="BB92" s="887"/>
      <c r="BC92" s="887"/>
      <c r="BD92" s="887"/>
      <c r="BE92" s="887"/>
      <c r="BF92" s="887"/>
      <c r="BG92" s="887"/>
      <c r="BH92" s="887"/>
      <c r="BI92" s="358"/>
      <c r="BO92" s="320"/>
      <c r="BP92" s="887"/>
      <c r="BQ92" s="887"/>
      <c r="BR92" s="887"/>
      <c r="BS92" s="887"/>
      <c r="BT92" s="887"/>
      <c r="BU92" s="887"/>
      <c r="BV92" s="887"/>
      <c r="BW92" s="887"/>
      <c r="BX92" s="887"/>
      <c r="BY92" s="887"/>
      <c r="BZ92" s="887"/>
      <c r="CA92" s="887"/>
      <c r="CB92" s="358"/>
      <c r="CI92" s="320"/>
      <c r="CJ92" s="887"/>
      <c r="CK92" s="887"/>
      <c r="CL92" s="887"/>
      <c r="CM92" s="887"/>
      <c r="CN92" s="887"/>
      <c r="CO92" s="887"/>
      <c r="CP92" s="887"/>
      <c r="CQ92" s="887"/>
      <c r="CR92" s="887"/>
      <c r="CS92" s="887"/>
      <c r="CT92" s="887"/>
      <c r="CU92" s="887"/>
      <c r="CV92" s="358"/>
    </row>
    <row r="95" spans="10:100" ht="24" customHeight="1" x14ac:dyDescent="0.25">
      <c r="J95" s="886"/>
      <c r="K95" s="798"/>
      <c r="L95" s="774"/>
      <c r="M95" s="774"/>
      <c r="N95" s="774"/>
      <c r="O95" s="774"/>
      <c r="P95" s="774"/>
      <c r="Q95" s="774"/>
      <c r="R95" s="774"/>
      <c r="S95" s="774"/>
      <c r="T95" s="774"/>
      <c r="U95" s="774"/>
      <c r="V95" s="775"/>
      <c r="W95" s="356"/>
      <c r="AC95" s="886"/>
      <c r="AD95" s="798"/>
      <c r="AE95" s="774"/>
      <c r="AF95" s="774"/>
      <c r="AG95" s="774"/>
      <c r="AH95" s="774"/>
      <c r="AI95" s="774"/>
      <c r="AJ95" s="774"/>
      <c r="AK95" s="774"/>
      <c r="AL95" s="774"/>
      <c r="AM95" s="774"/>
      <c r="AN95" s="774"/>
      <c r="AO95" s="775"/>
      <c r="AP95" s="356"/>
      <c r="AV95" s="886"/>
      <c r="AW95" s="798"/>
      <c r="AX95" s="774"/>
      <c r="AY95" s="774"/>
      <c r="AZ95" s="774"/>
      <c r="BA95" s="774"/>
      <c r="BB95" s="774"/>
      <c r="BC95" s="774"/>
      <c r="BD95" s="774"/>
      <c r="BE95" s="774"/>
      <c r="BF95" s="774"/>
      <c r="BG95" s="774"/>
      <c r="BH95" s="775"/>
      <c r="BI95" s="356"/>
      <c r="BO95" s="356"/>
      <c r="BP95" s="798" t="s">
        <v>1017</v>
      </c>
      <c r="BQ95" s="775"/>
      <c r="BR95" s="356"/>
      <c r="BS95" s="798" t="s">
        <v>1069</v>
      </c>
      <c r="BT95" s="774"/>
      <c r="BU95" s="774"/>
      <c r="BV95" s="774"/>
      <c r="BW95" s="774"/>
      <c r="BX95" s="774"/>
      <c r="BY95" s="774"/>
      <c r="BZ95" s="774"/>
      <c r="CA95" s="775"/>
      <c r="CB95" s="356"/>
      <c r="CI95" s="356"/>
      <c r="CJ95" s="798" t="s">
        <v>1016</v>
      </c>
      <c r="CK95" s="775"/>
      <c r="CL95" s="356"/>
      <c r="CM95" s="336" t="s">
        <v>1039</v>
      </c>
      <c r="CN95" s="332"/>
      <c r="CO95" s="332"/>
      <c r="CP95" s="332"/>
      <c r="CQ95" s="332"/>
      <c r="CR95" s="332"/>
      <c r="CS95" s="332"/>
      <c r="CT95" s="332"/>
      <c r="CU95" s="333"/>
      <c r="CV95" s="356"/>
    </row>
    <row r="96" spans="10:100" ht="24" customHeight="1" thickBot="1" x14ac:dyDescent="0.3">
      <c r="J96" s="888"/>
      <c r="K96" s="776"/>
      <c r="L96" s="777"/>
      <c r="M96" s="777"/>
      <c r="N96" s="777"/>
      <c r="O96" s="777"/>
      <c r="P96" s="777"/>
      <c r="Q96" s="777"/>
      <c r="R96" s="777"/>
      <c r="S96" s="777"/>
      <c r="T96" s="777"/>
      <c r="U96" s="777"/>
      <c r="V96" s="778"/>
      <c r="W96" s="358"/>
      <c r="AC96" s="888"/>
      <c r="AD96" s="776"/>
      <c r="AE96" s="777"/>
      <c r="AF96" s="777"/>
      <c r="AG96" s="777"/>
      <c r="AH96" s="777"/>
      <c r="AI96" s="777"/>
      <c r="AJ96" s="777"/>
      <c r="AK96" s="777"/>
      <c r="AL96" s="777"/>
      <c r="AM96" s="777"/>
      <c r="AN96" s="777"/>
      <c r="AO96" s="778"/>
      <c r="AP96" s="358"/>
      <c r="AV96" s="888"/>
      <c r="AW96" s="776"/>
      <c r="AX96" s="777"/>
      <c r="AY96" s="777"/>
      <c r="AZ96" s="777"/>
      <c r="BA96" s="777"/>
      <c r="BB96" s="777"/>
      <c r="BC96" s="777"/>
      <c r="BD96" s="777"/>
      <c r="BE96" s="777"/>
      <c r="BF96" s="777"/>
      <c r="BG96" s="777"/>
      <c r="BH96" s="778"/>
      <c r="BI96" s="358"/>
      <c r="BO96" s="723"/>
      <c r="BP96" s="776"/>
      <c r="BQ96" s="778"/>
      <c r="BR96" s="723"/>
      <c r="BS96" s="776"/>
      <c r="BT96" s="777"/>
      <c r="BU96" s="777"/>
      <c r="BV96" s="777"/>
      <c r="BW96" s="777"/>
      <c r="BX96" s="777"/>
      <c r="BY96" s="777"/>
      <c r="BZ96" s="777"/>
      <c r="CA96" s="778"/>
      <c r="CB96" s="358"/>
      <c r="CI96" s="723"/>
      <c r="CJ96" s="776"/>
      <c r="CK96" s="778"/>
      <c r="CL96" s="723"/>
      <c r="CM96" s="334"/>
      <c r="CN96" s="334"/>
      <c r="CO96" s="334"/>
      <c r="CP96" s="334"/>
      <c r="CQ96" s="334"/>
      <c r="CR96" s="334"/>
      <c r="CS96" s="334"/>
      <c r="CT96" s="334"/>
      <c r="CU96" s="335"/>
      <c r="CV96" s="358"/>
    </row>
    <row r="97" spans="10:100" ht="24" customHeight="1" x14ac:dyDescent="0.25">
      <c r="J97" s="319"/>
      <c r="K97" s="873"/>
      <c r="L97" s="874"/>
      <c r="M97" s="874"/>
      <c r="N97" s="874"/>
      <c r="O97" s="874"/>
      <c r="P97" s="874"/>
      <c r="Q97" s="874"/>
      <c r="R97" s="874"/>
      <c r="S97" s="874"/>
      <c r="T97" s="874"/>
      <c r="U97" s="874"/>
      <c r="V97" s="875"/>
      <c r="W97" s="882" t="s">
        <v>628</v>
      </c>
      <c r="AC97" s="319"/>
      <c r="AD97" s="873"/>
      <c r="AE97" s="874"/>
      <c r="AF97" s="874"/>
      <c r="AG97" s="874"/>
      <c r="AH97" s="874"/>
      <c r="AI97" s="874"/>
      <c r="AJ97" s="874"/>
      <c r="AK97" s="874"/>
      <c r="AL97" s="874"/>
      <c r="AM97" s="874"/>
      <c r="AN97" s="874"/>
      <c r="AO97" s="875"/>
      <c r="AP97" s="882" t="s">
        <v>628</v>
      </c>
      <c r="AV97" s="319"/>
      <c r="AW97" s="873"/>
      <c r="AX97" s="874"/>
      <c r="AY97" s="874"/>
      <c r="AZ97" s="874"/>
      <c r="BA97" s="874"/>
      <c r="BB97" s="874"/>
      <c r="BC97" s="874"/>
      <c r="BD97" s="874"/>
      <c r="BE97" s="874"/>
      <c r="BF97" s="874"/>
      <c r="BG97" s="874"/>
      <c r="BH97" s="875"/>
      <c r="BI97" s="882" t="s">
        <v>628</v>
      </c>
      <c r="BO97" s="319"/>
      <c r="BP97" s="873"/>
      <c r="BQ97" s="874"/>
      <c r="BR97" s="874"/>
      <c r="BS97" s="874"/>
      <c r="BT97" s="874"/>
      <c r="BU97" s="874"/>
      <c r="BV97" s="874"/>
      <c r="BW97" s="874"/>
      <c r="BX97" s="874"/>
      <c r="BY97" s="874"/>
      <c r="BZ97" s="874"/>
      <c r="CA97" s="875"/>
      <c r="CB97" s="882" t="s">
        <v>628</v>
      </c>
      <c r="CI97" s="319"/>
      <c r="CJ97" s="873"/>
      <c r="CK97" s="874"/>
      <c r="CL97" s="874"/>
      <c r="CM97" s="874"/>
      <c r="CN97" s="874"/>
      <c r="CO97" s="874"/>
      <c r="CP97" s="874"/>
      <c r="CQ97" s="874"/>
      <c r="CR97" s="874"/>
      <c r="CS97" s="874"/>
      <c r="CT97" s="874"/>
      <c r="CU97" s="875"/>
      <c r="CV97" s="882" t="s">
        <v>628</v>
      </c>
    </row>
    <row r="98" spans="10:100" ht="24" customHeight="1" x14ac:dyDescent="0.25">
      <c r="J98" s="319"/>
      <c r="K98" s="876"/>
      <c r="L98" s="877"/>
      <c r="M98" s="877"/>
      <c r="N98" s="877"/>
      <c r="O98" s="877"/>
      <c r="P98" s="877"/>
      <c r="Q98" s="877"/>
      <c r="R98" s="877"/>
      <c r="S98" s="877"/>
      <c r="T98" s="877"/>
      <c r="U98" s="877"/>
      <c r="V98" s="878"/>
      <c r="W98" s="883"/>
      <c r="AC98" s="319"/>
      <c r="AD98" s="876"/>
      <c r="AE98" s="877"/>
      <c r="AF98" s="877"/>
      <c r="AG98" s="877"/>
      <c r="AH98" s="877"/>
      <c r="AI98" s="877"/>
      <c r="AJ98" s="877"/>
      <c r="AK98" s="877"/>
      <c r="AL98" s="877"/>
      <c r="AM98" s="877"/>
      <c r="AN98" s="877"/>
      <c r="AO98" s="878"/>
      <c r="AP98" s="883"/>
      <c r="AV98" s="319"/>
      <c r="AW98" s="876"/>
      <c r="AX98" s="877"/>
      <c r="AY98" s="877"/>
      <c r="AZ98" s="877"/>
      <c r="BA98" s="877"/>
      <c r="BB98" s="877"/>
      <c r="BC98" s="877"/>
      <c r="BD98" s="877"/>
      <c r="BE98" s="877"/>
      <c r="BF98" s="877"/>
      <c r="BG98" s="877"/>
      <c r="BH98" s="878"/>
      <c r="BI98" s="883"/>
      <c r="BO98" s="319"/>
      <c r="BP98" s="876"/>
      <c r="BQ98" s="877"/>
      <c r="BR98" s="877"/>
      <c r="BS98" s="877"/>
      <c r="BT98" s="877"/>
      <c r="BU98" s="877"/>
      <c r="BV98" s="877"/>
      <c r="BW98" s="877"/>
      <c r="BX98" s="877"/>
      <c r="BY98" s="877"/>
      <c r="BZ98" s="877"/>
      <c r="CA98" s="878"/>
      <c r="CB98" s="883"/>
      <c r="CI98" s="319"/>
      <c r="CJ98" s="876"/>
      <c r="CK98" s="877"/>
      <c r="CL98" s="877"/>
      <c r="CM98" s="877"/>
      <c r="CN98" s="877"/>
      <c r="CO98" s="877"/>
      <c r="CP98" s="877"/>
      <c r="CQ98" s="877"/>
      <c r="CR98" s="877"/>
      <c r="CS98" s="877"/>
      <c r="CT98" s="877"/>
      <c r="CU98" s="878"/>
      <c r="CV98" s="883"/>
    </row>
    <row r="99" spans="10:100" ht="24" customHeight="1" x14ac:dyDescent="0.25">
      <c r="J99" s="319"/>
      <c r="K99" s="876"/>
      <c r="L99" s="877"/>
      <c r="M99" s="877"/>
      <c r="N99" s="877"/>
      <c r="O99" s="877"/>
      <c r="P99" s="877"/>
      <c r="Q99" s="877"/>
      <c r="R99" s="877"/>
      <c r="S99" s="877"/>
      <c r="T99" s="877"/>
      <c r="U99" s="877"/>
      <c r="V99" s="878"/>
      <c r="W99" s="884"/>
      <c r="AC99" s="319"/>
      <c r="AD99" s="876"/>
      <c r="AE99" s="877"/>
      <c r="AF99" s="877"/>
      <c r="AG99" s="877"/>
      <c r="AH99" s="877"/>
      <c r="AI99" s="877"/>
      <c r="AJ99" s="877"/>
      <c r="AK99" s="877"/>
      <c r="AL99" s="877"/>
      <c r="AM99" s="877"/>
      <c r="AN99" s="877"/>
      <c r="AO99" s="878"/>
      <c r="AP99" s="884"/>
      <c r="AV99" s="319"/>
      <c r="AW99" s="876"/>
      <c r="AX99" s="877"/>
      <c r="AY99" s="877"/>
      <c r="AZ99" s="877"/>
      <c r="BA99" s="877"/>
      <c r="BB99" s="877"/>
      <c r="BC99" s="877"/>
      <c r="BD99" s="877"/>
      <c r="BE99" s="877"/>
      <c r="BF99" s="877"/>
      <c r="BG99" s="877"/>
      <c r="BH99" s="878"/>
      <c r="BI99" s="884"/>
      <c r="BO99" s="319"/>
      <c r="BP99" s="876"/>
      <c r="BQ99" s="877"/>
      <c r="BR99" s="877"/>
      <c r="BS99" s="877"/>
      <c r="BT99" s="877"/>
      <c r="BU99" s="877"/>
      <c r="BV99" s="877"/>
      <c r="BW99" s="877"/>
      <c r="BX99" s="877"/>
      <c r="BY99" s="877"/>
      <c r="BZ99" s="877"/>
      <c r="CA99" s="878"/>
      <c r="CB99" s="884"/>
      <c r="CI99" s="319"/>
      <c r="CJ99" s="876"/>
      <c r="CK99" s="877"/>
      <c r="CL99" s="877"/>
      <c r="CM99" s="877"/>
      <c r="CN99" s="877"/>
      <c r="CO99" s="877"/>
      <c r="CP99" s="877"/>
      <c r="CQ99" s="877"/>
      <c r="CR99" s="877"/>
      <c r="CS99" s="877"/>
      <c r="CT99" s="877"/>
      <c r="CU99" s="878"/>
      <c r="CV99" s="884"/>
    </row>
    <row r="100" spans="10:100" ht="24" customHeight="1" x14ac:dyDescent="0.25">
      <c r="J100" s="319"/>
      <c r="K100" s="876"/>
      <c r="L100" s="877"/>
      <c r="M100" s="877"/>
      <c r="N100" s="877"/>
      <c r="O100" s="877"/>
      <c r="P100" s="877"/>
      <c r="Q100" s="877"/>
      <c r="R100" s="877"/>
      <c r="S100" s="877"/>
      <c r="T100" s="877"/>
      <c r="U100" s="877"/>
      <c r="V100" s="878"/>
      <c r="W100" s="885"/>
      <c r="AC100" s="319"/>
      <c r="AD100" s="876"/>
      <c r="AE100" s="877"/>
      <c r="AF100" s="877"/>
      <c r="AG100" s="877"/>
      <c r="AH100" s="877"/>
      <c r="AI100" s="877"/>
      <c r="AJ100" s="877"/>
      <c r="AK100" s="877"/>
      <c r="AL100" s="877"/>
      <c r="AM100" s="877"/>
      <c r="AN100" s="877"/>
      <c r="AO100" s="878"/>
      <c r="AP100" s="885"/>
      <c r="AV100" s="319"/>
      <c r="AW100" s="876"/>
      <c r="AX100" s="877"/>
      <c r="AY100" s="877"/>
      <c r="AZ100" s="877"/>
      <c r="BA100" s="877"/>
      <c r="BB100" s="877"/>
      <c r="BC100" s="877"/>
      <c r="BD100" s="877"/>
      <c r="BE100" s="877"/>
      <c r="BF100" s="877"/>
      <c r="BG100" s="877"/>
      <c r="BH100" s="878"/>
      <c r="BI100" s="885"/>
      <c r="BO100" s="319"/>
      <c r="BP100" s="876"/>
      <c r="BQ100" s="877"/>
      <c r="BR100" s="877"/>
      <c r="BS100" s="877"/>
      <c r="BT100" s="877"/>
      <c r="BU100" s="877"/>
      <c r="BV100" s="877"/>
      <c r="BW100" s="877"/>
      <c r="BX100" s="877"/>
      <c r="BY100" s="877"/>
      <c r="BZ100" s="877"/>
      <c r="CA100" s="878"/>
      <c r="CB100" s="885"/>
      <c r="CI100" s="319"/>
      <c r="CJ100" s="876"/>
      <c r="CK100" s="877"/>
      <c r="CL100" s="877"/>
      <c r="CM100" s="877"/>
      <c r="CN100" s="877"/>
      <c r="CO100" s="877"/>
      <c r="CP100" s="877"/>
      <c r="CQ100" s="877"/>
      <c r="CR100" s="877"/>
      <c r="CS100" s="877"/>
      <c r="CT100" s="877"/>
      <c r="CU100" s="878"/>
      <c r="CV100" s="885"/>
    </row>
    <row r="101" spans="10:100" ht="24" customHeight="1" x14ac:dyDescent="0.25">
      <c r="J101" s="319"/>
      <c r="K101" s="876"/>
      <c r="L101" s="877"/>
      <c r="M101" s="877"/>
      <c r="N101" s="877"/>
      <c r="O101" s="877"/>
      <c r="P101" s="877"/>
      <c r="Q101" s="877"/>
      <c r="R101" s="877"/>
      <c r="S101" s="877"/>
      <c r="T101" s="877"/>
      <c r="U101" s="877"/>
      <c r="V101" s="878"/>
      <c r="W101" s="885"/>
      <c r="AC101" s="319"/>
      <c r="AD101" s="876"/>
      <c r="AE101" s="877"/>
      <c r="AF101" s="877"/>
      <c r="AG101" s="877"/>
      <c r="AH101" s="877"/>
      <c r="AI101" s="877"/>
      <c r="AJ101" s="877"/>
      <c r="AK101" s="877"/>
      <c r="AL101" s="877"/>
      <c r="AM101" s="877"/>
      <c r="AN101" s="877"/>
      <c r="AO101" s="878"/>
      <c r="AP101" s="885"/>
      <c r="AV101" s="319"/>
      <c r="AW101" s="876"/>
      <c r="AX101" s="877"/>
      <c r="AY101" s="877"/>
      <c r="AZ101" s="877"/>
      <c r="BA101" s="877"/>
      <c r="BB101" s="877"/>
      <c r="BC101" s="877"/>
      <c r="BD101" s="877"/>
      <c r="BE101" s="877"/>
      <c r="BF101" s="877"/>
      <c r="BG101" s="877"/>
      <c r="BH101" s="878"/>
      <c r="BI101" s="885"/>
      <c r="BO101" s="319"/>
      <c r="BP101" s="876"/>
      <c r="BQ101" s="877"/>
      <c r="BR101" s="877"/>
      <c r="BS101" s="877"/>
      <c r="BT101" s="877"/>
      <c r="BU101" s="877"/>
      <c r="BV101" s="877"/>
      <c r="BW101" s="877"/>
      <c r="BX101" s="877"/>
      <c r="BY101" s="877"/>
      <c r="BZ101" s="877"/>
      <c r="CA101" s="878"/>
      <c r="CB101" s="885"/>
      <c r="CI101" s="319"/>
      <c r="CJ101" s="876"/>
      <c r="CK101" s="877"/>
      <c r="CL101" s="877"/>
      <c r="CM101" s="877"/>
      <c r="CN101" s="877"/>
      <c r="CO101" s="877"/>
      <c r="CP101" s="877"/>
      <c r="CQ101" s="877"/>
      <c r="CR101" s="877"/>
      <c r="CS101" s="877"/>
      <c r="CT101" s="877"/>
      <c r="CU101" s="878"/>
      <c r="CV101" s="885"/>
    </row>
    <row r="102" spans="10:100" ht="24" customHeight="1" x14ac:dyDescent="0.25">
      <c r="J102" s="319"/>
      <c r="K102" s="876"/>
      <c r="L102" s="877"/>
      <c r="M102" s="877"/>
      <c r="N102" s="877"/>
      <c r="O102" s="877"/>
      <c r="P102" s="877"/>
      <c r="Q102" s="877"/>
      <c r="R102" s="877"/>
      <c r="S102" s="877"/>
      <c r="T102" s="877"/>
      <c r="U102" s="877"/>
      <c r="V102" s="878"/>
      <c r="W102" s="885"/>
      <c r="AC102" s="319"/>
      <c r="AD102" s="876"/>
      <c r="AE102" s="877"/>
      <c r="AF102" s="877"/>
      <c r="AG102" s="877"/>
      <c r="AH102" s="877"/>
      <c r="AI102" s="877"/>
      <c r="AJ102" s="877"/>
      <c r="AK102" s="877"/>
      <c r="AL102" s="877"/>
      <c r="AM102" s="877"/>
      <c r="AN102" s="877"/>
      <c r="AO102" s="878"/>
      <c r="AP102" s="885"/>
      <c r="AV102" s="319"/>
      <c r="AW102" s="876"/>
      <c r="AX102" s="877"/>
      <c r="AY102" s="877"/>
      <c r="AZ102" s="877"/>
      <c r="BA102" s="877"/>
      <c r="BB102" s="877"/>
      <c r="BC102" s="877"/>
      <c r="BD102" s="877"/>
      <c r="BE102" s="877"/>
      <c r="BF102" s="877"/>
      <c r="BG102" s="877"/>
      <c r="BH102" s="878"/>
      <c r="BI102" s="885"/>
      <c r="BO102" s="319"/>
      <c r="BP102" s="876"/>
      <c r="BQ102" s="877"/>
      <c r="BR102" s="877"/>
      <c r="BS102" s="877"/>
      <c r="BT102" s="877"/>
      <c r="BU102" s="877"/>
      <c r="BV102" s="877"/>
      <c r="BW102" s="877"/>
      <c r="BX102" s="877"/>
      <c r="BY102" s="877"/>
      <c r="BZ102" s="877"/>
      <c r="CA102" s="878"/>
      <c r="CB102" s="885"/>
      <c r="CI102" s="319"/>
      <c r="CJ102" s="876"/>
      <c r="CK102" s="877"/>
      <c r="CL102" s="877"/>
      <c r="CM102" s="877"/>
      <c r="CN102" s="877"/>
      <c r="CO102" s="877"/>
      <c r="CP102" s="877"/>
      <c r="CQ102" s="877"/>
      <c r="CR102" s="877"/>
      <c r="CS102" s="877"/>
      <c r="CT102" s="877"/>
      <c r="CU102" s="878"/>
      <c r="CV102" s="885"/>
    </row>
    <row r="103" spans="10:100" ht="24" customHeight="1" x14ac:dyDescent="0.25">
      <c r="J103" s="319"/>
      <c r="K103" s="876"/>
      <c r="L103" s="877"/>
      <c r="M103" s="877"/>
      <c r="N103" s="877"/>
      <c r="O103" s="877"/>
      <c r="P103" s="877"/>
      <c r="Q103" s="877"/>
      <c r="R103" s="877"/>
      <c r="S103" s="877"/>
      <c r="T103" s="877"/>
      <c r="U103" s="877"/>
      <c r="V103" s="878"/>
      <c r="W103" s="885"/>
      <c r="AC103" s="319"/>
      <c r="AD103" s="876"/>
      <c r="AE103" s="877"/>
      <c r="AF103" s="877"/>
      <c r="AG103" s="877"/>
      <c r="AH103" s="877"/>
      <c r="AI103" s="877"/>
      <c r="AJ103" s="877"/>
      <c r="AK103" s="877"/>
      <c r="AL103" s="877"/>
      <c r="AM103" s="877"/>
      <c r="AN103" s="877"/>
      <c r="AO103" s="878"/>
      <c r="AP103" s="885"/>
      <c r="AV103" s="319"/>
      <c r="AW103" s="876"/>
      <c r="AX103" s="877"/>
      <c r="AY103" s="877"/>
      <c r="AZ103" s="877"/>
      <c r="BA103" s="877"/>
      <c r="BB103" s="877"/>
      <c r="BC103" s="877"/>
      <c r="BD103" s="877"/>
      <c r="BE103" s="877"/>
      <c r="BF103" s="877"/>
      <c r="BG103" s="877"/>
      <c r="BH103" s="878"/>
      <c r="BI103" s="885"/>
      <c r="BO103" s="319"/>
      <c r="BP103" s="876"/>
      <c r="BQ103" s="877"/>
      <c r="BR103" s="877"/>
      <c r="BS103" s="877"/>
      <c r="BT103" s="877"/>
      <c r="BU103" s="877"/>
      <c r="BV103" s="877"/>
      <c r="BW103" s="877"/>
      <c r="BX103" s="877"/>
      <c r="BY103" s="877"/>
      <c r="BZ103" s="877"/>
      <c r="CA103" s="878"/>
      <c r="CB103" s="885"/>
      <c r="CI103" s="319"/>
      <c r="CJ103" s="876"/>
      <c r="CK103" s="877"/>
      <c r="CL103" s="877"/>
      <c r="CM103" s="877"/>
      <c r="CN103" s="877"/>
      <c r="CO103" s="877"/>
      <c r="CP103" s="877"/>
      <c r="CQ103" s="877"/>
      <c r="CR103" s="877"/>
      <c r="CS103" s="877"/>
      <c r="CT103" s="877"/>
      <c r="CU103" s="878"/>
      <c r="CV103" s="885"/>
    </row>
    <row r="104" spans="10:100" ht="24" customHeight="1" x14ac:dyDescent="0.25">
      <c r="J104" s="319"/>
      <c r="K104" s="876"/>
      <c r="L104" s="877"/>
      <c r="M104" s="877"/>
      <c r="N104" s="877"/>
      <c r="O104" s="877"/>
      <c r="P104" s="877"/>
      <c r="Q104" s="877"/>
      <c r="R104" s="877"/>
      <c r="S104" s="877"/>
      <c r="T104" s="877"/>
      <c r="U104" s="877"/>
      <c r="V104" s="878"/>
      <c r="W104" s="885"/>
      <c r="AC104" s="319"/>
      <c r="AD104" s="876"/>
      <c r="AE104" s="877"/>
      <c r="AF104" s="877"/>
      <c r="AG104" s="877"/>
      <c r="AH104" s="877"/>
      <c r="AI104" s="877"/>
      <c r="AJ104" s="877"/>
      <c r="AK104" s="877"/>
      <c r="AL104" s="877"/>
      <c r="AM104" s="877"/>
      <c r="AN104" s="877"/>
      <c r="AO104" s="878"/>
      <c r="AP104" s="885"/>
      <c r="AV104" s="319"/>
      <c r="AW104" s="876"/>
      <c r="AX104" s="877"/>
      <c r="AY104" s="877"/>
      <c r="AZ104" s="877"/>
      <c r="BA104" s="877"/>
      <c r="BB104" s="877"/>
      <c r="BC104" s="877"/>
      <c r="BD104" s="877"/>
      <c r="BE104" s="877"/>
      <c r="BF104" s="877"/>
      <c r="BG104" s="877"/>
      <c r="BH104" s="878"/>
      <c r="BI104" s="885"/>
      <c r="BO104" s="319"/>
      <c r="BP104" s="876"/>
      <c r="BQ104" s="877"/>
      <c r="BR104" s="877"/>
      <c r="BS104" s="877"/>
      <c r="BT104" s="877"/>
      <c r="BU104" s="877"/>
      <c r="BV104" s="877"/>
      <c r="BW104" s="877"/>
      <c r="BX104" s="877"/>
      <c r="BY104" s="877"/>
      <c r="BZ104" s="877"/>
      <c r="CA104" s="878"/>
      <c r="CB104" s="885"/>
      <c r="CI104" s="319"/>
      <c r="CJ104" s="876"/>
      <c r="CK104" s="877"/>
      <c r="CL104" s="877"/>
      <c r="CM104" s="877"/>
      <c r="CN104" s="877"/>
      <c r="CO104" s="877"/>
      <c r="CP104" s="877"/>
      <c r="CQ104" s="877"/>
      <c r="CR104" s="877"/>
      <c r="CS104" s="877"/>
      <c r="CT104" s="877"/>
      <c r="CU104" s="878"/>
      <c r="CV104" s="885"/>
    </row>
    <row r="105" spans="10:100" ht="24" customHeight="1" x14ac:dyDescent="0.25">
      <c r="J105" s="319"/>
      <c r="K105" s="876"/>
      <c r="L105" s="877"/>
      <c r="M105" s="877"/>
      <c r="N105" s="877"/>
      <c r="O105" s="877"/>
      <c r="P105" s="877"/>
      <c r="Q105" s="877"/>
      <c r="R105" s="877"/>
      <c r="S105" s="877"/>
      <c r="T105" s="877"/>
      <c r="U105" s="877"/>
      <c r="V105" s="878"/>
      <c r="W105" s="885"/>
      <c r="AC105" s="319"/>
      <c r="AD105" s="876"/>
      <c r="AE105" s="877"/>
      <c r="AF105" s="877"/>
      <c r="AG105" s="877"/>
      <c r="AH105" s="877"/>
      <c r="AI105" s="877"/>
      <c r="AJ105" s="877"/>
      <c r="AK105" s="877"/>
      <c r="AL105" s="877"/>
      <c r="AM105" s="877"/>
      <c r="AN105" s="877"/>
      <c r="AO105" s="878"/>
      <c r="AP105" s="885"/>
      <c r="AV105" s="319"/>
      <c r="AW105" s="876"/>
      <c r="AX105" s="877"/>
      <c r="AY105" s="877"/>
      <c r="AZ105" s="877"/>
      <c r="BA105" s="877"/>
      <c r="BB105" s="877"/>
      <c r="BC105" s="877"/>
      <c r="BD105" s="877"/>
      <c r="BE105" s="877"/>
      <c r="BF105" s="877"/>
      <c r="BG105" s="877"/>
      <c r="BH105" s="878"/>
      <c r="BI105" s="885"/>
      <c r="BO105" s="319"/>
      <c r="BP105" s="876"/>
      <c r="BQ105" s="877"/>
      <c r="BR105" s="877"/>
      <c r="BS105" s="877"/>
      <c r="BT105" s="877"/>
      <c r="BU105" s="877"/>
      <c r="BV105" s="877"/>
      <c r="BW105" s="877"/>
      <c r="BX105" s="877"/>
      <c r="BY105" s="877"/>
      <c r="BZ105" s="877"/>
      <c r="CA105" s="878"/>
      <c r="CB105" s="885"/>
      <c r="CI105" s="319"/>
      <c r="CJ105" s="876"/>
      <c r="CK105" s="877"/>
      <c r="CL105" s="877"/>
      <c r="CM105" s="877"/>
      <c r="CN105" s="877"/>
      <c r="CO105" s="877"/>
      <c r="CP105" s="877"/>
      <c r="CQ105" s="877"/>
      <c r="CR105" s="877"/>
      <c r="CS105" s="877"/>
      <c r="CT105" s="877"/>
      <c r="CU105" s="878"/>
      <c r="CV105" s="885"/>
    </row>
    <row r="106" spans="10:100" ht="24" customHeight="1" x14ac:dyDescent="0.25">
      <c r="J106" s="319"/>
      <c r="K106" s="876"/>
      <c r="L106" s="877"/>
      <c r="M106" s="877"/>
      <c r="N106" s="877"/>
      <c r="O106" s="877"/>
      <c r="P106" s="877"/>
      <c r="Q106" s="877"/>
      <c r="R106" s="877"/>
      <c r="S106" s="877"/>
      <c r="T106" s="877"/>
      <c r="U106" s="877"/>
      <c r="V106" s="878"/>
      <c r="W106" s="885"/>
      <c r="AC106" s="319"/>
      <c r="AD106" s="876"/>
      <c r="AE106" s="877"/>
      <c r="AF106" s="877"/>
      <c r="AG106" s="877"/>
      <c r="AH106" s="877"/>
      <c r="AI106" s="877"/>
      <c r="AJ106" s="877"/>
      <c r="AK106" s="877"/>
      <c r="AL106" s="877"/>
      <c r="AM106" s="877"/>
      <c r="AN106" s="877"/>
      <c r="AO106" s="878"/>
      <c r="AP106" s="885"/>
      <c r="AV106" s="319"/>
      <c r="AW106" s="876"/>
      <c r="AX106" s="877"/>
      <c r="AY106" s="877"/>
      <c r="AZ106" s="877"/>
      <c r="BA106" s="877"/>
      <c r="BB106" s="877"/>
      <c r="BC106" s="877"/>
      <c r="BD106" s="877"/>
      <c r="BE106" s="877"/>
      <c r="BF106" s="877"/>
      <c r="BG106" s="877"/>
      <c r="BH106" s="878"/>
      <c r="BI106" s="885"/>
      <c r="BO106" s="319"/>
      <c r="BP106" s="876"/>
      <c r="BQ106" s="877"/>
      <c r="BR106" s="877"/>
      <c r="BS106" s="877"/>
      <c r="BT106" s="877"/>
      <c r="BU106" s="877"/>
      <c r="BV106" s="877"/>
      <c r="BW106" s="877"/>
      <c r="BX106" s="877"/>
      <c r="BY106" s="877"/>
      <c r="BZ106" s="877"/>
      <c r="CA106" s="878"/>
      <c r="CB106" s="885"/>
      <c r="CI106" s="319"/>
      <c r="CJ106" s="876"/>
      <c r="CK106" s="877"/>
      <c r="CL106" s="877"/>
      <c r="CM106" s="877"/>
      <c r="CN106" s="877"/>
      <c r="CO106" s="877"/>
      <c r="CP106" s="877"/>
      <c r="CQ106" s="877"/>
      <c r="CR106" s="877"/>
      <c r="CS106" s="877"/>
      <c r="CT106" s="877"/>
      <c r="CU106" s="878"/>
      <c r="CV106" s="885"/>
    </row>
    <row r="107" spans="10:100" ht="24" customHeight="1" x14ac:dyDescent="0.25">
      <c r="J107" s="319"/>
      <c r="K107" s="876"/>
      <c r="L107" s="877"/>
      <c r="M107" s="877"/>
      <c r="N107" s="877"/>
      <c r="O107" s="877"/>
      <c r="P107" s="877"/>
      <c r="Q107" s="877"/>
      <c r="R107" s="877"/>
      <c r="S107" s="877"/>
      <c r="T107" s="877"/>
      <c r="U107" s="877"/>
      <c r="V107" s="878"/>
      <c r="W107" s="885"/>
      <c r="AC107" s="319"/>
      <c r="AD107" s="876"/>
      <c r="AE107" s="877"/>
      <c r="AF107" s="877"/>
      <c r="AG107" s="877"/>
      <c r="AH107" s="877"/>
      <c r="AI107" s="877"/>
      <c r="AJ107" s="877"/>
      <c r="AK107" s="877"/>
      <c r="AL107" s="877"/>
      <c r="AM107" s="877"/>
      <c r="AN107" s="877"/>
      <c r="AO107" s="878"/>
      <c r="AP107" s="885"/>
      <c r="AV107" s="319"/>
      <c r="AW107" s="876"/>
      <c r="AX107" s="877"/>
      <c r="AY107" s="877"/>
      <c r="AZ107" s="877"/>
      <c r="BA107" s="877"/>
      <c r="BB107" s="877"/>
      <c r="BC107" s="877"/>
      <c r="BD107" s="877"/>
      <c r="BE107" s="877"/>
      <c r="BF107" s="877"/>
      <c r="BG107" s="877"/>
      <c r="BH107" s="878"/>
      <c r="BI107" s="885"/>
      <c r="BO107" s="319"/>
      <c r="BP107" s="876"/>
      <c r="BQ107" s="877"/>
      <c r="BR107" s="877"/>
      <c r="BS107" s="877"/>
      <c r="BT107" s="877"/>
      <c r="BU107" s="877"/>
      <c r="BV107" s="877"/>
      <c r="BW107" s="877"/>
      <c r="BX107" s="877"/>
      <c r="BY107" s="877"/>
      <c r="BZ107" s="877"/>
      <c r="CA107" s="878"/>
      <c r="CB107" s="885"/>
      <c r="CI107" s="319"/>
      <c r="CJ107" s="876"/>
      <c r="CK107" s="877"/>
      <c r="CL107" s="877"/>
      <c r="CM107" s="877"/>
      <c r="CN107" s="877"/>
      <c r="CO107" s="877"/>
      <c r="CP107" s="877"/>
      <c r="CQ107" s="877"/>
      <c r="CR107" s="877"/>
      <c r="CS107" s="877"/>
      <c r="CT107" s="877"/>
      <c r="CU107" s="878"/>
      <c r="CV107" s="885"/>
    </row>
    <row r="108" spans="10:100" ht="24" customHeight="1" x14ac:dyDescent="0.25">
      <c r="J108" s="319"/>
      <c r="K108" s="876"/>
      <c r="L108" s="877"/>
      <c r="M108" s="877"/>
      <c r="N108" s="877"/>
      <c r="O108" s="877"/>
      <c r="P108" s="877"/>
      <c r="Q108" s="877"/>
      <c r="R108" s="877"/>
      <c r="S108" s="877"/>
      <c r="T108" s="877"/>
      <c r="U108" s="877"/>
      <c r="V108" s="878"/>
      <c r="W108" s="885"/>
      <c r="AC108" s="319"/>
      <c r="AD108" s="876"/>
      <c r="AE108" s="877"/>
      <c r="AF108" s="877"/>
      <c r="AG108" s="877"/>
      <c r="AH108" s="877"/>
      <c r="AI108" s="877"/>
      <c r="AJ108" s="877"/>
      <c r="AK108" s="877"/>
      <c r="AL108" s="877"/>
      <c r="AM108" s="877"/>
      <c r="AN108" s="877"/>
      <c r="AO108" s="878"/>
      <c r="AP108" s="885"/>
      <c r="AV108" s="319"/>
      <c r="AW108" s="876"/>
      <c r="AX108" s="877"/>
      <c r="AY108" s="877"/>
      <c r="AZ108" s="877"/>
      <c r="BA108" s="877"/>
      <c r="BB108" s="877"/>
      <c r="BC108" s="877"/>
      <c r="BD108" s="877"/>
      <c r="BE108" s="877"/>
      <c r="BF108" s="877"/>
      <c r="BG108" s="877"/>
      <c r="BH108" s="878"/>
      <c r="BI108" s="885"/>
      <c r="BO108" s="319"/>
      <c r="BP108" s="876"/>
      <c r="BQ108" s="877"/>
      <c r="BR108" s="877"/>
      <c r="BS108" s="877"/>
      <c r="BT108" s="877"/>
      <c r="BU108" s="877"/>
      <c r="BV108" s="877"/>
      <c r="BW108" s="877"/>
      <c r="BX108" s="877"/>
      <c r="BY108" s="877"/>
      <c r="BZ108" s="877"/>
      <c r="CA108" s="878"/>
      <c r="CB108" s="885"/>
      <c r="CI108" s="319"/>
      <c r="CJ108" s="876"/>
      <c r="CK108" s="877"/>
      <c r="CL108" s="877"/>
      <c r="CM108" s="877"/>
      <c r="CN108" s="877"/>
      <c r="CO108" s="877"/>
      <c r="CP108" s="877"/>
      <c r="CQ108" s="877"/>
      <c r="CR108" s="877"/>
      <c r="CS108" s="877"/>
      <c r="CT108" s="877"/>
      <c r="CU108" s="878"/>
      <c r="CV108" s="885"/>
    </row>
    <row r="109" spans="10:100" ht="24" customHeight="1" x14ac:dyDescent="0.25">
      <c r="J109" s="319"/>
      <c r="K109" s="876"/>
      <c r="L109" s="877"/>
      <c r="M109" s="877"/>
      <c r="N109" s="877"/>
      <c r="O109" s="877"/>
      <c r="P109" s="877"/>
      <c r="Q109" s="877"/>
      <c r="R109" s="877"/>
      <c r="S109" s="877"/>
      <c r="T109" s="877"/>
      <c r="U109" s="877"/>
      <c r="V109" s="878"/>
      <c r="W109" s="885"/>
      <c r="AC109" s="319"/>
      <c r="AD109" s="876"/>
      <c r="AE109" s="877"/>
      <c r="AF109" s="877"/>
      <c r="AG109" s="877"/>
      <c r="AH109" s="877"/>
      <c r="AI109" s="877"/>
      <c r="AJ109" s="877"/>
      <c r="AK109" s="877"/>
      <c r="AL109" s="877"/>
      <c r="AM109" s="877"/>
      <c r="AN109" s="877"/>
      <c r="AO109" s="878"/>
      <c r="AP109" s="885"/>
      <c r="AV109" s="319"/>
      <c r="AW109" s="876"/>
      <c r="AX109" s="877"/>
      <c r="AY109" s="877"/>
      <c r="AZ109" s="877"/>
      <c r="BA109" s="877"/>
      <c r="BB109" s="877"/>
      <c r="BC109" s="877"/>
      <c r="BD109" s="877"/>
      <c r="BE109" s="877"/>
      <c r="BF109" s="877"/>
      <c r="BG109" s="877"/>
      <c r="BH109" s="878"/>
      <c r="BI109" s="885"/>
      <c r="BO109" s="319"/>
      <c r="BP109" s="876"/>
      <c r="BQ109" s="877"/>
      <c r="BR109" s="877"/>
      <c r="BS109" s="877"/>
      <c r="BT109" s="877"/>
      <c r="BU109" s="877"/>
      <c r="BV109" s="877"/>
      <c r="BW109" s="877"/>
      <c r="BX109" s="877"/>
      <c r="BY109" s="877"/>
      <c r="BZ109" s="877"/>
      <c r="CA109" s="878"/>
      <c r="CB109" s="885"/>
      <c r="CI109" s="319"/>
      <c r="CJ109" s="876"/>
      <c r="CK109" s="877"/>
      <c r="CL109" s="877"/>
      <c r="CM109" s="877"/>
      <c r="CN109" s="877"/>
      <c r="CO109" s="877"/>
      <c r="CP109" s="877"/>
      <c r="CQ109" s="877"/>
      <c r="CR109" s="877"/>
      <c r="CS109" s="877"/>
      <c r="CT109" s="877"/>
      <c r="CU109" s="878"/>
      <c r="CV109" s="885"/>
    </row>
    <row r="110" spans="10:100" ht="24" customHeight="1" x14ac:dyDescent="0.25">
      <c r="J110" s="319"/>
      <c r="K110" s="876"/>
      <c r="L110" s="877"/>
      <c r="M110" s="877"/>
      <c r="N110" s="877"/>
      <c r="O110" s="877"/>
      <c r="P110" s="877"/>
      <c r="Q110" s="877"/>
      <c r="R110" s="877"/>
      <c r="S110" s="877"/>
      <c r="T110" s="877"/>
      <c r="U110" s="877"/>
      <c r="V110" s="878"/>
      <c r="W110" s="885"/>
      <c r="AC110" s="319"/>
      <c r="AD110" s="876"/>
      <c r="AE110" s="877"/>
      <c r="AF110" s="877"/>
      <c r="AG110" s="877"/>
      <c r="AH110" s="877"/>
      <c r="AI110" s="877"/>
      <c r="AJ110" s="877"/>
      <c r="AK110" s="877"/>
      <c r="AL110" s="877"/>
      <c r="AM110" s="877"/>
      <c r="AN110" s="877"/>
      <c r="AO110" s="878"/>
      <c r="AP110" s="885"/>
      <c r="AV110" s="319"/>
      <c r="AW110" s="876"/>
      <c r="AX110" s="877"/>
      <c r="AY110" s="877"/>
      <c r="AZ110" s="877"/>
      <c r="BA110" s="877"/>
      <c r="BB110" s="877"/>
      <c r="BC110" s="877"/>
      <c r="BD110" s="877"/>
      <c r="BE110" s="877"/>
      <c r="BF110" s="877"/>
      <c r="BG110" s="877"/>
      <c r="BH110" s="878"/>
      <c r="BI110" s="885"/>
      <c r="BO110" s="319"/>
      <c r="BP110" s="876"/>
      <c r="BQ110" s="877"/>
      <c r="BR110" s="877"/>
      <c r="BS110" s="877"/>
      <c r="BT110" s="877"/>
      <c r="BU110" s="877"/>
      <c r="BV110" s="877"/>
      <c r="BW110" s="877"/>
      <c r="BX110" s="877"/>
      <c r="BY110" s="877"/>
      <c r="BZ110" s="877"/>
      <c r="CA110" s="878"/>
      <c r="CB110" s="885"/>
      <c r="CI110" s="319"/>
      <c r="CJ110" s="876"/>
      <c r="CK110" s="877"/>
      <c r="CL110" s="877"/>
      <c r="CM110" s="877"/>
      <c r="CN110" s="877"/>
      <c r="CO110" s="877"/>
      <c r="CP110" s="877"/>
      <c r="CQ110" s="877"/>
      <c r="CR110" s="877"/>
      <c r="CS110" s="877"/>
      <c r="CT110" s="877"/>
      <c r="CU110" s="878"/>
      <c r="CV110" s="885"/>
    </row>
    <row r="111" spans="10:100" ht="24" customHeight="1" x14ac:dyDescent="0.25">
      <c r="J111" s="319"/>
      <c r="K111" s="876"/>
      <c r="L111" s="877"/>
      <c r="M111" s="877"/>
      <c r="N111" s="877"/>
      <c r="O111" s="877"/>
      <c r="P111" s="877"/>
      <c r="Q111" s="877"/>
      <c r="R111" s="877"/>
      <c r="S111" s="877"/>
      <c r="T111" s="877"/>
      <c r="U111" s="877"/>
      <c r="V111" s="878"/>
      <c r="W111" s="885"/>
      <c r="AC111" s="319"/>
      <c r="AD111" s="876"/>
      <c r="AE111" s="877"/>
      <c r="AF111" s="877"/>
      <c r="AG111" s="877"/>
      <c r="AH111" s="877"/>
      <c r="AI111" s="877"/>
      <c r="AJ111" s="877"/>
      <c r="AK111" s="877"/>
      <c r="AL111" s="877"/>
      <c r="AM111" s="877"/>
      <c r="AN111" s="877"/>
      <c r="AO111" s="878"/>
      <c r="AP111" s="885"/>
      <c r="AV111" s="319"/>
      <c r="AW111" s="876"/>
      <c r="AX111" s="877"/>
      <c r="AY111" s="877"/>
      <c r="AZ111" s="877"/>
      <c r="BA111" s="877"/>
      <c r="BB111" s="877"/>
      <c r="BC111" s="877"/>
      <c r="BD111" s="877"/>
      <c r="BE111" s="877"/>
      <c r="BF111" s="877"/>
      <c r="BG111" s="877"/>
      <c r="BH111" s="878"/>
      <c r="BI111" s="885"/>
      <c r="BO111" s="319"/>
      <c r="BP111" s="876"/>
      <c r="BQ111" s="877"/>
      <c r="BR111" s="877"/>
      <c r="BS111" s="877"/>
      <c r="BT111" s="877"/>
      <c r="BU111" s="877"/>
      <c r="BV111" s="877"/>
      <c r="BW111" s="877"/>
      <c r="BX111" s="877"/>
      <c r="BY111" s="877"/>
      <c r="BZ111" s="877"/>
      <c r="CA111" s="878"/>
      <c r="CB111" s="885"/>
      <c r="CI111" s="319"/>
      <c r="CJ111" s="876"/>
      <c r="CK111" s="877"/>
      <c r="CL111" s="877"/>
      <c r="CM111" s="877"/>
      <c r="CN111" s="877"/>
      <c r="CO111" s="877"/>
      <c r="CP111" s="877"/>
      <c r="CQ111" s="877"/>
      <c r="CR111" s="877"/>
      <c r="CS111" s="877"/>
      <c r="CT111" s="877"/>
      <c r="CU111" s="878"/>
      <c r="CV111" s="885"/>
    </row>
    <row r="112" spans="10:100" ht="24" customHeight="1" x14ac:dyDescent="0.25">
      <c r="J112" s="319"/>
      <c r="K112" s="876"/>
      <c r="L112" s="877"/>
      <c r="M112" s="877"/>
      <c r="N112" s="877"/>
      <c r="O112" s="877"/>
      <c r="P112" s="877"/>
      <c r="Q112" s="877"/>
      <c r="R112" s="877"/>
      <c r="S112" s="877"/>
      <c r="T112" s="877"/>
      <c r="U112" s="877"/>
      <c r="V112" s="878"/>
      <c r="W112" s="885"/>
      <c r="AC112" s="319"/>
      <c r="AD112" s="876"/>
      <c r="AE112" s="877"/>
      <c r="AF112" s="877"/>
      <c r="AG112" s="877"/>
      <c r="AH112" s="877"/>
      <c r="AI112" s="877"/>
      <c r="AJ112" s="877"/>
      <c r="AK112" s="877"/>
      <c r="AL112" s="877"/>
      <c r="AM112" s="877"/>
      <c r="AN112" s="877"/>
      <c r="AO112" s="878"/>
      <c r="AP112" s="885"/>
      <c r="AV112" s="319"/>
      <c r="AW112" s="876"/>
      <c r="AX112" s="877"/>
      <c r="AY112" s="877"/>
      <c r="AZ112" s="877"/>
      <c r="BA112" s="877"/>
      <c r="BB112" s="877"/>
      <c r="BC112" s="877"/>
      <c r="BD112" s="877"/>
      <c r="BE112" s="877"/>
      <c r="BF112" s="877"/>
      <c r="BG112" s="877"/>
      <c r="BH112" s="878"/>
      <c r="BI112" s="885"/>
      <c r="BO112" s="319"/>
      <c r="BP112" s="876"/>
      <c r="BQ112" s="877"/>
      <c r="BR112" s="877"/>
      <c r="BS112" s="877"/>
      <c r="BT112" s="877"/>
      <c r="BU112" s="877"/>
      <c r="BV112" s="877"/>
      <c r="BW112" s="877"/>
      <c r="BX112" s="877"/>
      <c r="BY112" s="877"/>
      <c r="BZ112" s="877"/>
      <c r="CA112" s="878"/>
      <c r="CB112" s="885"/>
      <c r="CI112" s="319"/>
      <c r="CJ112" s="876"/>
      <c r="CK112" s="877"/>
      <c r="CL112" s="877"/>
      <c r="CM112" s="877"/>
      <c r="CN112" s="877"/>
      <c r="CO112" s="877"/>
      <c r="CP112" s="877"/>
      <c r="CQ112" s="877"/>
      <c r="CR112" s="877"/>
      <c r="CS112" s="877"/>
      <c r="CT112" s="877"/>
      <c r="CU112" s="878"/>
      <c r="CV112" s="885"/>
    </row>
    <row r="113" spans="10:100" ht="24" customHeight="1" x14ac:dyDescent="0.25">
      <c r="J113" s="319"/>
      <c r="K113" s="876"/>
      <c r="L113" s="877"/>
      <c r="M113" s="877"/>
      <c r="N113" s="877"/>
      <c r="O113" s="877"/>
      <c r="P113" s="877"/>
      <c r="Q113" s="877"/>
      <c r="R113" s="877"/>
      <c r="S113" s="877"/>
      <c r="T113" s="877"/>
      <c r="U113" s="877"/>
      <c r="V113" s="878"/>
      <c r="W113" s="885"/>
      <c r="AC113" s="319"/>
      <c r="AD113" s="876"/>
      <c r="AE113" s="877"/>
      <c r="AF113" s="877"/>
      <c r="AG113" s="877"/>
      <c r="AH113" s="877"/>
      <c r="AI113" s="877"/>
      <c r="AJ113" s="877"/>
      <c r="AK113" s="877"/>
      <c r="AL113" s="877"/>
      <c r="AM113" s="877"/>
      <c r="AN113" s="877"/>
      <c r="AO113" s="878"/>
      <c r="AP113" s="885"/>
      <c r="AV113" s="319"/>
      <c r="AW113" s="876"/>
      <c r="AX113" s="877"/>
      <c r="AY113" s="877"/>
      <c r="AZ113" s="877"/>
      <c r="BA113" s="877"/>
      <c r="BB113" s="877"/>
      <c r="BC113" s="877"/>
      <c r="BD113" s="877"/>
      <c r="BE113" s="877"/>
      <c r="BF113" s="877"/>
      <c r="BG113" s="877"/>
      <c r="BH113" s="878"/>
      <c r="BI113" s="885"/>
      <c r="BO113" s="319"/>
      <c r="BP113" s="876"/>
      <c r="BQ113" s="877"/>
      <c r="BR113" s="877"/>
      <c r="BS113" s="877"/>
      <c r="BT113" s="877"/>
      <c r="BU113" s="877"/>
      <c r="BV113" s="877"/>
      <c r="BW113" s="877"/>
      <c r="BX113" s="877"/>
      <c r="BY113" s="877"/>
      <c r="BZ113" s="877"/>
      <c r="CA113" s="878"/>
      <c r="CB113" s="885"/>
      <c r="CI113" s="319"/>
      <c r="CJ113" s="876"/>
      <c r="CK113" s="877"/>
      <c r="CL113" s="877"/>
      <c r="CM113" s="877"/>
      <c r="CN113" s="877"/>
      <c r="CO113" s="877"/>
      <c r="CP113" s="877"/>
      <c r="CQ113" s="877"/>
      <c r="CR113" s="877"/>
      <c r="CS113" s="877"/>
      <c r="CT113" s="877"/>
      <c r="CU113" s="878"/>
      <c r="CV113" s="885"/>
    </row>
    <row r="114" spans="10:100" ht="24" customHeight="1" x14ac:dyDescent="0.25">
      <c r="J114" s="319"/>
      <c r="K114" s="876"/>
      <c r="L114" s="877"/>
      <c r="M114" s="877"/>
      <c r="N114" s="877"/>
      <c r="O114" s="877"/>
      <c r="P114" s="877"/>
      <c r="Q114" s="877"/>
      <c r="R114" s="877"/>
      <c r="S114" s="877"/>
      <c r="T114" s="877"/>
      <c r="U114" s="877"/>
      <c r="V114" s="878"/>
      <c r="W114" s="885"/>
      <c r="AC114" s="319"/>
      <c r="AD114" s="876"/>
      <c r="AE114" s="877"/>
      <c r="AF114" s="877"/>
      <c r="AG114" s="877"/>
      <c r="AH114" s="877"/>
      <c r="AI114" s="877"/>
      <c r="AJ114" s="877"/>
      <c r="AK114" s="877"/>
      <c r="AL114" s="877"/>
      <c r="AM114" s="877"/>
      <c r="AN114" s="877"/>
      <c r="AO114" s="878"/>
      <c r="AP114" s="885"/>
      <c r="AV114" s="319"/>
      <c r="AW114" s="876"/>
      <c r="AX114" s="877"/>
      <c r="AY114" s="877"/>
      <c r="AZ114" s="877"/>
      <c r="BA114" s="877"/>
      <c r="BB114" s="877"/>
      <c r="BC114" s="877"/>
      <c r="BD114" s="877"/>
      <c r="BE114" s="877"/>
      <c r="BF114" s="877"/>
      <c r="BG114" s="877"/>
      <c r="BH114" s="878"/>
      <c r="BI114" s="885"/>
      <c r="BO114" s="319"/>
      <c r="BP114" s="876"/>
      <c r="BQ114" s="877"/>
      <c r="BR114" s="877"/>
      <c r="BS114" s="877"/>
      <c r="BT114" s="877"/>
      <c r="BU114" s="877"/>
      <c r="BV114" s="877"/>
      <c r="BW114" s="877"/>
      <c r="BX114" s="877"/>
      <c r="BY114" s="877"/>
      <c r="BZ114" s="877"/>
      <c r="CA114" s="878"/>
      <c r="CB114" s="885"/>
      <c r="CI114" s="319"/>
      <c r="CJ114" s="876"/>
      <c r="CK114" s="877"/>
      <c r="CL114" s="877"/>
      <c r="CM114" s="877"/>
      <c r="CN114" s="877"/>
      <c r="CO114" s="877"/>
      <c r="CP114" s="877"/>
      <c r="CQ114" s="877"/>
      <c r="CR114" s="877"/>
      <c r="CS114" s="877"/>
      <c r="CT114" s="877"/>
      <c r="CU114" s="878"/>
      <c r="CV114" s="885"/>
    </row>
    <row r="115" spans="10:100" ht="24" customHeight="1" x14ac:dyDescent="0.25">
      <c r="J115" s="319"/>
      <c r="K115" s="876"/>
      <c r="L115" s="877"/>
      <c r="M115" s="877"/>
      <c r="N115" s="877"/>
      <c r="O115" s="877"/>
      <c r="P115" s="877"/>
      <c r="Q115" s="877"/>
      <c r="R115" s="877"/>
      <c r="S115" s="877"/>
      <c r="T115" s="877"/>
      <c r="U115" s="877"/>
      <c r="V115" s="878"/>
      <c r="W115" s="885"/>
      <c r="AC115" s="319"/>
      <c r="AD115" s="876"/>
      <c r="AE115" s="877"/>
      <c r="AF115" s="877"/>
      <c r="AG115" s="877"/>
      <c r="AH115" s="877"/>
      <c r="AI115" s="877"/>
      <c r="AJ115" s="877"/>
      <c r="AK115" s="877"/>
      <c r="AL115" s="877"/>
      <c r="AM115" s="877"/>
      <c r="AN115" s="877"/>
      <c r="AO115" s="878"/>
      <c r="AP115" s="885"/>
      <c r="AV115" s="319"/>
      <c r="AW115" s="876"/>
      <c r="AX115" s="877"/>
      <c r="AY115" s="877"/>
      <c r="AZ115" s="877"/>
      <c r="BA115" s="877"/>
      <c r="BB115" s="877"/>
      <c r="BC115" s="877"/>
      <c r="BD115" s="877"/>
      <c r="BE115" s="877"/>
      <c r="BF115" s="877"/>
      <c r="BG115" s="877"/>
      <c r="BH115" s="878"/>
      <c r="BI115" s="885"/>
      <c r="BO115" s="319"/>
      <c r="BP115" s="876"/>
      <c r="BQ115" s="877"/>
      <c r="BR115" s="877"/>
      <c r="BS115" s="877"/>
      <c r="BT115" s="877"/>
      <c r="BU115" s="877"/>
      <c r="BV115" s="877"/>
      <c r="BW115" s="877"/>
      <c r="BX115" s="877"/>
      <c r="BY115" s="877"/>
      <c r="BZ115" s="877"/>
      <c r="CA115" s="878"/>
      <c r="CB115" s="885"/>
      <c r="CI115" s="319"/>
      <c r="CJ115" s="876"/>
      <c r="CK115" s="877"/>
      <c r="CL115" s="877"/>
      <c r="CM115" s="877"/>
      <c r="CN115" s="877"/>
      <c r="CO115" s="877"/>
      <c r="CP115" s="877"/>
      <c r="CQ115" s="877"/>
      <c r="CR115" s="877"/>
      <c r="CS115" s="877"/>
      <c r="CT115" s="877"/>
      <c r="CU115" s="878"/>
      <c r="CV115" s="885"/>
    </row>
    <row r="116" spans="10:100" ht="24" customHeight="1" x14ac:dyDescent="0.25">
      <c r="J116" s="319"/>
      <c r="K116" s="876"/>
      <c r="L116" s="877"/>
      <c r="M116" s="877"/>
      <c r="N116" s="877"/>
      <c r="O116" s="877"/>
      <c r="P116" s="877"/>
      <c r="Q116" s="877"/>
      <c r="R116" s="877"/>
      <c r="S116" s="877"/>
      <c r="T116" s="877"/>
      <c r="U116" s="877"/>
      <c r="V116" s="878"/>
      <c r="W116" s="885"/>
      <c r="AC116" s="319"/>
      <c r="AD116" s="876"/>
      <c r="AE116" s="877"/>
      <c r="AF116" s="877"/>
      <c r="AG116" s="877"/>
      <c r="AH116" s="877"/>
      <c r="AI116" s="877"/>
      <c r="AJ116" s="877"/>
      <c r="AK116" s="877"/>
      <c r="AL116" s="877"/>
      <c r="AM116" s="877"/>
      <c r="AN116" s="877"/>
      <c r="AO116" s="878"/>
      <c r="AP116" s="885"/>
      <c r="AV116" s="319"/>
      <c r="AW116" s="876"/>
      <c r="AX116" s="877"/>
      <c r="AY116" s="877"/>
      <c r="AZ116" s="877"/>
      <c r="BA116" s="877"/>
      <c r="BB116" s="877"/>
      <c r="BC116" s="877"/>
      <c r="BD116" s="877"/>
      <c r="BE116" s="877"/>
      <c r="BF116" s="877"/>
      <c r="BG116" s="877"/>
      <c r="BH116" s="878"/>
      <c r="BI116" s="885"/>
      <c r="BO116" s="319"/>
      <c r="BP116" s="876"/>
      <c r="BQ116" s="877"/>
      <c r="BR116" s="877"/>
      <c r="BS116" s="877"/>
      <c r="BT116" s="877"/>
      <c r="BU116" s="877"/>
      <c r="BV116" s="877"/>
      <c r="BW116" s="877"/>
      <c r="BX116" s="877"/>
      <c r="BY116" s="877"/>
      <c r="BZ116" s="877"/>
      <c r="CA116" s="878"/>
      <c r="CB116" s="885"/>
      <c r="CI116" s="319"/>
      <c r="CJ116" s="876"/>
      <c r="CK116" s="877"/>
      <c r="CL116" s="877"/>
      <c r="CM116" s="877"/>
      <c r="CN116" s="877"/>
      <c r="CO116" s="877"/>
      <c r="CP116" s="877"/>
      <c r="CQ116" s="877"/>
      <c r="CR116" s="877"/>
      <c r="CS116" s="877"/>
      <c r="CT116" s="877"/>
      <c r="CU116" s="878"/>
      <c r="CV116" s="885"/>
    </row>
    <row r="117" spans="10:100" ht="24" customHeight="1" x14ac:dyDescent="0.25">
      <c r="J117" s="319"/>
      <c r="K117" s="876"/>
      <c r="L117" s="877"/>
      <c r="M117" s="877"/>
      <c r="N117" s="877"/>
      <c r="O117" s="877"/>
      <c r="P117" s="877"/>
      <c r="Q117" s="877"/>
      <c r="R117" s="877"/>
      <c r="S117" s="877"/>
      <c r="T117" s="877"/>
      <c r="U117" s="877"/>
      <c r="V117" s="878"/>
      <c r="W117" s="885"/>
      <c r="AC117" s="319"/>
      <c r="AD117" s="876"/>
      <c r="AE117" s="877"/>
      <c r="AF117" s="877"/>
      <c r="AG117" s="877"/>
      <c r="AH117" s="877"/>
      <c r="AI117" s="877"/>
      <c r="AJ117" s="877"/>
      <c r="AK117" s="877"/>
      <c r="AL117" s="877"/>
      <c r="AM117" s="877"/>
      <c r="AN117" s="877"/>
      <c r="AO117" s="878"/>
      <c r="AP117" s="885"/>
      <c r="AV117" s="319"/>
      <c r="AW117" s="876"/>
      <c r="AX117" s="877"/>
      <c r="AY117" s="877"/>
      <c r="AZ117" s="877"/>
      <c r="BA117" s="877"/>
      <c r="BB117" s="877"/>
      <c r="BC117" s="877"/>
      <c r="BD117" s="877"/>
      <c r="BE117" s="877"/>
      <c r="BF117" s="877"/>
      <c r="BG117" s="877"/>
      <c r="BH117" s="878"/>
      <c r="BI117" s="885"/>
      <c r="BO117" s="319"/>
      <c r="BP117" s="876"/>
      <c r="BQ117" s="877"/>
      <c r="BR117" s="877"/>
      <c r="BS117" s="877"/>
      <c r="BT117" s="877"/>
      <c r="BU117" s="877"/>
      <c r="BV117" s="877"/>
      <c r="BW117" s="877"/>
      <c r="BX117" s="877"/>
      <c r="BY117" s="877"/>
      <c r="BZ117" s="877"/>
      <c r="CA117" s="878"/>
      <c r="CB117" s="885"/>
      <c r="CI117" s="319"/>
      <c r="CJ117" s="876"/>
      <c r="CK117" s="877"/>
      <c r="CL117" s="877"/>
      <c r="CM117" s="877"/>
      <c r="CN117" s="877"/>
      <c r="CO117" s="877"/>
      <c r="CP117" s="877"/>
      <c r="CQ117" s="877"/>
      <c r="CR117" s="877"/>
      <c r="CS117" s="877"/>
      <c r="CT117" s="877"/>
      <c r="CU117" s="878"/>
      <c r="CV117" s="885"/>
    </row>
    <row r="118" spans="10:100" ht="24" customHeight="1" x14ac:dyDescent="0.25">
      <c r="J118" s="319"/>
      <c r="K118" s="876"/>
      <c r="L118" s="877"/>
      <c r="M118" s="877"/>
      <c r="N118" s="877"/>
      <c r="O118" s="877"/>
      <c r="P118" s="877"/>
      <c r="Q118" s="877"/>
      <c r="R118" s="877"/>
      <c r="S118" s="877"/>
      <c r="T118" s="877"/>
      <c r="U118" s="877"/>
      <c r="V118" s="878"/>
      <c r="W118" s="885"/>
      <c r="AC118" s="319"/>
      <c r="AD118" s="876"/>
      <c r="AE118" s="877"/>
      <c r="AF118" s="877"/>
      <c r="AG118" s="877"/>
      <c r="AH118" s="877"/>
      <c r="AI118" s="877"/>
      <c r="AJ118" s="877"/>
      <c r="AK118" s="877"/>
      <c r="AL118" s="877"/>
      <c r="AM118" s="877"/>
      <c r="AN118" s="877"/>
      <c r="AO118" s="878"/>
      <c r="AP118" s="885"/>
      <c r="AV118" s="319"/>
      <c r="AW118" s="876"/>
      <c r="AX118" s="877"/>
      <c r="AY118" s="877"/>
      <c r="AZ118" s="877"/>
      <c r="BA118" s="877"/>
      <c r="BB118" s="877"/>
      <c r="BC118" s="877"/>
      <c r="BD118" s="877"/>
      <c r="BE118" s="877"/>
      <c r="BF118" s="877"/>
      <c r="BG118" s="877"/>
      <c r="BH118" s="878"/>
      <c r="BI118" s="885"/>
      <c r="BO118" s="319"/>
      <c r="BP118" s="876"/>
      <c r="BQ118" s="877"/>
      <c r="BR118" s="877"/>
      <c r="BS118" s="877"/>
      <c r="BT118" s="877"/>
      <c r="BU118" s="877"/>
      <c r="BV118" s="877"/>
      <c r="BW118" s="877"/>
      <c r="BX118" s="877"/>
      <c r="BY118" s="877"/>
      <c r="BZ118" s="877"/>
      <c r="CA118" s="878"/>
      <c r="CB118" s="885"/>
      <c r="CI118" s="319"/>
      <c r="CJ118" s="876"/>
      <c r="CK118" s="877"/>
      <c r="CL118" s="877"/>
      <c r="CM118" s="877"/>
      <c r="CN118" s="877"/>
      <c r="CO118" s="877"/>
      <c r="CP118" s="877"/>
      <c r="CQ118" s="877"/>
      <c r="CR118" s="877"/>
      <c r="CS118" s="877"/>
      <c r="CT118" s="877"/>
      <c r="CU118" s="878"/>
      <c r="CV118" s="885"/>
    </row>
    <row r="119" spans="10:100" ht="24" customHeight="1" x14ac:dyDescent="0.25">
      <c r="J119" s="319"/>
      <c r="K119" s="876"/>
      <c r="L119" s="877"/>
      <c r="M119" s="877"/>
      <c r="N119" s="877"/>
      <c r="O119" s="877"/>
      <c r="P119" s="877"/>
      <c r="Q119" s="877"/>
      <c r="R119" s="877"/>
      <c r="S119" s="877"/>
      <c r="T119" s="877"/>
      <c r="U119" s="877"/>
      <c r="V119" s="878"/>
      <c r="W119" s="885"/>
      <c r="AC119" s="319"/>
      <c r="AD119" s="876"/>
      <c r="AE119" s="877"/>
      <c r="AF119" s="877"/>
      <c r="AG119" s="877"/>
      <c r="AH119" s="877"/>
      <c r="AI119" s="877"/>
      <c r="AJ119" s="877"/>
      <c r="AK119" s="877"/>
      <c r="AL119" s="877"/>
      <c r="AM119" s="877"/>
      <c r="AN119" s="877"/>
      <c r="AO119" s="878"/>
      <c r="AP119" s="885"/>
      <c r="AV119" s="319"/>
      <c r="AW119" s="876"/>
      <c r="AX119" s="877"/>
      <c r="AY119" s="877"/>
      <c r="AZ119" s="877"/>
      <c r="BA119" s="877"/>
      <c r="BB119" s="877"/>
      <c r="BC119" s="877"/>
      <c r="BD119" s="877"/>
      <c r="BE119" s="877"/>
      <c r="BF119" s="877"/>
      <c r="BG119" s="877"/>
      <c r="BH119" s="878"/>
      <c r="BI119" s="885"/>
      <c r="BO119" s="319"/>
      <c r="BP119" s="876"/>
      <c r="BQ119" s="877"/>
      <c r="BR119" s="877"/>
      <c r="BS119" s="877"/>
      <c r="BT119" s="877"/>
      <c r="BU119" s="877"/>
      <c r="BV119" s="877"/>
      <c r="BW119" s="877"/>
      <c r="BX119" s="877"/>
      <c r="BY119" s="877"/>
      <c r="BZ119" s="877"/>
      <c r="CA119" s="878"/>
      <c r="CB119" s="885"/>
      <c r="CI119" s="319"/>
      <c r="CJ119" s="876"/>
      <c r="CK119" s="877"/>
      <c r="CL119" s="877"/>
      <c r="CM119" s="877"/>
      <c r="CN119" s="877"/>
      <c r="CO119" s="877"/>
      <c r="CP119" s="877"/>
      <c r="CQ119" s="877"/>
      <c r="CR119" s="877"/>
      <c r="CS119" s="877"/>
      <c r="CT119" s="877"/>
      <c r="CU119" s="878"/>
      <c r="CV119" s="885"/>
    </row>
    <row r="120" spans="10:100" ht="24" customHeight="1" x14ac:dyDescent="0.25">
      <c r="J120" s="319"/>
      <c r="K120" s="876"/>
      <c r="L120" s="877"/>
      <c r="M120" s="877"/>
      <c r="N120" s="877"/>
      <c r="O120" s="877"/>
      <c r="P120" s="877"/>
      <c r="Q120" s="877"/>
      <c r="R120" s="877"/>
      <c r="S120" s="877"/>
      <c r="T120" s="877"/>
      <c r="U120" s="877"/>
      <c r="V120" s="878"/>
      <c r="W120" s="885"/>
      <c r="AC120" s="319"/>
      <c r="AD120" s="876"/>
      <c r="AE120" s="877"/>
      <c r="AF120" s="877"/>
      <c r="AG120" s="877"/>
      <c r="AH120" s="877"/>
      <c r="AI120" s="877"/>
      <c r="AJ120" s="877"/>
      <c r="AK120" s="877"/>
      <c r="AL120" s="877"/>
      <c r="AM120" s="877"/>
      <c r="AN120" s="877"/>
      <c r="AO120" s="878"/>
      <c r="AP120" s="885"/>
      <c r="AV120" s="319"/>
      <c r="AW120" s="876"/>
      <c r="AX120" s="877"/>
      <c r="AY120" s="877"/>
      <c r="AZ120" s="877"/>
      <c r="BA120" s="877"/>
      <c r="BB120" s="877"/>
      <c r="BC120" s="877"/>
      <c r="BD120" s="877"/>
      <c r="BE120" s="877"/>
      <c r="BF120" s="877"/>
      <c r="BG120" s="877"/>
      <c r="BH120" s="878"/>
      <c r="BI120" s="885"/>
      <c r="BO120" s="319"/>
      <c r="BP120" s="876"/>
      <c r="BQ120" s="877"/>
      <c r="BR120" s="877"/>
      <c r="BS120" s="877"/>
      <c r="BT120" s="877"/>
      <c r="BU120" s="877"/>
      <c r="BV120" s="877"/>
      <c r="BW120" s="877"/>
      <c r="BX120" s="877"/>
      <c r="BY120" s="877"/>
      <c r="BZ120" s="877"/>
      <c r="CA120" s="878"/>
      <c r="CB120" s="885"/>
      <c r="CI120" s="319"/>
      <c r="CJ120" s="876"/>
      <c r="CK120" s="877"/>
      <c r="CL120" s="877"/>
      <c r="CM120" s="877"/>
      <c r="CN120" s="877"/>
      <c r="CO120" s="877"/>
      <c r="CP120" s="877"/>
      <c r="CQ120" s="877"/>
      <c r="CR120" s="877"/>
      <c r="CS120" s="877"/>
      <c r="CT120" s="877"/>
      <c r="CU120" s="878"/>
      <c r="CV120" s="885"/>
    </row>
    <row r="121" spans="10:100" ht="24" customHeight="1" x14ac:dyDescent="0.25">
      <c r="J121" s="319"/>
      <c r="K121" s="876"/>
      <c r="L121" s="877"/>
      <c r="M121" s="877"/>
      <c r="N121" s="877"/>
      <c r="O121" s="877"/>
      <c r="P121" s="877"/>
      <c r="Q121" s="877"/>
      <c r="R121" s="877"/>
      <c r="S121" s="877"/>
      <c r="T121" s="877"/>
      <c r="U121" s="877"/>
      <c r="V121" s="878"/>
      <c r="W121" s="885"/>
      <c r="AC121" s="319"/>
      <c r="AD121" s="876"/>
      <c r="AE121" s="877"/>
      <c r="AF121" s="877"/>
      <c r="AG121" s="877"/>
      <c r="AH121" s="877"/>
      <c r="AI121" s="877"/>
      <c r="AJ121" s="877"/>
      <c r="AK121" s="877"/>
      <c r="AL121" s="877"/>
      <c r="AM121" s="877"/>
      <c r="AN121" s="877"/>
      <c r="AO121" s="878"/>
      <c r="AP121" s="885"/>
      <c r="AV121" s="319"/>
      <c r="AW121" s="876"/>
      <c r="AX121" s="877"/>
      <c r="AY121" s="877"/>
      <c r="AZ121" s="877"/>
      <c r="BA121" s="877"/>
      <c r="BB121" s="877"/>
      <c r="BC121" s="877"/>
      <c r="BD121" s="877"/>
      <c r="BE121" s="877"/>
      <c r="BF121" s="877"/>
      <c r="BG121" s="877"/>
      <c r="BH121" s="878"/>
      <c r="BI121" s="885"/>
      <c r="BO121" s="319"/>
      <c r="BP121" s="876"/>
      <c r="BQ121" s="877"/>
      <c r="BR121" s="877"/>
      <c r="BS121" s="877"/>
      <c r="BT121" s="877"/>
      <c r="BU121" s="877"/>
      <c r="BV121" s="877"/>
      <c r="BW121" s="877"/>
      <c r="BX121" s="877"/>
      <c r="BY121" s="877"/>
      <c r="BZ121" s="877"/>
      <c r="CA121" s="878"/>
      <c r="CB121" s="885"/>
      <c r="CI121" s="319"/>
      <c r="CJ121" s="876"/>
      <c r="CK121" s="877"/>
      <c r="CL121" s="877"/>
      <c r="CM121" s="877"/>
      <c r="CN121" s="877"/>
      <c r="CO121" s="877"/>
      <c r="CP121" s="877"/>
      <c r="CQ121" s="877"/>
      <c r="CR121" s="877"/>
      <c r="CS121" s="877"/>
      <c r="CT121" s="877"/>
      <c r="CU121" s="878"/>
      <c r="CV121" s="885"/>
    </row>
    <row r="122" spans="10:100" ht="24" customHeight="1" x14ac:dyDescent="0.25">
      <c r="J122" s="319"/>
      <c r="K122" s="876"/>
      <c r="L122" s="877"/>
      <c r="M122" s="877"/>
      <c r="N122" s="877"/>
      <c r="O122" s="877"/>
      <c r="P122" s="877"/>
      <c r="Q122" s="877"/>
      <c r="R122" s="877"/>
      <c r="S122" s="877"/>
      <c r="T122" s="877"/>
      <c r="U122" s="877"/>
      <c r="V122" s="878"/>
      <c r="W122" s="885"/>
      <c r="AC122" s="319"/>
      <c r="AD122" s="876"/>
      <c r="AE122" s="877"/>
      <c r="AF122" s="877"/>
      <c r="AG122" s="877"/>
      <c r="AH122" s="877"/>
      <c r="AI122" s="877"/>
      <c r="AJ122" s="877"/>
      <c r="AK122" s="877"/>
      <c r="AL122" s="877"/>
      <c r="AM122" s="877"/>
      <c r="AN122" s="877"/>
      <c r="AO122" s="878"/>
      <c r="AP122" s="885"/>
      <c r="AV122" s="319"/>
      <c r="AW122" s="876"/>
      <c r="AX122" s="877"/>
      <c r="AY122" s="877"/>
      <c r="AZ122" s="877"/>
      <c r="BA122" s="877"/>
      <c r="BB122" s="877"/>
      <c r="BC122" s="877"/>
      <c r="BD122" s="877"/>
      <c r="BE122" s="877"/>
      <c r="BF122" s="877"/>
      <c r="BG122" s="877"/>
      <c r="BH122" s="878"/>
      <c r="BI122" s="885"/>
      <c r="BO122" s="319"/>
      <c r="BP122" s="876"/>
      <c r="BQ122" s="877"/>
      <c r="BR122" s="877"/>
      <c r="BS122" s="877"/>
      <c r="BT122" s="877"/>
      <c r="BU122" s="877"/>
      <c r="BV122" s="877"/>
      <c r="BW122" s="877"/>
      <c r="BX122" s="877"/>
      <c r="BY122" s="877"/>
      <c r="BZ122" s="877"/>
      <c r="CA122" s="878"/>
      <c r="CB122" s="885"/>
      <c r="CI122" s="319"/>
      <c r="CJ122" s="876"/>
      <c r="CK122" s="877"/>
      <c r="CL122" s="877"/>
      <c r="CM122" s="877"/>
      <c r="CN122" s="877"/>
      <c r="CO122" s="877"/>
      <c r="CP122" s="877"/>
      <c r="CQ122" s="877"/>
      <c r="CR122" s="877"/>
      <c r="CS122" s="877"/>
      <c r="CT122" s="877"/>
      <c r="CU122" s="878"/>
      <c r="CV122" s="885"/>
    </row>
    <row r="123" spans="10:100" ht="24" customHeight="1" x14ac:dyDescent="0.25">
      <c r="J123" s="319"/>
      <c r="K123" s="876"/>
      <c r="L123" s="877"/>
      <c r="M123" s="877"/>
      <c r="N123" s="877"/>
      <c r="O123" s="877"/>
      <c r="P123" s="877"/>
      <c r="Q123" s="877"/>
      <c r="R123" s="877"/>
      <c r="S123" s="877"/>
      <c r="T123" s="877"/>
      <c r="U123" s="877"/>
      <c r="V123" s="878"/>
      <c r="W123" s="885"/>
      <c r="AC123" s="319"/>
      <c r="AD123" s="876"/>
      <c r="AE123" s="877"/>
      <c r="AF123" s="877"/>
      <c r="AG123" s="877"/>
      <c r="AH123" s="877"/>
      <c r="AI123" s="877"/>
      <c r="AJ123" s="877"/>
      <c r="AK123" s="877"/>
      <c r="AL123" s="877"/>
      <c r="AM123" s="877"/>
      <c r="AN123" s="877"/>
      <c r="AO123" s="878"/>
      <c r="AP123" s="885"/>
      <c r="AV123" s="319"/>
      <c r="AW123" s="876"/>
      <c r="AX123" s="877"/>
      <c r="AY123" s="877"/>
      <c r="AZ123" s="877"/>
      <c r="BA123" s="877"/>
      <c r="BB123" s="877"/>
      <c r="BC123" s="877"/>
      <c r="BD123" s="877"/>
      <c r="BE123" s="877"/>
      <c r="BF123" s="877"/>
      <c r="BG123" s="877"/>
      <c r="BH123" s="878"/>
      <c r="BI123" s="885"/>
      <c r="BO123" s="319"/>
      <c r="BP123" s="876"/>
      <c r="BQ123" s="877"/>
      <c r="BR123" s="877"/>
      <c r="BS123" s="877"/>
      <c r="BT123" s="877"/>
      <c r="BU123" s="877"/>
      <c r="BV123" s="877"/>
      <c r="BW123" s="877"/>
      <c r="BX123" s="877"/>
      <c r="BY123" s="877"/>
      <c r="BZ123" s="877"/>
      <c r="CA123" s="878"/>
      <c r="CB123" s="885"/>
      <c r="CI123" s="319"/>
      <c r="CJ123" s="876"/>
      <c r="CK123" s="877"/>
      <c r="CL123" s="877"/>
      <c r="CM123" s="877"/>
      <c r="CN123" s="877"/>
      <c r="CO123" s="877"/>
      <c r="CP123" s="877"/>
      <c r="CQ123" s="877"/>
      <c r="CR123" s="877"/>
      <c r="CS123" s="877"/>
      <c r="CT123" s="877"/>
      <c r="CU123" s="878"/>
      <c r="CV123" s="885"/>
    </row>
    <row r="124" spans="10:100" ht="24" customHeight="1" x14ac:dyDescent="0.25">
      <c r="J124" s="319"/>
      <c r="K124" s="876"/>
      <c r="L124" s="877"/>
      <c r="M124" s="877"/>
      <c r="N124" s="877"/>
      <c r="O124" s="877"/>
      <c r="P124" s="877"/>
      <c r="Q124" s="877"/>
      <c r="R124" s="877"/>
      <c r="S124" s="877"/>
      <c r="T124" s="877"/>
      <c r="U124" s="877"/>
      <c r="V124" s="878"/>
      <c r="W124" s="885"/>
      <c r="AC124" s="319"/>
      <c r="AD124" s="876"/>
      <c r="AE124" s="877"/>
      <c r="AF124" s="877"/>
      <c r="AG124" s="877"/>
      <c r="AH124" s="877"/>
      <c r="AI124" s="877"/>
      <c r="AJ124" s="877"/>
      <c r="AK124" s="877"/>
      <c r="AL124" s="877"/>
      <c r="AM124" s="877"/>
      <c r="AN124" s="877"/>
      <c r="AO124" s="878"/>
      <c r="AP124" s="885"/>
      <c r="AV124" s="319"/>
      <c r="AW124" s="876"/>
      <c r="AX124" s="877"/>
      <c r="AY124" s="877"/>
      <c r="AZ124" s="877"/>
      <c r="BA124" s="877"/>
      <c r="BB124" s="877"/>
      <c r="BC124" s="877"/>
      <c r="BD124" s="877"/>
      <c r="BE124" s="877"/>
      <c r="BF124" s="877"/>
      <c r="BG124" s="877"/>
      <c r="BH124" s="878"/>
      <c r="BI124" s="885"/>
      <c r="BO124" s="319"/>
      <c r="BP124" s="876"/>
      <c r="BQ124" s="877"/>
      <c r="BR124" s="877"/>
      <c r="BS124" s="877"/>
      <c r="BT124" s="877"/>
      <c r="BU124" s="877"/>
      <c r="BV124" s="877"/>
      <c r="BW124" s="877"/>
      <c r="BX124" s="877"/>
      <c r="BY124" s="877"/>
      <c r="BZ124" s="877"/>
      <c r="CA124" s="878"/>
      <c r="CB124" s="885"/>
      <c r="CI124" s="319"/>
      <c r="CJ124" s="876"/>
      <c r="CK124" s="877"/>
      <c r="CL124" s="877"/>
      <c r="CM124" s="877"/>
      <c r="CN124" s="877"/>
      <c r="CO124" s="877"/>
      <c r="CP124" s="877"/>
      <c r="CQ124" s="877"/>
      <c r="CR124" s="877"/>
      <c r="CS124" s="877"/>
      <c r="CT124" s="877"/>
      <c r="CU124" s="878"/>
      <c r="CV124" s="885"/>
    </row>
    <row r="125" spans="10:100" ht="24" customHeight="1" x14ac:dyDescent="0.25">
      <c r="J125" s="319"/>
      <c r="K125" s="876"/>
      <c r="L125" s="877"/>
      <c r="M125" s="877"/>
      <c r="N125" s="877"/>
      <c r="O125" s="877"/>
      <c r="P125" s="877"/>
      <c r="Q125" s="877"/>
      <c r="R125" s="877"/>
      <c r="S125" s="877"/>
      <c r="T125" s="877"/>
      <c r="U125" s="877"/>
      <c r="V125" s="878"/>
      <c r="W125" s="885"/>
      <c r="AC125" s="319"/>
      <c r="AD125" s="876"/>
      <c r="AE125" s="877"/>
      <c r="AF125" s="877"/>
      <c r="AG125" s="877"/>
      <c r="AH125" s="877"/>
      <c r="AI125" s="877"/>
      <c r="AJ125" s="877"/>
      <c r="AK125" s="877"/>
      <c r="AL125" s="877"/>
      <c r="AM125" s="877"/>
      <c r="AN125" s="877"/>
      <c r="AO125" s="878"/>
      <c r="AP125" s="885"/>
      <c r="AV125" s="319"/>
      <c r="AW125" s="876"/>
      <c r="AX125" s="877"/>
      <c r="AY125" s="877"/>
      <c r="AZ125" s="877"/>
      <c r="BA125" s="877"/>
      <c r="BB125" s="877"/>
      <c r="BC125" s="877"/>
      <c r="BD125" s="877"/>
      <c r="BE125" s="877"/>
      <c r="BF125" s="877"/>
      <c r="BG125" s="877"/>
      <c r="BH125" s="878"/>
      <c r="BI125" s="885"/>
      <c r="BO125" s="319"/>
      <c r="BP125" s="876"/>
      <c r="BQ125" s="877"/>
      <c r="BR125" s="877"/>
      <c r="BS125" s="877"/>
      <c r="BT125" s="877"/>
      <c r="BU125" s="877"/>
      <c r="BV125" s="877"/>
      <c r="BW125" s="877"/>
      <c r="BX125" s="877"/>
      <c r="BY125" s="877"/>
      <c r="BZ125" s="877"/>
      <c r="CA125" s="878"/>
      <c r="CB125" s="885"/>
      <c r="CI125" s="319"/>
      <c r="CJ125" s="876"/>
      <c r="CK125" s="877"/>
      <c r="CL125" s="877"/>
      <c r="CM125" s="877"/>
      <c r="CN125" s="877"/>
      <c r="CO125" s="877"/>
      <c r="CP125" s="877"/>
      <c r="CQ125" s="877"/>
      <c r="CR125" s="877"/>
      <c r="CS125" s="877"/>
      <c r="CT125" s="877"/>
      <c r="CU125" s="878"/>
      <c r="CV125" s="885"/>
    </row>
    <row r="126" spans="10:100" ht="24" customHeight="1" thickBot="1" x14ac:dyDescent="0.3">
      <c r="J126" s="319"/>
      <c r="K126" s="876"/>
      <c r="L126" s="877"/>
      <c r="M126" s="877"/>
      <c r="N126" s="877"/>
      <c r="O126" s="877"/>
      <c r="P126" s="877"/>
      <c r="Q126" s="877"/>
      <c r="R126" s="877"/>
      <c r="S126" s="877"/>
      <c r="T126" s="877"/>
      <c r="U126" s="877"/>
      <c r="V126" s="878"/>
      <c r="W126" s="885"/>
      <c r="AC126" s="319"/>
      <c r="AD126" s="876"/>
      <c r="AE126" s="877"/>
      <c r="AF126" s="877"/>
      <c r="AG126" s="877"/>
      <c r="AH126" s="877"/>
      <c r="AI126" s="877"/>
      <c r="AJ126" s="877"/>
      <c r="AK126" s="877"/>
      <c r="AL126" s="877"/>
      <c r="AM126" s="877"/>
      <c r="AN126" s="877"/>
      <c r="AO126" s="878"/>
      <c r="AP126" s="885"/>
      <c r="AV126" s="319"/>
      <c r="AW126" s="876"/>
      <c r="AX126" s="877"/>
      <c r="AY126" s="877"/>
      <c r="AZ126" s="877"/>
      <c r="BA126" s="877"/>
      <c r="BB126" s="877"/>
      <c r="BC126" s="877"/>
      <c r="BD126" s="877"/>
      <c r="BE126" s="877"/>
      <c r="BF126" s="877"/>
      <c r="BG126" s="877"/>
      <c r="BH126" s="878"/>
      <c r="BI126" s="885"/>
      <c r="BO126" s="319"/>
      <c r="BP126" s="876"/>
      <c r="BQ126" s="877"/>
      <c r="BR126" s="877"/>
      <c r="BS126" s="877"/>
      <c r="BT126" s="877"/>
      <c r="BU126" s="877"/>
      <c r="BV126" s="877"/>
      <c r="BW126" s="877"/>
      <c r="BX126" s="877"/>
      <c r="BY126" s="877"/>
      <c r="BZ126" s="877"/>
      <c r="CA126" s="878"/>
      <c r="CB126" s="885"/>
      <c r="CI126" s="319"/>
      <c r="CJ126" s="876"/>
      <c r="CK126" s="877"/>
      <c r="CL126" s="877"/>
      <c r="CM126" s="877"/>
      <c r="CN126" s="877"/>
      <c r="CO126" s="877"/>
      <c r="CP126" s="877"/>
      <c r="CQ126" s="877"/>
      <c r="CR126" s="877"/>
      <c r="CS126" s="877"/>
      <c r="CT126" s="877"/>
      <c r="CU126" s="878"/>
      <c r="CV126" s="885"/>
    </row>
    <row r="127" spans="10:100" ht="24" customHeight="1" x14ac:dyDescent="0.25">
      <c r="J127" s="319"/>
      <c r="K127" s="876"/>
      <c r="L127" s="877"/>
      <c r="M127" s="877"/>
      <c r="N127" s="877"/>
      <c r="O127" s="877"/>
      <c r="P127" s="877"/>
      <c r="Q127" s="877"/>
      <c r="R127" s="877"/>
      <c r="S127" s="877"/>
      <c r="T127" s="877"/>
      <c r="U127" s="877"/>
      <c r="V127" s="878"/>
      <c r="W127" s="272"/>
      <c r="AC127" s="319"/>
      <c r="AD127" s="876"/>
      <c r="AE127" s="877"/>
      <c r="AF127" s="877"/>
      <c r="AG127" s="877"/>
      <c r="AH127" s="877"/>
      <c r="AI127" s="877"/>
      <c r="AJ127" s="877"/>
      <c r="AK127" s="877"/>
      <c r="AL127" s="877"/>
      <c r="AM127" s="877"/>
      <c r="AN127" s="877"/>
      <c r="AO127" s="878"/>
      <c r="AP127" s="356"/>
      <c r="AV127" s="319"/>
      <c r="AW127" s="876"/>
      <c r="AX127" s="877"/>
      <c r="AY127" s="877"/>
      <c r="AZ127" s="877"/>
      <c r="BA127" s="877"/>
      <c r="BB127" s="877"/>
      <c r="BC127" s="877"/>
      <c r="BD127" s="877"/>
      <c r="BE127" s="877"/>
      <c r="BF127" s="877"/>
      <c r="BG127" s="877"/>
      <c r="BH127" s="878"/>
      <c r="BI127" s="356"/>
      <c r="BO127" s="319"/>
      <c r="BP127" s="876"/>
      <c r="BQ127" s="877"/>
      <c r="BR127" s="877"/>
      <c r="BS127" s="877"/>
      <c r="BT127" s="877"/>
      <c r="BU127" s="877"/>
      <c r="BV127" s="877"/>
      <c r="BW127" s="877"/>
      <c r="BX127" s="877"/>
      <c r="BY127" s="877"/>
      <c r="BZ127" s="877"/>
      <c r="CA127" s="878"/>
      <c r="CB127" s="356"/>
      <c r="CI127" s="319"/>
      <c r="CJ127" s="876"/>
      <c r="CK127" s="877"/>
      <c r="CL127" s="877"/>
      <c r="CM127" s="877"/>
      <c r="CN127" s="877"/>
      <c r="CO127" s="877"/>
      <c r="CP127" s="877"/>
      <c r="CQ127" s="877"/>
      <c r="CR127" s="877"/>
      <c r="CS127" s="877"/>
      <c r="CT127" s="877"/>
      <c r="CU127" s="878"/>
      <c r="CV127" s="356"/>
    </row>
    <row r="128" spans="10:100" ht="24" customHeight="1" x14ac:dyDescent="0.25">
      <c r="J128" s="319"/>
      <c r="K128" s="879"/>
      <c r="L128" s="880"/>
      <c r="M128" s="880"/>
      <c r="N128" s="880"/>
      <c r="O128" s="880"/>
      <c r="P128" s="880"/>
      <c r="Q128" s="880"/>
      <c r="R128" s="880"/>
      <c r="S128" s="880"/>
      <c r="T128" s="880"/>
      <c r="U128" s="880"/>
      <c r="V128" s="881"/>
      <c r="W128" s="273"/>
      <c r="AC128" s="319"/>
      <c r="AD128" s="879"/>
      <c r="AE128" s="880"/>
      <c r="AF128" s="880"/>
      <c r="AG128" s="880"/>
      <c r="AH128" s="880"/>
      <c r="AI128" s="880"/>
      <c r="AJ128" s="880"/>
      <c r="AK128" s="880"/>
      <c r="AL128" s="880"/>
      <c r="AM128" s="880"/>
      <c r="AN128" s="880"/>
      <c r="AO128" s="881"/>
      <c r="AP128" s="357"/>
      <c r="AV128" s="319"/>
      <c r="AW128" s="879"/>
      <c r="AX128" s="880"/>
      <c r="AY128" s="880"/>
      <c r="AZ128" s="880"/>
      <c r="BA128" s="880"/>
      <c r="BB128" s="880"/>
      <c r="BC128" s="880"/>
      <c r="BD128" s="880"/>
      <c r="BE128" s="880"/>
      <c r="BF128" s="880"/>
      <c r="BG128" s="880"/>
      <c r="BH128" s="881"/>
      <c r="BI128" s="357"/>
      <c r="BO128" s="319"/>
      <c r="BP128" s="879"/>
      <c r="BQ128" s="880"/>
      <c r="BR128" s="880"/>
      <c r="BS128" s="880"/>
      <c r="BT128" s="880"/>
      <c r="BU128" s="880"/>
      <c r="BV128" s="880"/>
      <c r="BW128" s="880"/>
      <c r="BX128" s="880"/>
      <c r="BY128" s="880"/>
      <c r="BZ128" s="880"/>
      <c r="CA128" s="881"/>
      <c r="CB128" s="357"/>
      <c r="CI128" s="319"/>
      <c r="CJ128" s="879"/>
      <c r="CK128" s="880"/>
      <c r="CL128" s="880"/>
      <c r="CM128" s="880"/>
      <c r="CN128" s="880"/>
      <c r="CO128" s="880"/>
      <c r="CP128" s="880"/>
      <c r="CQ128" s="880"/>
      <c r="CR128" s="880"/>
      <c r="CS128" s="880"/>
      <c r="CT128" s="880"/>
      <c r="CU128" s="881"/>
      <c r="CV128" s="357"/>
    </row>
    <row r="129" spans="10:100" ht="24" customHeight="1" x14ac:dyDescent="0.25">
      <c r="J129" s="319"/>
      <c r="K129" s="886"/>
      <c r="L129" s="886"/>
      <c r="M129" s="886"/>
      <c r="N129" s="886"/>
      <c r="O129" s="886"/>
      <c r="P129" s="886"/>
      <c r="Q129" s="886"/>
      <c r="R129" s="886"/>
      <c r="S129" s="886"/>
      <c r="T129" s="886"/>
      <c r="U129" s="886"/>
      <c r="V129" s="886"/>
      <c r="W129" s="273"/>
      <c r="AC129" s="319"/>
      <c r="AD129" s="886"/>
      <c r="AE129" s="886"/>
      <c r="AF129" s="886"/>
      <c r="AG129" s="886"/>
      <c r="AH129" s="886"/>
      <c r="AI129" s="886"/>
      <c r="AJ129" s="886"/>
      <c r="AK129" s="886"/>
      <c r="AL129" s="886"/>
      <c r="AM129" s="886"/>
      <c r="AN129" s="886"/>
      <c r="AO129" s="886"/>
      <c r="AP129" s="357"/>
      <c r="AV129" s="319"/>
      <c r="AW129" s="886"/>
      <c r="AX129" s="886"/>
      <c r="AY129" s="886"/>
      <c r="AZ129" s="886"/>
      <c r="BA129" s="886"/>
      <c r="BB129" s="886"/>
      <c r="BC129" s="886"/>
      <c r="BD129" s="886"/>
      <c r="BE129" s="886"/>
      <c r="BF129" s="886"/>
      <c r="BG129" s="886"/>
      <c r="BH129" s="886"/>
      <c r="BI129" s="357"/>
      <c r="BO129" s="319"/>
      <c r="BP129" s="886"/>
      <c r="BQ129" s="886"/>
      <c r="BR129" s="886"/>
      <c r="BS129" s="886"/>
      <c r="BT129" s="886"/>
      <c r="BU129" s="886"/>
      <c r="BV129" s="886"/>
      <c r="BW129" s="886"/>
      <c r="BX129" s="886"/>
      <c r="BY129" s="886"/>
      <c r="BZ129" s="886"/>
      <c r="CA129" s="886"/>
      <c r="CB129" s="357"/>
      <c r="CI129" s="319"/>
      <c r="CJ129" s="886"/>
      <c r="CK129" s="886"/>
      <c r="CL129" s="886"/>
      <c r="CM129" s="886"/>
      <c r="CN129" s="886"/>
      <c r="CO129" s="886"/>
      <c r="CP129" s="886"/>
      <c r="CQ129" s="886"/>
      <c r="CR129" s="886"/>
      <c r="CS129" s="886"/>
      <c r="CT129" s="886"/>
      <c r="CU129" s="886"/>
      <c r="CV129" s="357"/>
    </row>
    <row r="130" spans="10:100" ht="24" customHeight="1" thickBot="1" x14ac:dyDescent="0.3">
      <c r="J130" s="320"/>
      <c r="K130" s="887"/>
      <c r="L130" s="887"/>
      <c r="M130" s="887"/>
      <c r="N130" s="887"/>
      <c r="O130" s="887"/>
      <c r="P130" s="887"/>
      <c r="Q130" s="887"/>
      <c r="R130" s="887"/>
      <c r="S130" s="887"/>
      <c r="T130" s="887"/>
      <c r="U130" s="887"/>
      <c r="V130" s="887"/>
      <c r="W130" s="274"/>
      <c r="AC130" s="320"/>
      <c r="AD130" s="887"/>
      <c r="AE130" s="887"/>
      <c r="AF130" s="887"/>
      <c r="AG130" s="887"/>
      <c r="AH130" s="887"/>
      <c r="AI130" s="887"/>
      <c r="AJ130" s="887"/>
      <c r="AK130" s="887"/>
      <c r="AL130" s="887"/>
      <c r="AM130" s="887"/>
      <c r="AN130" s="887"/>
      <c r="AO130" s="887"/>
      <c r="AP130" s="358"/>
      <c r="AV130" s="320"/>
      <c r="AW130" s="887"/>
      <c r="AX130" s="887"/>
      <c r="AY130" s="887"/>
      <c r="AZ130" s="887"/>
      <c r="BA130" s="887"/>
      <c r="BB130" s="887"/>
      <c r="BC130" s="887"/>
      <c r="BD130" s="887"/>
      <c r="BE130" s="887"/>
      <c r="BF130" s="887"/>
      <c r="BG130" s="887"/>
      <c r="BH130" s="887"/>
      <c r="BI130" s="358"/>
      <c r="BO130" s="320"/>
      <c r="BP130" s="887"/>
      <c r="BQ130" s="887"/>
      <c r="BR130" s="887"/>
      <c r="BS130" s="887"/>
      <c r="BT130" s="887"/>
      <c r="BU130" s="887"/>
      <c r="BV130" s="887"/>
      <c r="BW130" s="887"/>
      <c r="BX130" s="887"/>
      <c r="BY130" s="887"/>
      <c r="BZ130" s="887"/>
      <c r="CA130" s="887"/>
      <c r="CB130" s="358"/>
      <c r="CI130" s="320"/>
      <c r="CJ130" s="887"/>
      <c r="CK130" s="887"/>
      <c r="CL130" s="887"/>
      <c r="CM130" s="887"/>
      <c r="CN130" s="887"/>
      <c r="CO130" s="887"/>
      <c r="CP130" s="887"/>
      <c r="CQ130" s="887"/>
      <c r="CR130" s="887"/>
      <c r="CS130" s="887"/>
      <c r="CT130" s="887"/>
      <c r="CU130" s="887"/>
      <c r="CV130" s="358"/>
    </row>
    <row r="134" spans="10:100" ht="24" customHeight="1" x14ac:dyDescent="0.25">
      <c r="J134" s="886"/>
      <c r="K134" s="798" t="s">
        <v>1087</v>
      </c>
      <c r="L134" s="774"/>
      <c r="M134" s="774"/>
      <c r="N134" s="774"/>
      <c r="O134" s="774"/>
      <c r="P134" s="774"/>
      <c r="Q134" s="774"/>
      <c r="R134" s="774"/>
      <c r="S134" s="774"/>
      <c r="T134" s="774"/>
      <c r="U134" s="774"/>
      <c r="V134" s="775"/>
      <c r="W134" s="356"/>
      <c r="AC134" s="886"/>
      <c r="AD134" s="798" t="s">
        <v>1086</v>
      </c>
      <c r="AE134" s="774"/>
      <c r="AF134" s="774"/>
      <c r="AG134" s="774"/>
      <c r="AH134" s="774"/>
      <c r="AI134" s="774"/>
      <c r="AJ134" s="774"/>
      <c r="AK134" s="774"/>
      <c r="AL134" s="774"/>
      <c r="AM134" s="774"/>
      <c r="AN134" s="774"/>
      <c r="AO134" s="775"/>
      <c r="AP134" s="356"/>
      <c r="AV134" s="886"/>
      <c r="AW134" s="798"/>
      <c r="AX134" s="774"/>
      <c r="AY134" s="774"/>
      <c r="AZ134" s="774"/>
      <c r="BA134" s="774"/>
      <c r="BB134" s="774"/>
      <c r="BC134" s="774"/>
      <c r="BD134" s="774"/>
      <c r="BE134" s="774"/>
      <c r="BF134" s="774"/>
      <c r="BG134" s="774"/>
      <c r="BH134" s="775"/>
      <c r="BI134" s="356"/>
      <c r="BO134" s="886"/>
      <c r="BP134" s="798"/>
      <c r="BQ134" s="774"/>
      <c r="BR134" s="774"/>
      <c r="BS134" s="774"/>
      <c r="BT134" s="774"/>
      <c r="BU134" s="774"/>
      <c r="BV134" s="774"/>
      <c r="BW134" s="774"/>
      <c r="BX134" s="774"/>
      <c r="BY134" s="774"/>
      <c r="BZ134" s="774"/>
      <c r="CA134" s="775"/>
      <c r="CB134" s="356"/>
      <c r="CI134" s="886"/>
      <c r="CJ134" s="798"/>
      <c r="CK134" s="774"/>
      <c r="CL134" s="774"/>
      <c r="CM134" s="774"/>
      <c r="CN134" s="774"/>
      <c r="CO134" s="774"/>
      <c r="CP134" s="774"/>
      <c r="CQ134" s="774"/>
      <c r="CR134" s="774"/>
      <c r="CS134" s="774"/>
      <c r="CT134" s="774"/>
      <c r="CU134" s="775"/>
      <c r="CV134" s="356"/>
    </row>
    <row r="135" spans="10:100" ht="24" customHeight="1" thickBot="1" x14ac:dyDescent="0.3">
      <c r="J135" s="888"/>
      <c r="K135" s="776"/>
      <c r="L135" s="777"/>
      <c r="M135" s="777"/>
      <c r="N135" s="777"/>
      <c r="O135" s="777"/>
      <c r="P135" s="777"/>
      <c r="Q135" s="777"/>
      <c r="R135" s="777"/>
      <c r="S135" s="777"/>
      <c r="T135" s="777"/>
      <c r="U135" s="777"/>
      <c r="V135" s="778"/>
      <c r="W135" s="358"/>
      <c r="AC135" s="888"/>
      <c r="AD135" s="776"/>
      <c r="AE135" s="777"/>
      <c r="AF135" s="777"/>
      <c r="AG135" s="777"/>
      <c r="AH135" s="777"/>
      <c r="AI135" s="777"/>
      <c r="AJ135" s="777"/>
      <c r="AK135" s="777"/>
      <c r="AL135" s="777"/>
      <c r="AM135" s="777"/>
      <c r="AN135" s="777"/>
      <c r="AO135" s="778"/>
      <c r="AP135" s="358"/>
      <c r="AV135" s="888"/>
      <c r="AW135" s="776"/>
      <c r="AX135" s="777"/>
      <c r="AY135" s="777"/>
      <c r="AZ135" s="777"/>
      <c r="BA135" s="777"/>
      <c r="BB135" s="777"/>
      <c r="BC135" s="777"/>
      <c r="BD135" s="777"/>
      <c r="BE135" s="777"/>
      <c r="BF135" s="777"/>
      <c r="BG135" s="777"/>
      <c r="BH135" s="778"/>
      <c r="BI135" s="358"/>
      <c r="BO135" s="888"/>
      <c r="BP135" s="776"/>
      <c r="BQ135" s="777"/>
      <c r="BR135" s="777"/>
      <c r="BS135" s="777"/>
      <c r="BT135" s="777"/>
      <c r="BU135" s="777"/>
      <c r="BV135" s="777"/>
      <c r="BW135" s="777"/>
      <c r="BX135" s="777"/>
      <c r="BY135" s="777"/>
      <c r="BZ135" s="777"/>
      <c r="CA135" s="778"/>
      <c r="CB135" s="358"/>
      <c r="CI135" s="888"/>
      <c r="CJ135" s="776"/>
      <c r="CK135" s="777"/>
      <c r="CL135" s="777"/>
      <c r="CM135" s="777"/>
      <c r="CN135" s="777"/>
      <c r="CO135" s="777"/>
      <c r="CP135" s="777"/>
      <c r="CQ135" s="777"/>
      <c r="CR135" s="777"/>
      <c r="CS135" s="777"/>
      <c r="CT135" s="777"/>
      <c r="CU135" s="778"/>
      <c r="CV135" s="358"/>
    </row>
    <row r="136" spans="10:100" ht="24" customHeight="1" x14ac:dyDescent="0.25">
      <c r="J136" s="319"/>
      <c r="K136" s="873"/>
      <c r="L136" s="874"/>
      <c r="M136" s="874"/>
      <c r="N136" s="874"/>
      <c r="O136" s="874"/>
      <c r="P136" s="874"/>
      <c r="Q136" s="874"/>
      <c r="R136" s="874"/>
      <c r="S136" s="874"/>
      <c r="T136" s="874"/>
      <c r="U136" s="874"/>
      <c r="V136" s="875"/>
      <c r="W136" s="882" t="s">
        <v>628</v>
      </c>
      <c r="AC136" s="319"/>
      <c r="AD136" s="873"/>
      <c r="AE136" s="874"/>
      <c r="AF136" s="874"/>
      <c r="AG136" s="874"/>
      <c r="AH136" s="874"/>
      <c r="AI136" s="874"/>
      <c r="AJ136" s="874"/>
      <c r="AK136" s="874"/>
      <c r="AL136" s="874"/>
      <c r="AM136" s="874"/>
      <c r="AN136" s="874"/>
      <c r="AO136" s="875"/>
      <c r="AP136" s="882" t="s">
        <v>628</v>
      </c>
      <c r="AV136" s="319"/>
      <c r="AW136" s="873"/>
      <c r="AX136" s="874"/>
      <c r="AY136" s="874"/>
      <c r="AZ136" s="874"/>
      <c r="BA136" s="874"/>
      <c r="BB136" s="874"/>
      <c r="BC136" s="874"/>
      <c r="BD136" s="874"/>
      <c r="BE136" s="874"/>
      <c r="BF136" s="874"/>
      <c r="BG136" s="874"/>
      <c r="BH136" s="875"/>
      <c r="BI136" s="882" t="s">
        <v>628</v>
      </c>
      <c r="BO136" s="319"/>
      <c r="BP136" s="873"/>
      <c r="BQ136" s="874"/>
      <c r="BR136" s="874"/>
      <c r="BS136" s="874"/>
      <c r="BT136" s="874"/>
      <c r="BU136" s="874"/>
      <c r="BV136" s="874"/>
      <c r="BW136" s="874"/>
      <c r="BX136" s="874"/>
      <c r="BY136" s="874"/>
      <c r="BZ136" s="874"/>
      <c r="CA136" s="875"/>
      <c r="CB136" s="882" t="s">
        <v>628</v>
      </c>
      <c r="CI136" s="319"/>
      <c r="CJ136" s="873"/>
      <c r="CK136" s="874"/>
      <c r="CL136" s="874"/>
      <c r="CM136" s="874"/>
      <c r="CN136" s="874"/>
      <c r="CO136" s="874"/>
      <c r="CP136" s="874"/>
      <c r="CQ136" s="874"/>
      <c r="CR136" s="874"/>
      <c r="CS136" s="874"/>
      <c r="CT136" s="874"/>
      <c r="CU136" s="875"/>
      <c r="CV136" s="882" t="s">
        <v>628</v>
      </c>
    </row>
    <row r="137" spans="10:100" ht="24" customHeight="1" x14ac:dyDescent="0.25">
      <c r="J137" s="319"/>
      <c r="K137" s="876"/>
      <c r="L137" s="877"/>
      <c r="M137" s="877"/>
      <c r="N137" s="877"/>
      <c r="O137" s="877"/>
      <c r="P137" s="877"/>
      <c r="Q137" s="877"/>
      <c r="R137" s="877"/>
      <c r="S137" s="877"/>
      <c r="T137" s="877"/>
      <c r="U137" s="877"/>
      <c r="V137" s="878"/>
      <c r="W137" s="883"/>
      <c r="AC137" s="319"/>
      <c r="AD137" s="876"/>
      <c r="AE137" s="877"/>
      <c r="AF137" s="877"/>
      <c r="AG137" s="877"/>
      <c r="AH137" s="877"/>
      <c r="AI137" s="877"/>
      <c r="AJ137" s="877"/>
      <c r="AK137" s="877"/>
      <c r="AL137" s="877"/>
      <c r="AM137" s="877"/>
      <c r="AN137" s="877"/>
      <c r="AO137" s="878"/>
      <c r="AP137" s="883"/>
      <c r="AV137" s="319"/>
      <c r="AW137" s="876"/>
      <c r="AX137" s="877"/>
      <c r="AY137" s="877"/>
      <c r="AZ137" s="877"/>
      <c r="BA137" s="877"/>
      <c r="BB137" s="877"/>
      <c r="BC137" s="877"/>
      <c r="BD137" s="877"/>
      <c r="BE137" s="877"/>
      <c r="BF137" s="877"/>
      <c r="BG137" s="877"/>
      <c r="BH137" s="878"/>
      <c r="BI137" s="883"/>
      <c r="BO137" s="319"/>
      <c r="BP137" s="876"/>
      <c r="BQ137" s="877"/>
      <c r="BR137" s="877"/>
      <c r="BS137" s="877"/>
      <c r="BT137" s="877"/>
      <c r="BU137" s="877"/>
      <c r="BV137" s="877"/>
      <c r="BW137" s="877"/>
      <c r="BX137" s="877"/>
      <c r="BY137" s="877"/>
      <c r="BZ137" s="877"/>
      <c r="CA137" s="878"/>
      <c r="CB137" s="883"/>
      <c r="CI137" s="319"/>
      <c r="CJ137" s="876"/>
      <c r="CK137" s="877"/>
      <c r="CL137" s="877"/>
      <c r="CM137" s="877"/>
      <c r="CN137" s="877"/>
      <c r="CO137" s="877"/>
      <c r="CP137" s="877"/>
      <c r="CQ137" s="877"/>
      <c r="CR137" s="877"/>
      <c r="CS137" s="877"/>
      <c r="CT137" s="877"/>
      <c r="CU137" s="878"/>
      <c r="CV137" s="883"/>
    </row>
    <row r="138" spans="10:100" ht="24" customHeight="1" x14ac:dyDescent="0.25">
      <c r="J138" s="319"/>
      <c r="K138" s="876"/>
      <c r="L138" s="877"/>
      <c r="M138" s="877"/>
      <c r="N138" s="877"/>
      <c r="O138" s="877"/>
      <c r="P138" s="877"/>
      <c r="Q138" s="877"/>
      <c r="R138" s="877"/>
      <c r="S138" s="877"/>
      <c r="T138" s="877"/>
      <c r="U138" s="877"/>
      <c r="V138" s="878"/>
      <c r="W138" s="884"/>
      <c r="AC138" s="319"/>
      <c r="AD138" s="876"/>
      <c r="AE138" s="877"/>
      <c r="AF138" s="877"/>
      <c r="AG138" s="877"/>
      <c r="AH138" s="877"/>
      <c r="AI138" s="877"/>
      <c r="AJ138" s="877"/>
      <c r="AK138" s="877"/>
      <c r="AL138" s="877"/>
      <c r="AM138" s="877"/>
      <c r="AN138" s="877"/>
      <c r="AO138" s="878"/>
      <c r="AP138" s="884"/>
      <c r="AV138" s="319"/>
      <c r="AW138" s="876"/>
      <c r="AX138" s="877"/>
      <c r="AY138" s="877"/>
      <c r="AZ138" s="877"/>
      <c r="BA138" s="877"/>
      <c r="BB138" s="877"/>
      <c r="BC138" s="877"/>
      <c r="BD138" s="877"/>
      <c r="BE138" s="877"/>
      <c r="BF138" s="877"/>
      <c r="BG138" s="877"/>
      <c r="BH138" s="878"/>
      <c r="BI138" s="884"/>
      <c r="BO138" s="319"/>
      <c r="BP138" s="876"/>
      <c r="BQ138" s="877"/>
      <c r="BR138" s="877"/>
      <c r="BS138" s="877"/>
      <c r="BT138" s="877"/>
      <c r="BU138" s="877"/>
      <c r="BV138" s="877"/>
      <c r="BW138" s="877"/>
      <c r="BX138" s="877"/>
      <c r="BY138" s="877"/>
      <c r="BZ138" s="877"/>
      <c r="CA138" s="878"/>
      <c r="CB138" s="884"/>
      <c r="CI138" s="319"/>
      <c r="CJ138" s="876"/>
      <c r="CK138" s="877"/>
      <c r="CL138" s="877"/>
      <c r="CM138" s="877"/>
      <c r="CN138" s="877"/>
      <c r="CO138" s="877"/>
      <c r="CP138" s="877"/>
      <c r="CQ138" s="877"/>
      <c r="CR138" s="877"/>
      <c r="CS138" s="877"/>
      <c r="CT138" s="877"/>
      <c r="CU138" s="878"/>
      <c r="CV138" s="884"/>
    </row>
    <row r="139" spans="10:100" ht="24" customHeight="1" x14ac:dyDescent="0.25">
      <c r="J139" s="319"/>
      <c r="K139" s="876"/>
      <c r="L139" s="877"/>
      <c r="M139" s="877"/>
      <c r="N139" s="877"/>
      <c r="O139" s="877"/>
      <c r="P139" s="877"/>
      <c r="Q139" s="877"/>
      <c r="R139" s="877"/>
      <c r="S139" s="877"/>
      <c r="T139" s="877"/>
      <c r="U139" s="877"/>
      <c r="V139" s="878"/>
      <c r="W139" s="885"/>
      <c r="AC139" s="319"/>
      <c r="AD139" s="876"/>
      <c r="AE139" s="877"/>
      <c r="AF139" s="877"/>
      <c r="AG139" s="877"/>
      <c r="AH139" s="877"/>
      <c r="AI139" s="877"/>
      <c r="AJ139" s="877"/>
      <c r="AK139" s="877"/>
      <c r="AL139" s="877"/>
      <c r="AM139" s="877"/>
      <c r="AN139" s="877"/>
      <c r="AO139" s="878"/>
      <c r="AP139" s="885"/>
      <c r="AV139" s="319"/>
      <c r="AW139" s="876"/>
      <c r="AX139" s="877"/>
      <c r="AY139" s="877"/>
      <c r="AZ139" s="877"/>
      <c r="BA139" s="877"/>
      <c r="BB139" s="877"/>
      <c r="BC139" s="877"/>
      <c r="BD139" s="877"/>
      <c r="BE139" s="877"/>
      <c r="BF139" s="877"/>
      <c r="BG139" s="877"/>
      <c r="BH139" s="878"/>
      <c r="BI139" s="885"/>
      <c r="BO139" s="319"/>
      <c r="BP139" s="876"/>
      <c r="BQ139" s="877"/>
      <c r="BR139" s="877"/>
      <c r="BS139" s="877"/>
      <c r="BT139" s="877"/>
      <c r="BU139" s="877"/>
      <c r="BV139" s="877"/>
      <c r="BW139" s="877"/>
      <c r="BX139" s="877"/>
      <c r="BY139" s="877"/>
      <c r="BZ139" s="877"/>
      <c r="CA139" s="878"/>
      <c r="CB139" s="885"/>
      <c r="CI139" s="319"/>
      <c r="CJ139" s="876"/>
      <c r="CK139" s="877"/>
      <c r="CL139" s="877"/>
      <c r="CM139" s="877"/>
      <c r="CN139" s="877"/>
      <c r="CO139" s="877"/>
      <c r="CP139" s="877"/>
      <c r="CQ139" s="877"/>
      <c r="CR139" s="877"/>
      <c r="CS139" s="877"/>
      <c r="CT139" s="877"/>
      <c r="CU139" s="878"/>
      <c r="CV139" s="885"/>
    </row>
    <row r="140" spans="10:100" ht="24" customHeight="1" x14ac:dyDescent="0.25">
      <c r="J140" s="319"/>
      <c r="K140" s="876"/>
      <c r="L140" s="877"/>
      <c r="M140" s="877"/>
      <c r="N140" s="877"/>
      <c r="O140" s="877"/>
      <c r="P140" s="877"/>
      <c r="Q140" s="877"/>
      <c r="R140" s="877"/>
      <c r="S140" s="877"/>
      <c r="T140" s="877"/>
      <c r="U140" s="877"/>
      <c r="V140" s="878"/>
      <c r="W140" s="885"/>
      <c r="AC140" s="319"/>
      <c r="AD140" s="876"/>
      <c r="AE140" s="877"/>
      <c r="AF140" s="877"/>
      <c r="AG140" s="877"/>
      <c r="AH140" s="877"/>
      <c r="AI140" s="877"/>
      <c r="AJ140" s="877"/>
      <c r="AK140" s="877"/>
      <c r="AL140" s="877"/>
      <c r="AM140" s="877"/>
      <c r="AN140" s="877"/>
      <c r="AO140" s="878"/>
      <c r="AP140" s="885"/>
      <c r="AV140" s="319"/>
      <c r="AW140" s="876"/>
      <c r="AX140" s="877"/>
      <c r="AY140" s="877"/>
      <c r="AZ140" s="877"/>
      <c r="BA140" s="877"/>
      <c r="BB140" s="877"/>
      <c r="BC140" s="877"/>
      <c r="BD140" s="877"/>
      <c r="BE140" s="877"/>
      <c r="BF140" s="877"/>
      <c r="BG140" s="877"/>
      <c r="BH140" s="878"/>
      <c r="BI140" s="885"/>
      <c r="BO140" s="319"/>
      <c r="BP140" s="876"/>
      <c r="BQ140" s="877"/>
      <c r="BR140" s="877"/>
      <c r="BS140" s="877"/>
      <c r="BT140" s="877"/>
      <c r="BU140" s="877"/>
      <c r="BV140" s="877"/>
      <c r="BW140" s="877"/>
      <c r="BX140" s="877"/>
      <c r="BY140" s="877"/>
      <c r="BZ140" s="877"/>
      <c r="CA140" s="878"/>
      <c r="CB140" s="885"/>
      <c r="CI140" s="319"/>
      <c r="CJ140" s="876"/>
      <c r="CK140" s="877"/>
      <c r="CL140" s="877"/>
      <c r="CM140" s="877"/>
      <c r="CN140" s="877"/>
      <c r="CO140" s="877"/>
      <c r="CP140" s="877"/>
      <c r="CQ140" s="877"/>
      <c r="CR140" s="877"/>
      <c r="CS140" s="877"/>
      <c r="CT140" s="877"/>
      <c r="CU140" s="878"/>
      <c r="CV140" s="885"/>
    </row>
    <row r="141" spans="10:100" ht="24" customHeight="1" x14ac:dyDescent="0.25">
      <c r="J141" s="319"/>
      <c r="K141" s="876"/>
      <c r="L141" s="877"/>
      <c r="M141" s="877"/>
      <c r="N141" s="877"/>
      <c r="O141" s="877"/>
      <c r="P141" s="877"/>
      <c r="Q141" s="877"/>
      <c r="R141" s="877"/>
      <c r="S141" s="877"/>
      <c r="T141" s="877"/>
      <c r="U141" s="877"/>
      <c r="V141" s="878"/>
      <c r="W141" s="885"/>
      <c r="AC141" s="319"/>
      <c r="AD141" s="876"/>
      <c r="AE141" s="877"/>
      <c r="AF141" s="877"/>
      <c r="AG141" s="877"/>
      <c r="AH141" s="877"/>
      <c r="AI141" s="877"/>
      <c r="AJ141" s="877"/>
      <c r="AK141" s="877"/>
      <c r="AL141" s="877"/>
      <c r="AM141" s="877"/>
      <c r="AN141" s="877"/>
      <c r="AO141" s="878"/>
      <c r="AP141" s="885"/>
      <c r="AV141" s="319"/>
      <c r="AW141" s="876"/>
      <c r="AX141" s="877"/>
      <c r="AY141" s="877"/>
      <c r="AZ141" s="877"/>
      <c r="BA141" s="877"/>
      <c r="BB141" s="877"/>
      <c r="BC141" s="877"/>
      <c r="BD141" s="877"/>
      <c r="BE141" s="877"/>
      <c r="BF141" s="877"/>
      <c r="BG141" s="877"/>
      <c r="BH141" s="878"/>
      <c r="BI141" s="885"/>
      <c r="BO141" s="319"/>
      <c r="BP141" s="876"/>
      <c r="BQ141" s="877"/>
      <c r="BR141" s="877"/>
      <c r="BS141" s="877"/>
      <c r="BT141" s="877"/>
      <c r="BU141" s="877"/>
      <c r="BV141" s="877"/>
      <c r="BW141" s="877"/>
      <c r="BX141" s="877"/>
      <c r="BY141" s="877"/>
      <c r="BZ141" s="877"/>
      <c r="CA141" s="878"/>
      <c r="CB141" s="885"/>
      <c r="CI141" s="319"/>
      <c r="CJ141" s="876"/>
      <c r="CK141" s="877"/>
      <c r="CL141" s="877"/>
      <c r="CM141" s="877"/>
      <c r="CN141" s="877"/>
      <c r="CO141" s="877"/>
      <c r="CP141" s="877"/>
      <c r="CQ141" s="877"/>
      <c r="CR141" s="877"/>
      <c r="CS141" s="877"/>
      <c r="CT141" s="877"/>
      <c r="CU141" s="878"/>
      <c r="CV141" s="885"/>
    </row>
    <row r="142" spans="10:100" ht="24" customHeight="1" x14ac:dyDescent="0.25">
      <c r="J142" s="319"/>
      <c r="K142" s="876"/>
      <c r="L142" s="877"/>
      <c r="M142" s="877"/>
      <c r="N142" s="877"/>
      <c r="O142" s="877"/>
      <c r="P142" s="877"/>
      <c r="Q142" s="877"/>
      <c r="R142" s="877"/>
      <c r="S142" s="877"/>
      <c r="T142" s="877"/>
      <c r="U142" s="877"/>
      <c r="V142" s="878"/>
      <c r="W142" s="885"/>
      <c r="AC142" s="319"/>
      <c r="AD142" s="876"/>
      <c r="AE142" s="877"/>
      <c r="AF142" s="877"/>
      <c r="AG142" s="877"/>
      <c r="AH142" s="877"/>
      <c r="AI142" s="877"/>
      <c r="AJ142" s="877"/>
      <c r="AK142" s="877"/>
      <c r="AL142" s="877"/>
      <c r="AM142" s="877"/>
      <c r="AN142" s="877"/>
      <c r="AO142" s="878"/>
      <c r="AP142" s="885"/>
      <c r="AV142" s="319"/>
      <c r="AW142" s="876"/>
      <c r="AX142" s="877"/>
      <c r="AY142" s="877"/>
      <c r="AZ142" s="877"/>
      <c r="BA142" s="877"/>
      <c r="BB142" s="877"/>
      <c r="BC142" s="877"/>
      <c r="BD142" s="877"/>
      <c r="BE142" s="877"/>
      <c r="BF142" s="877"/>
      <c r="BG142" s="877"/>
      <c r="BH142" s="878"/>
      <c r="BI142" s="885"/>
      <c r="BO142" s="319"/>
      <c r="BP142" s="876"/>
      <c r="BQ142" s="877"/>
      <c r="BR142" s="877"/>
      <c r="BS142" s="877"/>
      <c r="BT142" s="877"/>
      <c r="BU142" s="877"/>
      <c r="BV142" s="877"/>
      <c r="BW142" s="877"/>
      <c r="BX142" s="877"/>
      <c r="BY142" s="877"/>
      <c r="BZ142" s="877"/>
      <c r="CA142" s="878"/>
      <c r="CB142" s="885"/>
      <c r="CI142" s="319"/>
      <c r="CJ142" s="876"/>
      <c r="CK142" s="877"/>
      <c r="CL142" s="877"/>
      <c r="CM142" s="877"/>
      <c r="CN142" s="877"/>
      <c r="CO142" s="877"/>
      <c r="CP142" s="877"/>
      <c r="CQ142" s="877"/>
      <c r="CR142" s="877"/>
      <c r="CS142" s="877"/>
      <c r="CT142" s="877"/>
      <c r="CU142" s="878"/>
      <c r="CV142" s="885"/>
    </row>
    <row r="143" spans="10:100" ht="24" customHeight="1" x14ac:dyDescent="0.25">
      <c r="J143" s="319"/>
      <c r="K143" s="876"/>
      <c r="L143" s="877"/>
      <c r="M143" s="877"/>
      <c r="N143" s="877"/>
      <c r="O143" s="877"/>
      <c r="P143" s="877"/>
      <c r="Q143" s="877"/>
      <c r="R143" s="877"/>
      <c r="S143" s="877"/>
      <c r="T143" s="877"/>
      <c r="U143" s="877"/>
      <c r="V143" s="878"/>
      <c r="W143" s="885"/>
      <c r="AC143" s="319"/>
      <c r="AD143" s="876"/>
      <c r="AE143" s="877"/>
      <c r="AF143" s="877"/>
      <c r="AG143" s="877"/>
      <c r="AH143" s="877"/>
      <c r="AI143" s="877"/>
      <c r="AJ143" s="877"/>
      <c r="AK143" s="877"/>
      <c r="AL143" s="877"/>
      <c r="AM143" s="877"/>
      <c r="AN143" s="877"/>
      <c r="AO143" s="878"/>
      <c r="AP143" s="885"/>
      <c r="AV143" s="319"/>
      <c r="AW143" s="876"/>
      <c r="AX143" s="877"/>
      <c r="AY143" s="877"/>
      <c r="AZ143" s="877"/>
      <c r="BA143" s="877"/>
      <c r="BB143" s="877"/>
      <c r="BC143" s="877"/>
      <c r="BD143" s="877"/>
      <c r="BE143" s="877"/>
      <c r="BF143" s="877"/>
      <c r="BG143" s="877"/>
      <c r="BH143" s="878"/>
      <c r="BI143" s="885"/>
      <c r="BO143" s="319"/>
      <c r="BP143" s="876"/>
      <c r="BQ143" s="877"/>
      <c r="BR143" s="877"/>
      <c r="BS143" s="877"/>
      <c r="BT143" s="877"/>
      <c r="BU143" s="877"/>
      <c r="BV143" s="877"/>
      <c r="BW143" s="877"/>
      <c r="BX143" s="877"/>
      <c r="BY143" s="877"/>
      <c r="BZ143" s="877"/>
      <c r="CA143" s="878"/>
      <c r="CB143" s="885"/>
      <c r="CI143" s="319"/>
      <c r="CJ143" s="876"/>
      <c r="CK143" s="877"/>
      <c r="CL143" s="877"/>
      <c r="CM143" s="877"/>
      <c r="CN143" s="877"/>
      <c r="CO143" s="877"/>
      <c r="CP143" s="877"/>
      <c r="CQ143" s="877"/>
      <c r="CR143" s="877"/>
      <c r="CS143" s="877"/>
      <c r="CT143" s="877"/>
      <c r="CU143" s="878"/>
      <c r="CV143" s="885"/>
    </row>
    <row r="144" spans="10:100" ht="24" customHeight="1" x14ac:dyDescent="0.25">
      <c r="J144" s="319"/>
      <c r="K144" s="876"/>
      <c r="L144" s="877"/>
      <c r="M144" s="877"/>
      <c r="N144" s="877"/>
      <c r="O144" s="877"/>
      <c r="P144" s="877"/>
      <c r="Q144" s="877"/>
      <c r="R144" s="877"/>
      <c r="S144" s="877"/>
      <c r="T144" s="877"/>
      <c r="U144" s="877"/>
      <c r="V144" s="878"/>
      <c r="W144" s="885"/>
      <c r="AC144" s="319"/>
      <c r="AD144" s="876"/>
      <c r="AE144" s="877"/>
      <c r="AF144" s="877"/>
      <c r="AG144" s="877"/>
      <c r="AH144" s="877"/>
      <c r="AI144" s="877"/>
      <c r="AJ144" s="877"/>
      <c r="AK144" s="877"/>
      <c r="AL144" s="877"/>
      <c r="AM144" s="877"/>
      <c r="AN144" s="877"/>
      <c r="AO144" s="878"/>
      <c r="AP144" s="885"/>
      <c r="AV144" s="319"/>
      <c r="AW144" s="876"/>
      <c r="AX144" s="877"/>
      <c r="AY144" s="877"/>
      <c r="AZ144" s="877"/>
      <c r="BA144" s="877"/>
      <c r="BB144" s="877"/>
      <c r="BC144" s="877"/>
      <c r="BD144" s="877"/>
      <c r="BE144" s="877"/>
      <c r="BF144" s="877"/>
      <c r="BG144" s="877"/>
      <c r="BH144" s="878"/>
      <c r="BI144" s="885"/>
      <c r="BO144" s="319"/>
      <c r="BP144" s="876"/>
      <c r="BQ144" s="877"/>
      <c r="BR144" s="877"/>
      <c r="BS144" s="877"/>
      <c r="BT144" s="877"/>
      <c r="BU144" s="877"/>
      <c r="BV144" s="877"/>
      <c r="BW144" s="877"/>
      <c r="BX144" s="877"/>
      <c r="BY144" s="877"/>
      <c r="BZ144" s="877"/>
      <c r="CA144" s="878"/>
      <c r="CB144" s="885"/>
      <c r="CI144" s="319"/>
      <c r="CJ144" s="876"/>
      <c r="CK144" s="877"/>
      <c r="CL144" s="877"/>
      <c r="CM144" s="877"/>
      <c r="CN144" s="877"/>
      <c r="CO144" s="877"/>
      <c r="CP144" s="877"/>
      <c r="CQ144" s="877"/>
      <c r="CR144" s="877"/>
      <c r="CS144" s="877"/>
      <c r="CT144" s="877"/>
      <c r="CU144" s="878"/>
      <c r="CV144" s="885"/>
    </row>
    <row r="145" spans="10:100" ht="24" customHeight="1" x14ac:dyDescent="0.25">
      <c r="J145" s="319"/>
      <c r="K145" s="876"/>
      <c r="L145" s="877"/>
      <c r="M145" s="877"/>
      <c r="N145" s="877"/>
      <c r="O145" s="877"/>
      <c r="P145" s="877"/>
      <c r="Q145" s="877"/>
      <c r="R145" s="877"/>
      <c r="S145" s="877"/>
      <c r="T145" s="877"/>
      <c r="U145" s="877"/>
      <c r="V145" s="878"/>
      <c r="W145" s="885"/>
      <c r="AC145" s="319"/>
      <c r="AD145" s="876"/>
      <c r="AE145" s="877"/>
      <c r="AF145" s="877"/>
      <c r="AG145" s="877"/>
      <c r="AH145" s="877"/>
      <c r="AI145" s="877"/>
      <c r="AJ145" s="877"/>
      <c r="AK145" s="877"/>
      <c r="AL145" s="877"/>
      <c r="AM145" s="877"/>
      <c r="AN145" s="877"/>
      <c r="AO145" s="878"/>
      <c r="AP145" s="885"/>
      <c r="AV145" s="319"/>
      <c r="AW145" s="876"/>
      <c r="AX145" s="877"/>
      <c r="AY145" s="877"/>
      <c r="AZ145" s="877"/>
      <c r="BA145" s="877"/>
      <c r="BB145" s="877"/>
      <c r="BC145" s="877"/>
      <c r="BD145" s="877"/>
      <c r="BE145" s="877"/>
      <c r="BF145" s="877"/>
      <c r="BG145" s="877"/>
      <c r="BH145" s="878"/>
      <c r="BI145" s="885"/>
      <c r="BO145" s="319"/>
      <c r="BP145" s="876"/>
      <c r="BQ145" s="877"/>
      <c r="BR145" s="877"/>
      <c r="BS145" s="877"/>
      <c r="BT145" s="877"/>
      <c r="BU145" s="877"/>
      <c r="BV145" s="877"/>
      <c r="BW145" s="877"/>
      <c r="BX145" s="877"/>
      <c r="BY145" s="877"/>
      <c r="BZ145" s="877"/>
      <c r="CA145" s="878"/>
      <c r="CB145" s="885"/>
      <c r="CI145" s="319"/>
      <c r="CJ145" s="876"/>
      <c r="CK145" s="877"/>
      <c r="CL145" s="877"/>
      <c r="CM145" s="877"/>
      <c r="CN145" s="877"/>
      <c r="CO145" s="877"/>
      <c r="CP145" s="877"/>
      <c r="CQ145" s="877"/>
      <c r="CR145" s="877"/>
      <c r="CS145" s="877"/>
      <c r="CT145" s="877"/>
      <c r="CU145" s="878"/>
      <c r="CV145" s="885"/>
    </row>
    <row r="146" spans="10:100" ht="24" customHeight="1" x14ac:dyDescent="0.25">
      <c r="J146" s="319"/>
      <c r="K146" s="876"/>
      <c r="L146" s="877"/>
      <c r="M146" s="877"/>
      <c r="N146" s="877"/>
      <c r="O146" s="877"/>
      <c r="P146" s="877"/>
      <c r="Q146" s="877"/>
      <c r="R146" s="877"/>
      <c r="S146" s="877"/>
      <c r="T146" s="877"/>
      <c r="U146" s="877"/>
      <c r="V146" s="878"/>
      <c r="W146" s="885"/>
      <c r="AC146" s="319"/>
      <c r="AD146" s="876"/>
      <c r="AE146" s="877"/>
      <c r="AF146" s="877"/>
      <c r="AG146" s="877"/>
      <c r="AH146" s="877"/>
      <c r="AI146" s="877"/>
      <c r="AJ146" s="877"/>
      <c r="AK146" s="877"/>
      <c r="AL146" s="877"/>
      <c r="AM146" s="877"/>
      <c r="AN146" s="877"/>
      <c r="AO146" s="878"/>
      <c r="AP146" s="885"/>
      <c r="AV146" s="319"/>
      <c r="AW146" s="876"/>
      <c r="AX146" s="877"/>
      <c r="AY146" s="877"/>
      <c r="AZ146" s="877"/>
      <c r="BA146" s="877"/>
      <c r="BB146" s="877"/>
      <c r="BC146" s="877"/>
      <c r="BD146" s="877"/>
      <c r="BE146" s="877"/>
      <c r="BF146" s="877"/>
      <c r="BG146" s="877"/>
      <c r="BH146" s="878"/>
      <c r="BI146" s="885"/>
      <c r="BO146" s="319"/>
      <c r="BP146" s="876"/>
      <c r="BQ146" s="877"/>
      <c r="BR146" s="877"/>
      <c r="BS146" s="877"/>
      <c r="BT146" s="877"/>
      <c r="BU146" s="877"/>
      <c r="BV146" s="877"/>
      <c r="BW146" s="877"/>
      <c r="BX146" s="877"/>
      <c r="BY146" s="877"/>
      <c r="BZ146" s="877"/>
      <c r="CA146" s="878"/>
      <c r="CB146" s="885"/>
      <c r="CI146" s="319"/>
      <c r="CJ146" s="876"/>
      <c r="CK146" s="877"/>
      <c r="CL146" s="877"/>
      <c r="CM146" s="877"/>
      <c r="CN146" s="877"/>
      <c r="CO146" s="877"/>
      <c r="CP146" s="877"/>
      <c r="CQ146" s="877"/>
      <c r="CR146" s="877"/>
      <c r="CS146" s="877"/>
      <c r="CT146" s="877"/>
      <c r="CU146" s="878"/>
      <c r="CV146" s="885"/>
    </row>
    <row r="147" spans="10:100" ht="24" customHeight="1" x14ac:dyDescent="0.25">
      <c r="J147" s="319"/>
      <c r="K147" s="876"/>
      <c r="L147" s="877"/>
      <c r="M147" s="877"/>
      <c r="N147" s="877"/>
      <c r="O147" s="877"/>
      <c r="P147" s="877"/>
      <c r="Q147" s="877"/>
      <c r="R147" s="877"/>
      <c r="S147" s="877"/>
      <c r="T147" s="877"/>
      <c r="U147" s="877"/>
      <c r="V147" s="878"/>
      <c r="W147" s="885"/>
      <c r="AC147" s="319"/>
      <c r="AD147" s="876"/>
      <c r="AE147" s="877"/>
      <c r="AF147" s="877"/>
      <c r="AG147" s="877"/>
      <c r="AH147" s="877"/>
      <c r="AI147" s="877"/>
      <c r="AJ147" s="877"/>
      <c r="AK147" s="877"/>
      <c r="AL147" s="877"/>
      <c r="AM147" s="877"/>
      <c r="AN147" s="877"/>
      <c r="AO147" s="878"/>
      <c r="AP147" s="885"/>
      <c r="AV147" s="319"/>
      <c r="AW147" s="876"/>
      <c r="AX147" s="877"/>
      <c r="AY147" s="877"/>
      <c r="AZ147" s="877"/>
      <c r="BA147" s="877"/>
      <c r="BB147" s="877"/>
      <c r="BC147" s="877"/>
      <c r="BD147" s="877"/>
      <c r="BE147" s="877"/>
      <c r="BF147" s="877"/>
      <c r="BG147" s="877"/>
      <c r="BH147" s="878"/>
      <c r="BI147" s="885"/>
      <c r="BO147" s="319"/>
      <c r="BP147" s="876"/>
      <c r="BQ147" s="877"/>
      <c r="BR147" s="877"/>
      <c r="BS147" s="877"/>
      <c r="BT147" s="877"/>
      <c r="BU147" s="877"/>
      <c r="BV147" s="877"/>
      <c r="BW147" s="877"/>
      <c r="BX147" s="877"/>
      <c r="BY147" s="877"/>
      <c r="BZ147" s="877"/>
      <c r="CA147" s="878"/>
      <c r="CB147" s="885"/>
      <c r="CI147" s="319"/>
      <c r="CJ147" s="876"/>
      <c r="CK147" s="877"/>
      <c r="CL147" s="877"/>
      <c r="CM147" s="877"/>
      <c r="CN147" s="877"/>
      <c r="CO147" s="877"/>
      <c r="CP147" s="877"/>
      <c r="CQ147" s="877"/>
      <c r="CR147" s="877"/>
      <c r="CS147" s="877"/>
      <c r="CT147" s="877"/>
      <c r="CU147" s="878"/>
      <c r="CV147" s="885"/>
    </row>
    <row r="148" spans="10:100" ht="24" customHeight="1" x14ac:dyDescent="0.25">
      <c r="J148" s="319"/>
      <c r="K148" s="876"/>
      <c r="L148" s="877"/>
      <c r="M148" s="877"/>
      <c r="N148" s="877"/>
      <c r="O148" s="877"/>
      <c r="P148" s="877"/>
      <c r="Q148" s="877"/>
      <c r="R148" s="877"/>
      <c r="S148" s="877"/>
      <c r="T148" s="877"/>
      <c r="U148" s="877"/>
      <c r="V148" s="878"/>
      <c r="W148" s="885"/>
      <c r="AC148" s="319"/>
      <c r="AD148" s="876"/>
      <c r="AE148" s="877"/>
      <c r="AF148" s="877"/>
      <c r="AG148" s="877"/>
      <c r="AH148" s="877"/>
      <c r="AI148" s="877"/>
      <c r="AJ148" s="877"/>
      <c r="AK148" s="877"/>
      <c r="AL148" s="877"/>
      <c r="AM148" s="877"/>
      <c r="AN148" s="877"/>
      <c r="AO148" s="878"/>
      <c r="AP148" s="885"/>
      <c r="AV148" s="319"/>
      <c r="AW148" s="876"/>
      <c r="AX148" s="877"/>
      <c r="AY148" s="877"/>
      <c r="AZ148" s="877"/>
      <c r="BA148" s="877"/>
      <c r="BB148" s="877"/>
      <c r="BC148" s="877"/>
      <c r="BD148" s="877"/>
      <c r="BE148" s="877"/>
      <c r="BF148" s="877"/>
      <c r="BG148" s="877"/>
      <c r="BH148" s="878"/>
      <c r="BI148" s="885"/>
      <c r="BO148" s="319"/>
      <c r="BP148" s="876"/>
      <c r="BQ148" s="877"/>
      <c r="BR148" s="877"/>
      <c r="BS148" s="877"/>
      <c r="BT148" s="877"/>
      <c r="BU148" s="877"/>
      <c r="BV148" s="877"/>
      <c r="BW148" s="877"/>
      <c r="BX148" s="877"/>
      <c r="BY148" s="877"/>
      <c r="BZ148" s="877"/>
      <c r="CA148" s="878"/>
      <c r="CB148" s="885"/>
      <c r="CI148" s="319"/>
      <c r="CJ148" s="876"/>
      <c r="CK148" s="877"/>
      <c r="CL148" s="877"/>
      <c r="CM148" s="877"/>
      <c r="CN148" s="877"/>
      <c r="CO148" s="877"/>
      <c r="CP148" s="877"/>
      <c r="CQ148" s="877"/>
      <c r="CR148" s="877"/>
      <c r="CS148" s="877"/>
      <c r="CT148" s="877"/>
      <c r="CU148" s="878"/>
      <c r="CV148" s="885"/>
    </row>
    <row r="149" spans="10:100" ht="24" customHeight="1" x14ac:dyDescent="0.25">
      <c r="J149" s="319"/>
      <c r="K149" s="876"/>
      <c r="L149" s="877"/>
      <c r="M149" s="877"/>
      <c r="N149" s="877"/>
      <c r="O149" s="877"/>
      <c r="P149" s="877"/>
      <c r="Q149" s="877"/>
      <c r="R149" s="877"/>
      <c r="S149" s="877"/>
      <c r="T149" s="877"/>
      <c r="U149" s="877"/>
      <c r="V149" s="878"/>
      <c r="W149" s="885"/>
      <c r="AC149" s="319"/>
      <c r="AD149" s="876"/>
      <c r="AE149" s="877"/>
      <c r="AF149" s="877"/>
      <c r="AG149" s="877"/>
      <c r="AH149" s="877"/>
      <c r="AI149" s="877"/>
      <c r="AJ149" s="877"/>
      <c r="AK149" s="877"/>
      <c r="AL149" s="877"/>
      <c r="AM149" s="877"/>
      <c r="AN149" s="877"/>
      <c r="AO149" s="878"/>
      <c r="AP149" s="885"/>
      <c r="AV149" s="319"/>
      <c r="AW149" s="876"/>
      <c r="AX149" s="877"/>
      <c r="AY149" s="877"/>
      <c r="AZ149" s="877"/>
      <c r="BA149" s="877"/>
      <c r="BB149" s="877"/>
      <c r="BC149" s="877"/>
      <c r="BD149" s="877"/>
      <c r="BE149" s="877"/>
      <c r="BF149" s="877"/>
      <c r="BG149" s="877"/>
      <c r="BH149" s="878"/>
      <c r="BI149" s="885"/>
      <c r="BO149" s="319"/>
      <c r="BP149" s="876"/>
      <c r="BQ149" s="877"/>
      <c r="BR149" s="877"/>
      <c r="BS149" s="877"/>
      <c r="BT149" s="877"/>
      <c r="BU149" s="877"/>
      <c r="BV149" s="877"/>
      <c r="BW149" s="877"/>
      <c r="BX149" s="877"/>
      <c r="BY149" s="877"/>
      <c r="BZ149" s="877"/>
      <c r="CA149" s="878"/>
      <c r="CB149" s="885"/>
      <c r="CI149" s="319"/>
      <c r="CJ149" s="876"/>
      <c r="CK149" s="877"/>
      <c r="CL149" s="877"/>
      <c r="CM149" s="877"/>
      <c r="CN149" s="877"/>
      <c r="CO149" s="877"/>
      <c r="CP149" s="877"/>
      <c r="CQ149" s="877"/>
      <c r="CR149" s="877"/>
      <c r="CS149" s="877"/>
      <c r="CT149" s="877"/>
      <c r="CU149" s="878"/>
      <c r="CV149" s="885"/>
    </row>
    <row r="150" spans="10:100" ht="24" customHeight="1" x14ac:dyDescent="0.25">
      <c r="J150" s="319"/>
      <c r="K150" s="876"/>
      <c r="L150" s="877"/>
      <c r="M150" s="877"/>
      <c r="N150" s="877"/>
      <c r="O150" s="877"/>
      <c r="P150" s="877"/>
      <c r="Q150" s="877"/>
      <c r="R150" s="877"/>
      <c r="S150" s="877"/>
      <c r="T150" s="877"/>
      <c r="U150" s="877"/>
      <c r="V150" s="878"/>
      <c r="W150" s="885"/>
      <c r="AC150" s="319"/>
      <c r="AD150" s="876"/>
      <c r="AE150" s="877"/>
      <c r="AF150" s="877"/>
      <c r="AG150" s="877"/>
      <c r="AH150" s="877"/>
      <c r="AI150" s="877"/>
      <c r="AJ150" s="877"/>
      <c r="AK150" s="877"/>
      <c r="AL150" s="877"/>
      <c r="AM150" s="877"/>
      <c r="AN150" s="877"/>
      <c r="AO150" s="878"/>
      <c r="AP150" s="885"/>
      <c r="AV150" s="319"/>
      <c r="AW150" s="876"/>
      <c r="AX150" s="877"/>
      <c r="AY150" s="877"/>
      <c r="AZ150" s="877"/>
      <c r="BA150" s="877"/>
      <c r="BB150" s="877"/>
      <c r="BC150" s="877"/>
      <c r="BD150" s="877"/>
      <c r="BE150" s="877"/>
      <c r="BF150" s="877"/>
      <c r="BG150" s="877"/>
      <c r="BH150" s="878"/>
      <c r="BI150" s="885"/>
      <c r="BO150" s="319"/>
      <c r="BP150" s="876"/>
      <c r="BQ150" s="877"/>
      <c r="BR150" s="877"/>
      <c r="BS150" s="877"/>
      <c r="BT150" s="877"/>
      <c r="BU150" s="877"/>
      <c r="BV150" s="877"/>
      <c r="BW150" s="877"/>
      <c r="BX150" s="877"/>
      <c r="BY150" s="877"/>
      <c r="BZ150" s="877"/>
      <c r="CA150" s="878"/>
      <c r="CB150" s="885"/>
      <c r="CI150" s="319"/>
      <c r="CJ150" s="876"/>
      <c r="CK150" s="877"/>
      <c r="CL150" s="877"/>
      <c r="CM150" s="877"/>
      <c r="CN150" s="877"/>
      <c r="CO150" s="877"/>
      <c r="CP150" s="877"/>
      <c r="CQ150" s="877"/>
      <c r="CR150" s="877"/>
      <c r="CS150" s="877"/>
      <c r="CT150" s="877"/>
      <c r="CU150" s="878"/>
      <c r="CV150" s="885"/>
    </row>
    <row r="151" spans="10:100" ht="24" customHeight="1" x14ac:dyDescent="0.25">
      <c r="J151" s="319"/>
      <c r="K151" s="876"/>
      <c r="L151" s="877"/>
      <c r="M151" s="877"/>
      <c r="N151" s="877"/>
      <c r="O151" s="877"/>
      <c r="P151" s="877"/>
      <c r="Q151" s="877"/>
      <c r="R151" s="877"/>
      <c r="S151" s="877"/>
      <c r="T151" s="877"/>
      <c r="U151" s="877"/>
      <c r="V151" s="878"/>
      <c r="W151" s="885"/>
      <c r="AC151" s="319"/>
      <c r="AD151" s="876"/>
      <c r="AE151" s="877"/>
      <c r="AF151" s="877"/>
      <c r="AG151" s="877"/>
      <c r="AH151" s="877"/>
      <c r="AI151" s="877"/>
      <c r="AJ151" s="877"/>
      <c r="AK151" s="877"/>
      <c r="AL151" s="877"/>
      <c r="AM151" s="877"/>
      <c r="AN151" s="877"/>
      <c r="AO151" s="878"/>
      <c r="AP151" s="885"/>
      <c r="AV151" s="319"/>
      <c r="AW151" s="876"/>
      <c r="AX151" s="877"/>
      <c r="AY151" s="877"/>
      <c r="AZ151" s="877"/>
      <c r="BA151" s="877"/>
      <c r="BB151" s="877"/>
      <c r="BC151" s="877"/>
      <c r="BD151" s="877"/>
      <c r="BE151" s="877"/>
      <c r="BF151" s="877"/>
      <c r="BG151" s="877"/>
      <c r="BH151" s="878"/>
      <c r="BI151" s="885"/>
      <c r="BO151" s="319"/>
      <c r="BP151" s="876"/>
      <c r="BQ151" s="877"/>
      <c r="BR151" s="877"/>
      <c r="BS151" s="877"/>
      <c r="BT151" s="877"/>
      <c r="BU151" s="877"/>
      <c r="BV151" s="877"/>
      <c r="BW151" s="877"/>
      <c r="BX151" s="877"/>
      <c r="BY151" s="877"/>
      <c r="BZ151" s="877"/>
      <c r="CA151" s="878"/>
      <c r="CB151" s="885"/>
      <c r="CI151" s="319"/>
      <c r="CJ151" s="876"/>
      <c r="CK151" s="877"/>
      <c r="CL151" s="877"/>
      <c r="CM151" s="877"/>
      <c r="CN151" s="877"/>
      <c r="CO151" s="877"/>
      <c r="CP151" s="877"/>
      <c r="CQ151" s="877"/>
      <c r="CR151" s="877"/>
      <c r="CS151" s="877"/>
      <c r="CT151" s="877"/>
      <c r="CU151" s="878"/>
      <c r="CV151" s="885"/>
    </row>
    <row r="152" spans="10:100" ht="24" customHeight="1" x14ac:dyDescent="0.25">
      <c r="J152" s="319"/>
      <c r="K152" s="876"/>
      <c r="L152" s="877"/>
      <c r="M152" s="877"/>
      <c r="N152" s="877"/>
      <c r="O152" s="877"/>
      <c r="P152" s="877"/>
      <c r="Q152" s="877"/>
      <c r="R152" s="877"/>
      <c r="S152" s="877"/>
      <c r="T152" s="877"/>
      <c r="U152" s="877"/>
      <c r="V152" s="878"/>
      <c r="W152" s="885"/>
      <c r="AC152" s="319"/>
      <c r="AD152" s="876"/>
      <c r="AE152" s="877"/>
      <c r="AF152" s="877"/>
      <c r="AG152" s="877"/>
      <c r="AH152" s="877"/>
      <c r="AI152" s="877"/>
      <c r="AJ152" s="877"/>
      <c r="AK152" s="877"/>
      <c r="AL152" s="877"/>
      <c r="AM152" s="877"/>
      <c r="AN152" s="877"/>
      <c r="AO152" s="878"/>
      <c r="AP152" s="885"/>
      <c r="AV152" s="319"/>
      <c r="AW152" s="876"/>
      <c r="AX152" s="877"/>
      <c r="AY152" s="877"/>
      <c r="AZ152" s="877"/>
      <c r="BA152" s="877"/>
      <c r="BB152" s="877"/>
      <c r="BC152" s="877"/>
      <c r="BD152" s="877"/>
      <c r="BE152" s="877"/>
      <c r="BF152" s="877"/>
      <c r="BG152" s="877"/>
      <c r="BH152" s="878"/>
      <c r="BI152" s="885"/>
      <c r="BO152" s="319"/>
      <c r="BP152" s="876"/>
      <c r="BQ152" s="877"/>
      <c r="BR152" s="877"/>
      <c r="BS152" s="877"/>
      <c r="BT152" s="877"/>
      <c r="BU152" s="877"/>
      <c r="BV152" s="877"/>
      <c r="BW152" s="877"/>
      <c r="BX152" s="877"/>
      <c r="BY152" s="877"/>
      <c r="BZ152" s="877"/>
      <c r="CA152" s="878"/>
      <c r="CB152" s="885"/>
      <c r="CI152" s="319"/>
      <c r="CJ152" s="876"/>
      <c r="CK152" s="877"/>
      <c r="CL152" s="877"/>
      <c r="CM152" s="877"/>
      <c r="CN152" s="877"/>
      <c r="CO152" s="877"/>
      <c r="CP152" s="877"/>
      <c r="CQ152" s="877"/>
      <c r="CR152" s="877"/>
      <c r="CS152" s="877"/>
      <c r="CT152" s="877"/>
      <c r="CU152" s="878"/>
      <c r="CV152" s="885"/>
    </row>
    <row r="153" spans="10:100" ht="24" customHeight="1" x14ac:dyDescent="0.25">
      <c r="J153" s="319"/>
      <c r="K153" s="876"/>
      <c r="L153" s="877"/>
      <c r="M153" s="877"/>
      <c r="N153" s="877"/>
      <c r="O153" s="877"/>
      <c r="P153" s="877"/>
      <c r="Q153" s="877"/>
      <c r="R153" s="877"/>
      <c r="S153" s="877"/>
      <c r="T153" s="877"/>
      <c r="U153" s="877"/>
      <c r="V153" s="878"/>
      <c r="W153" s="885"/>
      <c r="AC153" s="319"/>
      <c r="AD153" s="876"/>
      <c r="AE153" s="877"/>
      <c r="AF153" s="877"/>
      <c r="AG153" s="877"/>
      <c r="AH153" s="877"/>
      <c r="AI153" s="877"/>
      <c r="AJ153" s="877"/>
      <c r="AK153" s="877"/>
      <c r="AL153" s="877"/>
      <c r="AM153" s="877"/>
      <c r="AN153" s="877"/>
      <c r="AO153" s="878"/>
      <c r="AP153" s="885"/>
      <c r="AV153" s="319"/>
      <c r="AW153" s="876"/>
      <c r="AX153" s="877"/>
      <c r="AY153" s="877"/>
      <c r="AZ153" s="877"/>
      <c r="BA153" s="877"/>
      <c r="BB153" s="877"/>
      <c r="BC153" s="877"/>
      <c r="BD153" s="877"/>
      <c r="BE153" s="877"/>
      <c r="BF153" s="877"/>
      <c r="BG153" s="877"/>
      <c r="BH153" s="878"/>
      <c r="BI153" s="885"/>
      <c r="BO153" s="319"/>
      <c r="BP153" s="876"/>
      <c r="BQ153" s="877"/>
      <c r="BR153" s="877"/>
      <c r="BS153" s="877"/>
      <c r="BT153" s="877"/>
      <c r="BU153" s="877"/>
      <c r="BV153" s="877"/>
      <c r="BW153" s="877"/>
      <c r="BX153" s="877"/>
      <c r="BY153" s="877"/>
      <c r="BZ153" s="877"/>
      <c r="CA153" s="878"/>
      <c r="CB153" s="885"/>
      <c r="CI153" s="319"/>
      <c r="CJ153" s="876"/>
      <c r="CK153" s="877"/>
      <c r="CL153" s="877"/>
      <c r="CM153" s="877"/>
      <c r="CN153" s="877"/>
      <c r="CO153" s="877"/>
      <c r="CP153" s="877"/>
      <c r="CQ153" s="877"/>
      <c r="CR153" s="877"/>
      <c r="CS153" s="877"/>
      <c r="CT153" s="877"/>
      <c r="CU153" s="878"/>
      <c r="CV153" s="885"/>
    </row>
    <row r="154" spans="10:100" ht="24" customHeight="1" x14ac:dyDescent="0.25">
      <c r="J154" s="319"/>
      <c r="K154" s="876"/>
      <c r="L154" s="877"/>
      <c r="M154" s="877"/>
      <c r="N154" s="877"/>
      <c r="O154" s="877"/>
      <c r="P154" s="877"/>
      <c r="Q154" s="877"/>
      <c r="R154" s="877"/>
      <c r="S154" s="877"/>
      <c r="T154" s="877"/>
      <c r="U154" s="877"/>
      <c r="V154" s="878"/>
      <c r="W154" s="885"/>
      <c r="AC154" s="319"/>
      <c r="AD154" s="876"/>
      <c r="AE154" s="877"/>
      <c r="AF154" s="877"/>
      <c r="AG154" s="877"/>
      <c r="AH154" s="877"/>
      <c r="AI154" s="877"/>
      <c r="AJ154" s="877"/>
      <c r="AK154" s="877"/>
      <c r="AL154" s="877"/>
      <c r="AM154" s="877"/>
      <c r="AN154" s="877"/>
      <c r="AO154" s="878"/>
      <c r="AP154" s="885"/>
      <c r="AV154" s="319"/>
      <c r="AW154" s="876"/>
      <c r="AX154" s="877"/>
      <c r="AY154" s="877"/>
      <c r="AZ154" s="877"/>
      <c r="BA154" s="877"/>
      <c r="BB154" s="877"/>
      <c r="BC154" s="877"/>
      <c r="BD154" s="877"/>
      <c r="BE154" s="877"/>
      <c r="BF154" s="877"/>
      <c r="BG154" s="877"/>
      <c r="BH154" s="878"/>
      <c r="BI154" s="885"/>
      <c r="BO154" s="319"/>
      <c r="BP154" s="876"/>
      <c r="BQ154" s="877"/>
      <c r="BR154" s="877"/>
      <c r="BS154" s="877"/>
      <c r="BT154" s="877"/>
      <c r="BU154" s="877"/>
      <c r="BV154" s="877"/>
      <c r="BW154" s="877"/>
      <c r="BX154" s="877"/>
      <c r="BY154" s="877"/>
      <c r="BZ154" s="877"/>
      <c r="CA154" s="878"/>
      <c r="CB154" s="885"/>
      <c r="CI154" s="319"/>
      <c r="CJ154" s="876"/>
      <c r="CK154" s="877"/>
      <c r="CL154" s="877"/>
      <c r="CM154" s="877"/>
      <c r="CN154" s="877"/>
      <c r="CO154" s="877"/>
      <c r="CP154" s="877"/>
      <c r="CQ154" s="877"/>
      <c r="CR154" s="877"/>
      <c r="CS154" s="877"/>
      <c r="CT154" s="877"/>
      <c r="CU154" s="878"/>
      <c r="CV154" s="885"/>
    </row>
    <row r="155" spans="10:100" ht="24" customHeight="1" x14ac:dyDescent="0.25">
      <c r="J155" s="319"/>
      <c r="K155" s="876"/>
      <c r="L155" s="877"/>
      <c r="M155" s="877"/>
      <c r="N155" s="877"/>
      <c r="O155" s="877"/>
      <c r="P155" s="877"/>
      <c r="Q155" s="877"/>
      <c r="R155" s="877"/>
      <c r="S155" s="877"/>
      <c r="T155" s="877"/>
      <c r="U155" s="877"/>
      <c r="V155" s="878"/>
      <c r="W155" s="885"/>
      <c r="AC155" s="319"/>
      <c r="AD155" s="876"/>
      <c r="AE155" s="877"/>
      <c r="AF155" s="877"/>
      <c r="AG155" s="877"/>
      <c r="AH155" s="877"/>
      <c r="AI155" s="877"/>
      <c r="AJ155" s="877"/>
      <c r="AK155" s="877"/>
      <c r="AL155" s="877"/>
      <c r="AM155" s="877"/>
      <c r="AN155" s="877"/>
      <c r="AO155" s="878"/>
      <c r="AP155" s="885"/>
      <c r="AV155" s="319"/>
      <c r="AW155" s="876"/>
      <c r="AX155" s="877"/>
      <c r="AY155" s="877"/>
      <c r="AZ155" s="877"/>
      <c r="BA155" s="877"/>
      <c r="BB155" s="877"/>
      <c r="BC155" s="877"/>
      <c r="BD155" s="877"/>
      <c r="BE155" s="877"/>
      <c r="BF155" s="877"/>
      <c r="BG155" s="877"/>
      <c r="BH155" s="878"/>
      <c r="BI155" s="885"/>
      <c r="BO155" s="319"/>
      <c r="BP155" s="876"/>
      <c r="BQ155" s="877"/>
      <c r="BR155" s="877"/>
      <c r="BS155" s="877"/>
      <c r="BT155" s="877"/>
      <c r="BU155" s="877"/>
      <c r="BV155" s="877"/>
      <c r="BW155" s="877"/>
      <c r="BX155" s="877"/>
      <c r="BY155" s="877"/>
      <c r="BZ155" s="877"/>
      <c r="CA155" s="878"/>
      <c r="CB155" s="885"/>
      <c r="CI155" s="319"/>
      <c r="CJ155" s="876"/>
      <c r="CK155" s="877"/>
      <c r="CL155" s="877"/>
      <c r="CM155" s="877"/>
      <c r="CN155" s="877"/>
      <c r="CO155" s="877"/>
      <c r="CP155" s="877"/>
      <c r="CQ155" s="877"/>
      <c r="CR155" s="877"/>
      <c r="CS155" s="877"/>
      <c r="CT155" s="877"/>
      <c r="CU155" s="878"/>
      <c r="CV155" s="885"/>
    </row>
    <row r="156" spans="10:100" ht="24" customHeight="1" x14ac:dyDescent="0.25">
      <c r="J156" s="319"/>
      <c r="K156" s="876"/>
      <c r="L156" s="877"/>
      <c r="M156" s="877"/>
      <c r="N156" s="877"/>
      <c r="O156" s="877"/>
      <c r="P156" s="877"/>
      <c r="Q156" s="877"/>
      <c r="R156" s="877"/>
      <c r="S156" s="877"/>
      <c r="T156" s="877"/>
      <c r="U156" s="877"/>
      <c r="V156" s="878"/>
      <c r="W156" s="885"/>
      <c r="AC156" s="319"/>
      <c r="AD156" s="876"/>
      <c r="AE156" s="877"/>
      <c r="AF156" s="877"/>
      <c r="AG156" s="877"/>
      <c r="AH156" s="877"/>
      <c r="AI156" s="877"/>
      <c r="AJ156" s="877"/>
      <c r="AK156" s="877"/>
      <c r="AL156" s="877"/>
      <c r="AM156" s="877"/>
      <c r="AN156" s="877"/>
      <c r="AO156" s="878"/>
      <c r="AP156" s="885"/>
      <c r="AV156" s="319"/>
      <c r="AW156" s="876"/>
      <c r="AX156" s="877"/>
      <c r="AY156" s="877"/>
      <c r="AZ156" s="877"/>
      <c r="BA156" s="877"/>
      <c r="BB156" s="877"/>
      <c r="BC156" s="877"/>
      <c r="BD156" s="877"/>
      <c r="BE156" s="877"/>
      <c r="BF156" s="877"/>
      <c r="BG156" s="877"/>
      <c r="BH156" s="878"/>
      <c r="BI156" s="885"/>
      <c r="BO156" s="319"/>
      <c r="BP156" s="876"/>
      <c r="BQ156" s="877"/>
      <c r="BR156" s="877"/>
      <c r="BS156" s="877"/>
      <c r="BT156" s="877"/>
      <c r="BU156" s="877"/>
      <c r="BV156" s="877"/>
      <c r="BW156" s="877"/>
      <c r="BX156" s="877"/>
      <c r="BY156" s="877"/>
      <c r="BZ156" s="877"/>
      <c r="CA156" s="878"/>
      <c r="CB156" s="885"/>
      <c r="CI156" s="319"/>
      <c r="CJ156" s="876"/>
      <c r="CK156" s="877"/>
      <c r="CL156" s="877"/>
      <c r="CM156" s="877"/>
      <c r="CN156" s="877"/>
      <c r="CO156" s="877"/>
      <c r="CP156" s="877"/>
      <c r="CQ156" s="877"/>
      <c r="CR156" s="877"/>
      <c r="CS156" s="877"/>
      <c r="CT156" s="877"/>
      <c r="CU156" s="878"/>
      <c r="CV156" s="885"/>
    </row>
    <row r="157" spans="10:100" ht="24" customHeight="1" x14ac:dyDescent="0.25">
      <c r="J157" s="319"/>
      <c r="K157" s="876"/>
      <c r="L157" s="877"/>
      <c r="M157" s="877"/>
      <c r="N157" s="877"/>
      <c r="O157" s="877"/>
      <c r="P157" s="877"/>
      <c r="Q157" s="877"/>
      <c r="R157" s="877"/>
      <c r="S157" s="877"/>
      <c r="T157" s="877"/>
      <c r="U157" s="877"/>
      <c r="V157" s="878"/>
      <c r="W157" s="885"/>
      <c r="AC157" s="319"/>
      <c r="AD157" s="876"/>
      <c r="AE157" s="877"/>
      <c r="AF157" s="877"/>
      <c r="AG157" s="877"/>
      <c r="AH157" s="877"/>
      <c r="AI157" s="877"/>
      <c r="AJ157" s="877"/>
      <c r="AK157" s="877"/>
      <c r="AL157" s="877"/>
      <c r="AM157" s="877"/>
      <c r="AN157" s="877"/>
      <c r="AO157" s="878"/>
      <c r="AP157" s="885"/>
      <c r="AV157" s="319"/>
      <c r="AW157" s="876"/>
      <c r="AX157" s="877"/>
      <c r="AY157" s="877"/>
      <c r="AZ157" s="877"/>
      <c r="BA157" s="877"/>
      <c r="BB157" s="877"/>
      <c r="BC157" s="877"/>
      <c r="BD157" s="877"/>
      <c r="BE157" s="877"/>
      <c r="BF157" s="877"/>
      <c r="BG157" s="877"/>
      <c r="BH157" s="878"/>
      <c r="BI157" s="885"/>
      <c r="BO157" s="319"/>
      <c r="BP157" s="876"/>
      <c r="BQ157" s="877"/>
      <c r="BR157" s="877"/>
      <c r="BS157" s="877"/>
      <c r="BT157" s="877"/>
      <c r="BU157" s="877"/>
      <c r="BV157" s="877"/>
      <c r="BW157" s="877"/>
      <c r="BX157" s="877"/>
      <c r="BY157" s="877"/>
      <c r="BZ157" s="877"/>
      <c r="CA157" s="878"/>
      <c r="CB157" s="885"/>
      <c r="CI157" s="319"/>
      <c r="CJ157" s="876"/>
      <c r="CK157" s="877"/>
      <c r="CL157" s="877"/>
      <c r="CM157" s="877"/>
      <c r="CN157" s="877"/>
      <c r="CO157" s="877"/>
      <c r="CP157" s="877"/>
      <c r="CQ157" s="877"/>
      <c r="CR157" s="877"/>
      <c r="CS157" s="877"/>
      <c r="CT157" s="877"/>
      <c r="CU157" s="878"/>
      <c r="CV157" s="885"/>
    </row>
    <row r="158" spans="10:100" ht="24" customHeight="1" x14ac:dyDescent="0.25">
      <c r="J158" s="319"/>
      <c r="K158" s="876"/>
      <c r="L158" s="877"/>
      <c r="M158" s="877"/>
      <c r="N158" s="877"/>
      <c r="O158" s="877"/>
      <c r="P158" s="877"/>
      <c r="Q158" s="877"/>
      <c r="R158" s="877"/>
      <c r="S158" s="877"/>
      <c r="T158" s="877"/>
      <c r="U158" s="877"/>
      <c r="V158" s="878"/>
      <c r="W158" s="885"/>
      <c r="AC158" s="319"/>
      <c r="AD158" s="876"/>
      <c r="AE158" s="877"/>
      <c r="AF158" s="877"/>
      <c r="AG158" s="877"/>
      <c r="AH158" s="877"/>
      <c r="AI158" s="877"/>
      <c r="AJ158" s="877"/>
      <c r="AK158" s="877"/>
      <c r="AL158" s="877"/>
      <c r="AM158" s="877"/>
      <c r="AN158" s="877"/>
      <c r="AO158" s="878"/>
      <c r="AP158" s="885"/>
      <c r="AV158" s="319"/>
      <c r="AW158" s="876"/>
      <c r="AX158" s="877"/>
      <c r="AY158" s="877"/>
      <c r="AZ158" s="877"/>
      <c r="BA158" s="877"/>
      <c r="BB158" s="877"/>
      <c r="BC158" s="877"/>
      <c r="BD158" s="877"/>
      <c r="BE158" s="877"/>
      <c r="BF158" s="877"/>
      <c r="BG158" s="877"/>
      <c r="BH158" s="878"/>
      <c r="BI158" s="885"/>
      <c r="BO158" s="319"/>
      <c r="BP158" s="876"/>
      <c r="BQ158" s="877"/>
      <c r="BR158" s="877"/>
      <c r="BS158" s="877"/>
      <c r="BT158" s="877"/>
      <c r="BU158" s="877"/>
      <c r="BV158" s="877"/>
      <c r="BW158" s="877"/>
      <c r="BX158" s="877"/>
      <c r="BY158" s="877"/>
      <c r="BZ158" s="877"/>
      <c r="CA158" s="878"/>
      <c r="CB158" s="885"/>
      <c r="CI158" s="319"/>
      <c r="CJ158" s="876"/>
      <c r="CK158" s="877"/>
      <c r="CL158" s="877"/>
      <c r="CM158" s="877"/>
      <c r="CN158" s="877"/>
      <c r="CO158" s="877"/>
      <c r="CP158" s="877"/>
      <c r="CQ158" s="877"/>
      <c r="CR158" s="877"/>
      <c r="CS158" s="877"/>
      <c r="CT158" s="877"/>
      <c r="CU158" s="878"/>
      <c r="CV158" s="885"/>
    </row>
    <row r="159" spans="10:100" ht="24" customHeight="1" x14ac:dyDescent="0.25">
      <c r="J159" s="319"/>
      <c r="K159" s="876"/>
      <c r="L159" s="877"/>
      <c r="M159" s="877"/>
      <c r="N159" s="877"/>
      <c r="O159" s="877"/>
      <c r="P159" s="877"/>
      <c r="Q159" s="877"/>
      <c r="R159" s="877"/>
      <c r="S159" s="877"/>
      <c r="T159" s="877"/>
      <c r="U159" s="877"/>
      <c r="V159" s="878"/>
      <c r="W159" s="885"/>
      <c r="AC159" s="319"/>
      <c r="AD159" s="876"/>
      <c r="AE159" s="877"/>
      <c r="AF159" s="877"/>
      <c r="AG159" s="877"/>
      <c r="AH159" s="877"/>
      <c r="AI159" s="877"/>
      <c r="AJ159" s="877"/>
      <c r="AK159" s="877"/>
      <c r="AL159" s="877"/>
      <c r="AM159" s="877"/>
      <c r="AN159" s="877"/>
      <c r="AO159" s="878"/>
      <c r="AP159" s="885"/>
      <c r="AV159" s="319"/>
      <c r="AW159" s="876"/>
      <c r="AX159" s="877"/>
      <c r="AY159" s="877"/>
      <c r="AZ159" s="877"/>
      <c r="BA159" s="877"/>
      <c r="BB159" s="877"/>
      <c r="BC159" s="877"/>
      <c r="BD159" s="877"/>
      <c r="BE159" s="877"/>
      <c r="BF159" s="877"/>
      <c r="BG159" s="877"/>
      <c r="BH159" s="878"/>
      <c r="BI159" s="885"/>
      <c r="BO159" s="319"/>
      <c r="BP159" s="876"/>
      <c r="BQ159" s="877"/>
      <c r="BR159" s="877"/>
      <c r="BS159" s="877"/>
      <c r="BT159" s="877"/>
      <c r="BU159" s="877"/>
      <c r="BV159" s="877"/>
      <c r="BW159" s="877"/>
      <c r="BX159" s="877"/>
      <c r="BY159" s="877"/>
      <c r="BZ159" s="877"/>
      <c r="CA159" s="878"/>
      <c r="CB159" s="885"/>
      <c r="CI159" s="319"/>
      <c r="CJ159" s="876"/>
      <c r="CK159" s="877"/>
      <c r="CL159" s="877"/>
      <c r="CM159" s="877"/>
      <c r="CN159" s="877"/>
      <c r="CO159" s="877"/>
      <c r="CP159" s="877"/>
      <c r="CQ159" s="877"/>
      <c r="CR159" s="877"/>
      <c r="CS159" s="877"/>
      <c r="CT159" s="877"/>
      <c r="CU159" s="878"/>
      <c r="CV159" s="885"/>
    </row>
    <row r="160" spans="10:100" ht="24" customHeight="1" x14ac:dyDescent="0.25">
      <c r="J160" s="319"/>
      <c r="K160" s="876"/>
      <c r="L160" s="877"/>
      <c r="M160" s="877"/>
      <c r="N160" s="877"/>
      <c r="O160" s="877"/>
      <c r="P160" s="877"/>
      <c r="Q160" s="877"/>
      <c r="R160" s="877"/>
      <c r="S160" s="877"/>
      <c r="T160" s="877"/>
      <c r="U160" s="877"/>
      <c r="V160" s="878"/>
      <c r="W160" s="885"/>
      <c r="AC160" s="319"/>
      <c r="AD160" s="876"/>
      <c r="AE160" s="877"/>
      <c r="AF160" s="877"/>
      <c r="AG160" s="877"/>
      <c r="AH160" s="877"/>
      <c r="AI160" s="877"/>
      <c r="AJ160" s="877"/>
      <c r="AK160" s="877"/>
      <c r="AL160" s="877"/>
      <c r="AM160" s="877"/>
      <c r="AN160" s="877"/>
      <c r="AO160" s="878"/>
      <c r="AP160" s="885"/>
      <c r="AV160" s="319"/>
      <c r="AW160" s="876"/>
      <c r="AX160" s="877"/>
      <c r="AY160" s="877"/>
      <c r="AZ160" s="877"/>
      <c r="BA160" s="877"/>
      <c r="BB160" s="877"/>
      <c r="BC160" s="877"/>
      <c r="BD160" s="877"/>
      <c r="BE160" s="877"/>
      <c r="BF160" s="877"/>
      <c r="BG160" s="877"/>
      <c r="BH160" s="878"/>
      <c r="BI160" s="885"/>
      <c r="BO160" s="319"/>
      <c r="BP160" s="876"/>
      <c r="BQ160" s="877"/>
      <c r="BR160" s="877"/>
      <c r="BS160" s="877"/>
      <c r="BT160" s="877"/>
      <c r="BU160" s="877"/>
      <c r="BV160" s="877"/>
      <c r="BW160" s="877"/>
      <c r="BX160" s="877"/>
      <c r="BY160" s="877"/>
      <c r="BZ160" s="877"/>
      <c r="CA160" s="878"/>
      <c r="CB160" s="885"/>
      <c r="CI160" s="319"/>
      <c r="CJ160" s="876"/>
      <c r="CK160" s="877"/>
      <c r="CL160" s="877"/>
      <c r="CM160" s="877"/>
      <c r="CN160" s="877"/>
      <c r="CO160" s="877"/>
      <c r="CP160" s="877"/>
      <c r="CQ160" s="877"/>
      <c r="CR160" s="877"/>
      <c r="CS160" s="877"/>
      <c r="CT160" s="877"/>
      <c r="CU160" s="878"/>
      <c r="CV160" s="885"/>
    </row>
    <row r="161" spans="10:100" ht="24" customHeight="1" x14ac:dyDescent="0.25">
      <c r="J161" s="319"/>
      <c r="K161" s="876"/>
      <c r="L161" s="877"/>
      <c r="M161" s="877"/>
      <c r="N161" s="877"/>
      <c r="O161" s="877"/>
      <c r="P161" s="877"/>
      <c r="Q161" s="877"/>
      <c r="R161" s="877"/>
      <c r="S161" s="877"/>
      <c r="T161" s="877"/>
      <c r="U161" s="877"/>
      <c r="V161" s="878"/>
      <c r="W161" s="885"/>
      <c r="AC161" s="319"/>
      <c r="AD161" s="876"/>
      <c r="AE161" s="877"/>
      <c r="AF161" s="877"/>
      <c r="AG161" s="877"/>
      <c r="AH161" s="877"/>
      <c r="AI161" s="877"/>
      <c r="AJ161" s="877"/>
      <c r="AK161" s="877"/>
      <c r="AL161" s="877"/>
      <c r="AM161" s="877"/>
      <c r="AN161" s="877"/>
      <c r="AO161" s="878"/>
      <c r="AP161" s="885"/>
      <c r="AV161" s="319"/>
      <c r="AW161" s="876"/>
      <c r="AX161" s="877"/>
      <c r="AY161" s="877"/>
      <c r="AZ161" s="877"/>
      <c r="BA161" s="877"/>
      <c r="BB161" s="877"/>
      <c r="BC161" s="877"/>
      <c r="BD161" s="877"/>
      <c r="BE161" s="877"/>
      <c r="BF161" s="877"/>
      <c r="BG161" s="877"/>
      <c r="BH161" s="878"/>
      <c r="BI161" s="885"/>
      <c r="BO161" s="319"/>
      <c r="BP161" s="876"/>
      <c r="BQ161" s="877"/>
      <c r="BR161" s="877"/>
      <c r="BS161" s="877"/>
      <c r="BT161" s="877"/>
      <c r="BU161" s="877"/>
      <c r="BV161" s="877"/>
      <c r="BW161" s="877"/>
      <c r="BX161" s="877"/>
      <c r="BY161" s="877"/>
      <c r="BZ161" s="877"/>
      <c r="CA161" s="878"/>
      <c r="CB161" s="885"/>
      <c r="CI161" s="319"/>
      <c r="CJ161" s="876"/>
      <c r="CK161" s="877"/>
      <c r="CL161" s="877"/>
      <c r="CM161" s="877"/>
      <c r="CN161" s="877"/>
      <c r="CO161" s="877"/>
      <c r="CP161" s="877"/>
      <c r="CQ161" s="877"/>
      <c r="CR161" s="877"/>
      <c r="CS161" s="877"/>
      <c r="CT161" s="877"/>
      <c r="CU161" s="878"/>
      <c r="CV161" s="885"/>
    </row>
    <row r="162" spans="10:100" ht="24" customHeight="1" x14ac:dyDescent="0.25">
      <c r="J162" s="319"/>
      <c r="K162" s="876"/>
      <c r="L162" s="877"/>
      <c r="M162" s="877"/>
      <c r="N162" s="877"/>
      <c r="O162" s="877"/>
      <c r="P162" s="877"/>
      <c r="Q162" s="877"/>
      <c r="R162" s="877"/>
      <c r="S162" s="877"/>
      <c r="T162" s="877"/>
      <c r="U162" s="877"/>
      <c r="V162" s="878"/>
      <c r="W162" s="885"/>
      <c r="AC162" s="319"/>
      <c r="AD162" s="876"/>
      <c r="AE162" s="877"/>
      <c r="AF162" s="877"/>
      <c r="AG162" s="877"/>
      <c r="AH162" s="877"/>
      <c r="AI162" s="877"/>
      <c r="AJ162" s="877"/>
      <c r="AK162" s="877"/>
      <c r="AL162" s="877"/>
      <c r="AM162" s="877"/>
      <c r="AN162" s="877"/>
      <c r="AO162" s="878"/>
      <c r="AP162" s="885"/>
      <c r="AV162" s="319"/>
      <c r="AW162" s="876"/>
      <c r="AX162" s="877"/>
      <c r="AY162" s="877"/>
      <c r="AZ162" s="877"/>
      <c r="BA162" s="877"/>
      <c r="BB162" s="877"/>
      <c r="BC162" s="877"/>
      <c r="BD162" s="877"/>
      <c r="BE162" s="877"/>
      <c r="BF162" s="877"/>
      <c r="BG162" s="877"/>
      <c r="BH162" s="878"/>
      <c r="BI162" s="885"/>
      <c r="BO162" s="319"/>
      <c r="BP162" s="876"/>
      <c r="BQ162" s="877"/>
      <c r="BR162" s="877"/>
      <c r="BS162" s="877"/>
      <c r="BT162" s="877"/>
      <c r="BU162" s="877"/>
      <c r="BV162" s="877"/>
      <c r="BW162" s="877"/>
      <c r="BX162" s="877"/>
      <c r="BY162" s="877"/>
      <c r="BZ162" s="877"/>
      <c r="CA162" s="878"/>
      <c r="CB162" s="885"/>
      <c r="CI162" s="319"/>
      <c r="CJ162" s="876"/>
      <c r="CK162" s="877"/>
      <c r="CL162" s="877"/>
      <c r="CM162" s="877"/>
      <c r="CN162" s="877"/>
      <c r="CO162" s="877"/>
      <c r="CP162" s="877"/>
      <c r="CQ162" s="877"/>
      <c r="CR162" s="877"/>
      <c r="CS162" s="877"/>
      <c r="CT162" s="877"/>
      <c r="CU162" s="878"/>
      <c r="CV162" s="885"/>
    </row>
    <row r="163" spans="10:100" ht="24" customHeight="1" x14ac:dyDescent="0.25">
      <c r="J163" s="319"/>
      <c r="K163" s="876"/>
      <c r="L163" s="877"/>
      <c r="M163" s="877"/>
      <c r="N163" s="877"/>
      <c r="O163" s="877"/>
      <c r="P163" s="877"/>
      <c r="Q163" s="877"/>
      <c r="R163" s="877"/>
      <c r="S163" s="877"/>
      <c r="T163" s="877"/>
      <c r="U163" s="877"/>
      <c r="V163" s="878"/>
      <c r="W163" s="885"/>
      <c r="AC163" s="319"/>
      <c r="AD163" s="876"/>
      <c r="AE163" s="877"/>
      <c r="AF163" s="877"/>
      <c r="AG163" s="877"/>
      <c r="AH163" s="877"/>
      <c r="AI163" s="877"/>
      <c r="AJ163" s="877"/>
      <c r="AK163" s="877"/>
      <c r="AL163" s="877"/>
      <c r="AM163" s="877"/>
      <c r="AN163" s="877"/>
      <c r="AO163" s="878"/>
      <c r="AP163" s="885"/>
      <c r="AV163" s="319"/>
      <c r="AW163" s="876"/>
      <c r="AX163" s="877"/>
      <c r="AY163" s="877"/>
      <c r="AZ163" s="877"/>
      <c r="BA163" s="877"/>
      <c r="BB163" s="877"/>
      <c r="BC163" s="877"/>
      <c r="BD163" s="877"/>
      <c r="BE163" s="877"/>
      <c r="BF163" s="877"/>
      <c r="BG163" s="877"/>
      <c r="BH163" s="878"/>
      <c r="BI163" s="885"/>
      <c r="BO163" s="319"/>
      <c r="BP163" s="876"/>
      <c r="BQ163" s="877"/>
      <c r="BR163" s="877"/>
      <c r="BS163" s="877"/>
      <c r="BT163" s="877"/>
      <c r="BU163" s="877"/>
      <c r="BV163" s="877"/>
      <c r="BW163" s="877"/>
      <c r="BX163" s="877"/>
      <c r="BY163" s="877"/>
      <c r="BZ163" s="877"/>
      <c r="CA163" s="878"/>
      <c r="CB163" s="885"/>
      <c r="CI163" s="319"/>
      <c r="CJ163" s="876"/>
      <c r="CK163" s="877"/>
      <c r="CL163" s="877"/>
      <c r="CM163" s="877"/>
      <c r="CN163" s="877"/>
      <c r="CO163" s="877"/>
      <c r="CP163" s="877"/>
      <c r="CQ163" s="877"/>
      <c r="CR163" s="877"/>
      <c r="CS163" s="877"/>
      <c r="CT163" s="877"/>
      <c r="CU163" s="878"/>
      <c r="CV163" s="885"/>
    </row>
    <row r="164" spans="10:100" ht="24" customHeight="1" x14ac:dyDescent="0.25">
      <c r="J164" s="319"/>
      <c r="K164" s="876"/>
      <c r="L164" s="877"/>
      <c r="M164" s="877"/>
      <c r="N164" s="877"/>
      <c r="O164" s="877"/>
      <c r="P164" s="877"/>
      <c r="Q164" s="877"/>
      <c r="R164" s="877"/>
      <c r="S164" s="877"/>
      <c r="T164" s="877"/>
      <c r="U164" s="877"/>
      <c r="V164" s="878"/>
      <c r="W164" s="885"/>
      <c r="AC164" s="319"/>
      <c r="AD164" s="876"/>
      <c r="AE164" s="877"/>
      <c r="AF164" s="877"/>
      <c r="AG164" s="877"/>
      <c r="AH164" s="877"/>
      <c r="AI164" s="877"/>
      <c r="AJ164" s="877"/>
      <c r="AK164" s="877"/>
      <c r="AL164" s="877"/>
      <c r="AM164" s="877"/>
      <c r="AN164" s="877"/>
      <c r="AO164" s="878"/>
      <c r="AP164" s="885"/>
      <c r="AV164" s="319"/>
      <c r="AW164" s="876"/>
      <c r="AX164" s="877"/>
      <c r="AY164" s="877"/>
      <c r="AZ164" s="877"/>
      <c r="BA164" s="877"/>
      <c r="BB164" s="877"/>
      <c r="BC164" s="877"/>
      <c r="BD164" s="877"/>
      <c r="BE164" s="877"/>
      <c r="BF164" s="877"/>
      <c r="BG164" s="877"/>
      <c r="BH164" s="878"/>
      <c r="BI164" s="885"/>
      <c r="BO164" s="319"/>
      <c r="BP164" s="876"/>
      <c r="BQ164" s="877"/>
      <c r="BR164" s="877"/>
      <c r="BS164" s="877"/>
      <c r="BT164" s="877"/>
      <c r="BU164" s="877"/>
      <c r="BV164" s="877"/>
      <c r="BW164" s="877"/>
      <c r="BX164" s="877"/>
      <c r="BY164" s="877"/>
      <c r="BZ164" s="877"/>
      <c r="CA164" s="878"/>
      <c r="CB164" s="885"/>
      <c r="CI164" s="319"/>
      <c r="CJ164" s="876"/>
      <c r="CK164" s="877"/>
      <c r="CL164" s="877"/>
      <c r="CM164" s="877"/>
      <c r="CN164" s="877"/>
      <c r="CO164" s="877"/>
      <c r="CP164" s="877"/>
      <c r="CQ164" s="877"/>
      <c r="CR164" s="877"/>
      <c r="CS164" s="877"/>
      <c r="CT164" s="877"/>
      <c r="CU164" s="878"/>
      <c r="CV164" s="885"/>
    </row>
    <row r="165" spans="10:100" ht="24" customHeight="1" x14ac:dyDescent="0.25">
      <c r="J165" s="319"/>
      <c r="K165" s="876"/>
      <c r="L165" s="877"/>
      <c r="M165" s="877"/>
      <c r="N165" s="877"/>
      <c r="O165" s="877"/>
      <c r="P165" s="877"/>
      <c r="Q165" s="877"/>
      <c r="R165" s="877"/>
      <c r="S165" s="877"/>
      <c r="T165" s="877"/>
      <c r="U165" s="877"/>
      <c r="V165" s="878"/>
      <c r="W165" s="885"/>
      <c r="AC165" s="319"/>
      <c r="AD165" s="876"/>
      <c r="AE165" s="877"/>
      <c r="AF165" s="877"/>
      <c r="AG165" s="877"/>
      <c r="AH165" s="877"/>
      <c r="AI165" s="877"/>
      <c r="AJ165" s="877"/>
      <c r="AK165" s="877"/>
      <c r="AL165" s="877"/>
      <c r="AM165" s="877"/>
      <c r="AN165" s="877"/>
      <c r="AO165" s="878"/>
      <c r="AP165" s="885"/>
      <c r="AV165" s="319"/>
      <c r="AW165" s="876"/>
      <c r="AX165" s="877"/>
      <c r="AY165" s="877"/>
      <c r="AZ165" s="877"/>
      <c r="BA165" s="877"/>
      <c r="BB165" s="877"/>
      <c r="BC165" s="877"/>
      <c r="BD165" s="877"/>
      <c r="BE165" s="877"/>
      <c r="BF165" s="877"/>
      <c r="BG165" s="877"/>
      <c r="BH165" s="878"/>
      <c r="BI165" s="885"/>
      <c r="BO165" s="319"/>
      <c r="BP165" s="876"/>
      <c r="BQ165" s="877"/>
      <c r="BR165" s="877"/>
      <c r="BS165" s="877"/>
      <c r="BT165" s="877"/>
      <c r="BU165" s="877"/>
      <c r="BV165" s="877"/>
      <c r="BW165" s="877"/>
      <c r="BX165" s="877"/>
      <c r="BY165" s="877"/>
      <c r="BZ165" s="877"/>
      <c r="CA165" s="878"/>
      <c r="CB165" s="885"/>
      <c r="CI165" s="319"/>
      <c r="CJ165" s="876"/>
      <c r="CK165" s="877"/>
      <c r="CL165" s="877"/>
      <c r="CM165" s="877"/>
      <c r="CN165" s="877"/>
      <c r="CO165" s="877"/>
      <c r="CP165" s="877"/>
      <c r="CQ165" s="877"/>
      <c r="CR165" s="877"/>
      <c r="CS165" s="877"/>
      <c r="CT165" s="877"/>
      <c r="CU165" s="878"/>
      <c r="CV165" s="885"/>
    </row>
    <row r="166" spans="10:100" ht="24" customHeight="1" x14ac:dyDescent="0.25">
      <c r="J166" s="319"/>
      <c r="K166" s="876"/>
      <c r="L166" s="877"/>
      <c r="M166" s="877"/>
      <c r="N166" s="877"/>
      <c r="O166" s="877"/>
      <c r="P166" s="877"/>
      <c r="Q166" s="877"/>
      <c r="R166" s="877"/>
      <c r="S166" s="877"/>
      <c r="T166" s="877"/>
      <c r="U166" s="877"/>
      <c r="V166" s="878"/>
      <c r="W166" s="356"/>
      <c r="AC166" s="319"/>
      <c r="AD166" s="876"/>
      <c r="AE166" s="877"/>
      <c r="AF166" s="877"/>
      <c r="AG166" s="877"/>
      <c r="AH166" s="877"/>
      <c r="AI166" s="877"/>
      <c r="AJ166" s="877"/>
      <c r="AK166" s="877"/>
      <c r="AL166" s="877"/>
      <c r="AM166" s="877"/>
      <c r="AN166" s="877"/>
      <c r="AO166" s="878"/>
      <c r="AP166" s="356"/>
      <c r="AV166" s="319"/>
      <c r="AW166" s="876"/>
      <c r="AX166" s="877"/>
      <c r="AY166" s="877"/>
      <c r="AZ166" s="877"/>
      <c r="BA166" s="877"/>
      <c r="BB166" s="877"/>
      <c r="BC166" s="877"/>
      <c r="BD166" s="877"/>
      <c r="BE166" s="877"/>
      <c r="BF166" s="877"/>
      <c r="BG166" s="877"/>
      <c r="BH166" s="878"/>
      <c r="BI166" s="356"/>
      <c r="BO166" s="319"/>
      <c r="BP166" s="876"/>
      <c r="BQ166" s="877"/>
      <c r="BR166" s="877"/>
      <c r="BS166" s="877"/>
      <c r="BT166" s="877"/>
      <c r="BU166" s="877"/>
      <c r="BV166" s="877"/>
      <c r="BW166" s="877"/>
      <c r="BX166" s="877"/>
      <c r="BY166" s="877"/>
      <c r="BZ166" s="877"/>
      <c r="CA166" s="878"/>
      <c r="CB166" s="356"/>
      <c r="CI166" s="319"/>
      <c r="CJ166" s="876"/>
      <c r="CK166" s="877"/>
      <c r="CL166" s="877"/>
      <c r="CM166" s="877"/>
      <c r="CN166" s="877"/>
      <c r="CO166" s="877"/>
      <c r="CP166" s="877"/>
      <c r="CQ166" s="877"/>
      <c r="CR166" s="877"/>
      <c r="CS166" s="877"/>
      <c r="CT166" s="877"/>
      <c r="CU166" s="878"/>
      <c r="CV166" s="356"/>
    </row>
    <row r="167" spans="10:100" ht="24" customHeight="1" x14ac:dyDescent="0.25">
      <c r="J167" s="319"/>
      <c r="K167" s="879"/>
      <c r="L167" s="880"/>
      <c r="M167" s="880"/>
      <c r="N167" s="880"/>
      <c r="O167" s="880"/>
      <c r="P167" s="880"/>
      <c r="Q167" s="880"/>
      <c r="R167" s="880"/>
      <c r="S167" s="880"/>
      <c r="T167" s="880"/>
      <c r="U167" s="880"/>
      <c r="V167" s="881"/>
      <c r="W167" s="357"/>
      <c r="AC167" s="319"/>
      <c r="AD167" s="879"/>
      <c r="AE167" s="880"/>
      <c r="AF167" s="880"/>
      <c r="AG167" s="880"/>
      <c r="AH167" s="880"/>
      <c r="AI167" s="880"/>
      <c r="AJ167" s="880"/>
      <c r="AK167" s="880"/>
      <c r="AL167" s="880"/>
      <c r="AM167" s="880"/>
      <c r="AN167" s="880"/>
      <c r="AO167" s="881"/>
      <c r="AP167" s="357"/>
      <c r="AV167" s="319"/>
      <c r="AW167" s="879"/>
      <c r="AX167" s="880"/>
      <c r="AY167" s="880"/>
      <c r="AZ167" s="880"/>
      <c r="BA167" s="880"/>
      <c r="BB167" s="880"/>
      <c r="BC167" s="880"/>
      <c r="BD167" s="880"/>
      <c r="BE167" s="880"/>
      <c r="BF167" s="880"/>
      <c r="BG167" s="880"/>
      <c r="BH167" s="881"/>
      <c r="BI167" s="357"/>
      <c r="BO167" s="319"/>
      <c r="BP167" s="879"/>
      <c r="BQ167" s="880"/>
      <c r="BR167" s="880"/>
      <c r="BS167" s="880"/>
      <c r="BT167" s="880"/>
      <c r="BU167" s="880"/>
      <c r="BV167" s="880"/>
      <c r="BW167" s="880"/>
      <c r="BX167" s="880"/>
      <c r="BY167" s="880"/>
      <c r="BZ167" s="880"/>
      <c r="CA167" s="881"/>
      <c r="CB167" s="357"/>
      <c r="CI167" s="319"/>
      <c r="CJ167" s="879"/>
      <c r="CK167" s="880"/>
      <c r="CL167" s="880"/>
      <c r="CM167" s="880"/>
      <c r="CN167" s="880"/>
      <c r="CO167" s="880"/>
      <c r="CP167" s="880"/>
      <c r="CQ167" s="880"/>
      <c r="CR167" s="880"/>
      <c r="CS167" s="880"/>
      <c r="CT167" s="880"/>
      <c r="CU167" s="881"/>
      <c r="CV167" s="357"/>
    </row>
    <row r="168" spans="10:100" ht="24" customHeight="1" x14ac:dyDescent="0.25">
      <c r="J168" s="319"/>
      <c r="K168" s="886"/>
      <c r="L168" s="886"/>
      <c r="M168" s="886"/>
      <c r="N168" s="886"/>
      <c r="O168" s="886"/>
      <c r="P168" s="886"/>
      <c r="Q168" s="886"/>
      <c r="R168" s="886"/>
      <c r="S168" s="886"/>
      <c r="T168" s="886"/>
      <c r="U168" s="886"/>
      <c r="V168" s="886"/>
      <c r="W168" s="357"/>
      <c r="AC168" s="319"/>
      <c r="AD168" s="886"/>
      <c r="AE168" s="886"/>
      <c r="AF168" s="886"/>
      <c r="AG168" s="886"/>
      <c r="AH168" s="886"/>
      <c r="AI168" s="886"/>
      <c r="AJ168" s="886"/>
      <c r="AK168" s="886"/>
      <c r="AL168" s="886"/>
      <c r="AM168" s="886"/>
      <c r="AN168" s="886"/>
      <c r="AO168" s="886"/>
      <c r="AP168" s="357"/>
      <c r="AV168" s="319"/>
      <c r="AW168" s="886"/>
      <c r="AX168" s="886"/>
      <c r="AY168" s="886"/>
      <c r="AZ168" s="886"/>
      <c r="BA168" s="886"/>
      <c r="BB168" s="886"/>
      <c r="BC168" s="886"/>
      <c r="BD168" s="886"/>
      <c r="BE168" s="886"/>
      <c r="BF168" s="886"/>
      <c r="BG168" s="886"/>
      <c r="BH168" s="886"/>
      <c r="BI168" s="357"/>
      <c r="BO168" s="319"/>
      <c r="BP168" s="886"/>
      <c r="BQ168" s="886"/>
      <c r="BR168" s="886"/>
      <c r="BS168" s="886"/>
      <c r="BT168" s="886"/>
      <c r="BU168" s="886"/>
      <c r="BV168" s="886"/>
      <c r="BW168" s="886"/>
      <c r="BX168" s="886"/>
      <c r="BY168" s="886"/>
      <c r="BZ168" s="886"/>
      <c r="CA168" s="886"/>
      <c r="CB168" s="357"/>
      <c r="CI168" s="319"/>
      <c r="CJ168" s="886"/>
      <c r="CK168" s="886"/>
      <c r="CL168" s="886"/>
      <c r="CM168" s="886"/>
      <c r="CN168" s="886"/>
      <c r="CO168" s="886"/>
      <c r="CP168" s="886"/>
      <c r="CQ168" s="886"/>
      <c r="CR168" s="886"/>
      <c r="CS168" s="886"/>
      <c r="CT168" s="886"/>
      <c r="CU168" s="886"/>
      <c r="CV168" s="357"/>
    </row>
    <row r="169" spans="10:100" ht="24" customHeight="1" thickBot="1" x14ac:dyDescent="0.3">
      <c r="J169" s="320"/>
      <c r="K169" s="887"/>
      <c r="L169" s="887"/>
      <c r="M169" s="887"/>
      <c r="N169" s="887"/>
      <c r="O169" s="887"/>
      <c r="P169" s="887"/>
      <c r="Q169" s="887"/>
      <c r="R169" s="887"/>
      <c r="S169" s="887"/>
      <c r="T169" s="887"/>
      <c r="U169" s="887"/>
      <c r="V169" s="887"/>
      <c r="W169" s="358"/>
      <c r="AC169" s="320"/>
      <c r="AD169" s="887"/>
      <c r="AE169" s="887"/>
      <c r="AF169" s="887"/>
      <c r="AG169" s="887"/>
      <c r="AH169" s="887"/>
      <c r="AI169" s="887"/>
      <c r="AJ169" s="887"/>
      <c r="AK169" s="887"/>
      <c r="AL169" s="887"/>
      <c r="AM169" s="887"/>
      <c r="AN169" s="887"/>
      <c r="AO169" s="887"/>
      <c r="AP169" s="358"/>
      <c r="AV169" s="320"/>
      <c r="AW169" s="887"/>
      <c r="AX169" s="887"/>
      <c r="AY169" s="887"/>
      <c r="AZ169" s="887"/>
      <c r="BA169" s="887"/>
      <c r="BB169" s="887"/>
      <c r="BC169" s="887"/>
      <c r="BD169" s="887"/>
      <c r="BE169" s="887"/>
      <c r="BF169" s="887"/>
      <c r="BG169" s="887"/>
      <c r="BH169" s="887"/>
      <c r="BI169" s="358"/>
      <c r="BO169" s="320"/>
      <c r="BP169" s="887"/>
      <c r="BQ169" s="887"/>
      <c r="BR169" s="887"/>
      <c r="BS169" s="887"/>
      <c r="BT169" s="887"/>
      <c r="BU169" s="887"/>
      <c r="BV169" s="887"/>
      <c r="BW169" s="887"/>
      <c r="BX169" s="887"/>
      <c r="BY169" s="887"/>
      <c r="BZ169" s="887"/>
      <c r="CA169" s="887"/>
      <c r="CB169" s="358"/>
      <c r="CI169" s="320"/>
      <c r="CJ169" s="887"/>
      <c r="CK169" s="887"/>
      <c r="CL169" s="887"/>
      <c r="CM169" s="887"/>
      <c r="CN169" s="887"/>
      <c r="CO169" s="887"/>
      <c r="CP169" s="887"/>
      <c r="CQ169" s="887"/>
      <c r="CR169" s="887"/>
      <c r="CS169" s="887"/>
      <c r="CT169" s="887"/>
      <c r="CU169" s="887"/>
      <c r="CV169" s="358"/>
    </row>
    <row r="173" spans="10:100" ht="24" customHeight="1" x14ac:dyDescent="0.25">
      <c r="J173" s="886"/>
      <c r="K173" s="889"/>
      <c r="L173" s="890"/>
      <c r="M173" s="890"/>
      <c r="N173" s="890"/>
      <c r="O173" s="890"/>
      <c r="P173" s="890"/>
      <c r="Q173" s="890"/>
      <c r="R173" s="890"/>
      <c r="S173" s="890"/>
      <c r="T173" s="890"/>
      <c r="U173" s="890"/>
      <c r="V173" s="891"/>
      <c r="W173" s="356"/>
      <c r="AC173" s="886"/>
      <c r="AD173" s="889"/>
      <c r="AE173" s="890"/>
      <c r="AF173" s="890"/>
      <c r="AG173" s="890"/>
      <c r="AH173" s="890"/>
      <c r="AI173" s="890"/>
      <c r="AJ173" s="890"/>
      <c r="AK173" s="890"/>
      <c r="AL173" s="890"/>
      <c r="AM173" s="890"/>
      <c r="AN173" s="890"/>
      <c r="AO173" s="891"/>
      <c r="AP173" s="356"/>
      <c r="AV173" s="886"/>
      <c r="AW173" s="889"/>
      <c r="AX173" s="890"/>
      <c r="AY173" s="890"/>
      <c r="AZ173" s="890"/>
      <c r="BA173" s="890"/>
      <c r="BB173" s="890"/>
      <c r="BC173" s="890"/>
      <c r="BD173" s="890"/>
      <c r="BE173" s="890"/>
      <c r="BF173" s="890"/>
      <c r="BG173" s="890"/>
      <c r="BH173" s="891"/>
      <c r="BI173" s="356"/>
      <c r="BO173" s="886"/>
      <c r="BP173" s="889"/>
      <c r="BQ173" s="890"/>
      <c r="BR173" s="890"/>
      <c r="BS173" s="890"/>
      <c r="BT173" s="890"/>
      <c r="BU173" s="890"/>
      <c r="BV173" s="890"/>
      <c r="BW173" s="890"/>
      <c r="BX173" s="890"/>
      <c r="BY173" s="890"/>
      <c r="BZ173" s="890"/>
      <c r="CA173" s="891"/>
      <c r="CB173" s="356"/>
      <c r="CI173" s="886"/>
      <c r="CJ173" s="889"/>
      <c r="CK173" s="890"/>
      <c r="CL173" s="890"/>
      <c r="CM173" s="890"/>
      <c r="CN173" s="890"/>
      <c r="CO173" s="890"/>
      <c r="CP173" s="890"/>
      <c r="CQ173" s="890"/>
      <c r="CR173" s="890"/>
      <c r="CS173" s="890"/>
      <c r="CT173" s="890"/>
      <c r="CU173" s="891"/>
      <c r="CV173" s="356"/>
    </row>
    <row r="174" spans="10:100" ht="24" customHeight="1" thickBot="1" x14ac:dyDescent="0.3">
      <c r="J174" s="888"/>
      <c r="K174" s="892"/>
      <c r="L174" s="893"/>
      <c r="M174" s="893"/>
      <c r="N174" s="893"/>
      <c r="O174" s="893"/>
      <c r="P174" s="893"/>
      <c r="Q174" s="893"/>
      <c r="R174" s="893"/>
      <c r="S174" s="893"/>
      <c r="T174" s="893"/>
      <c r="U174" s="893"/>
      <c r="V174" s="894"/>
      <c r="W174" s="358"/>
      <c r="AC174" s="888"/>
      <c r="AD174" s="892"/>
      <c r="AE174" s="893"/>
      <c r="AF174" s="893"/>
      <c r="AG174" s="893"/>
      <c r="AH174" s="893"/>
      <c r="AI174" s="893"/>
      <c r="AJ174" s="893"/>
      <c r="AK174" s="893"/>
      <c r="AL174" s="893"/>
      <c r="AM174" s="893"/>
      <c r="AN174" s="893"/>
      <c r="AO174" s="894"/>
      <c r="AP174" s="358"/>
      <c r="AV174" s="888"/>
      <c r="AW174" s="892"/>
      <c r="AX174" s="893"/>
      <c r="AY174" s="893"/>
      <c r="AZ174" s="893"/>
      <c r="BA174" s="893"/>
      <c r="BB174" s="893"/>
      <c r="BC174" s="893"/>
      <c r="BD174" s="893"/>
      <c r="BE174" s="893"/>
      <c r="BF174" s="893"/>
      <c r="BG174" s="893"/>
      <c r="BH174" s="894"/>
      <c r="BI174" s="358"/>
      <c r="BO174" s="888"/>
      <c r="BP174" s="892"/>
      <c r="BQ174" s="893"/>
      <c r="BR174" s="893"/>
      <c r="BS174" s="893"/>
      <c r="BT174" s="893"/>
      <c r="BU174" s="893"/>
      <c r="BV174" s="893"/>
      <c r="BW174" s="893"/>
      <c r="BX174" s="893"/>
      <c r="BY174" s="893"/>
      <c r="BZ174" s="893"/>
      <c r="CA174" s="894"/>
      <c r="CB174" s="358"/>
      <c r="CI174" s="888"/>
      <c r="CJ174" s="892"/>
      <c r="CK174" s="893"/>
      <c r="CL174" s="893"/>
      <c r="CM174" s="893"/>
      <c r="CN174" s="893"/>
      <c r="CO174" s="893"/>
      <c r="CP174" s="893"/>
      <c r="CQ174" s="893"/>
      <c r="CR174" s="893"/>
      <c r="CS174" s="893"/>
      <c r="CT174" s="893"/>
      <c r="CU174" s="894"/>
      <c r="CV174" s="358"/>
    </row>
    <row r="175" spans="10:100" ht="24" customHeight="1" x14ac:dyDescent="0.25">
      <c r="J175" s="319"/>
      <c r="K175" s="873"/>
      <c r="L175" s="874"/>
      <c r="M175" s="874"/>
      <c r="N175" s="874"/>
      <c r="O175" s="874"/>
      <c r="P175" s="874"/>
      <c r="Q175" s="874"/>
      <c r="R175" s="874"/>
      <c r="S175" s="874"/>
      <c r="T175" s="874"/>
      <c r="U175" s="874"/>
      <c r="V175" s="875"/>
      <c r="W175" s="882" t="s">
        <v>628</v>
      </c>
      <c r="AC175" s="319"/>
      <c r="AD175" s="873"/>
      <c r="AE175" s="874"/>
      <c r="AF175" s="874"/>
      <c r="AG175" s="874"/>
      <c r="AH175" s="874"/>
      <c r="AI175" s="874"/>
      <c r="AJ175" s="874"/>
      <c r="AK175" s="874"/>
      <c r="AL175" s="874"/>
      <c r="AM175" s="874"/>
      <c r="AN175" s="874"/>
      <c r="AO175" s="875"/>
      <c r="AP175" s="882" t="s">
        <v>628</v>
      </c>
      <c r="AV175" s="319"/>
      <c r="AW175" s="873"/>
      <c r="AX175" s="874"/>
      <c r="AY175" s="874"/>
      <c r="AZ175" s="874"/>
      <c r="BA175" s="874"/>
      <c r="BB175" s="874"/>
      <c r="BC175" s="874"/>
      <c r="BD175" s="874"/>
      <c r="BE175" s="874"/>
      <c r="BF175" s="874"/>
      <c r="BG175" s="874"/>
      <c r="BH175" s="875"/>
      <c r="BI175" s="882" t="s">
        <v>628</v>
      </c>
      <c r="BO175" s="319"/>
      <c r="BP175" s="873"/>
      <c r="BQ175" s="874"/>
      <c r="BR175" s="874"/>
      <c r="BS175" s="874"/>
      <c r="BT175" s="874"/>
      <c r="BU175" s="874"/>
      <c r="BV175" s="874"/>
      <c r="BW175" s="874"/>
      <c r="BX175" s="874"/>
      <c r="BY175" s="874"/>
      <c r="BZ175" s="874"/>
      <c r="CA175" s="875"/>
      <c r="CB175" s="882" t="s">
        <v>628</v>
      </c>
      <c r="CI175" s="319"/>
      <c r="CJ175" s="873"/>
      <c r="CK175" s="874"/>
      <c r="CL175" s="874"/>
      <c r="CM175" s="874"/>
      <c r="CN175" s="874"/>
      <c r="CO175" s="874"/>
      <c r="CP175" s="874"/>
      <c r="CQ175" s="874"/>
      <c r="CR175" s="874"/>
      <c r="CS175" s="874"/>
      <c r="CT175" s="874"/>
      <c r="CU175" s="875"/>
      <c r="CV175" s="882" t="s">
        <v>628</v>
      </c>
    </row>
    <row r="176" spans="10:100" ht="24" customHeight="1" x14ac:dyDescent="0.25">
      <c r="J176" s="319"/>
      <c r="K176" s="876"/>
      <c r="L176" s="877"/>
      <c r="M176" s="877"/>
      <c r="N176" s="877"/>
      <c r="O176" s="877"/>
      <c r="P176" s="877"/>
      <c r="Q176" s="877"/>
      <c r="R176" s="877"/>
      <c r="S176" s="877"/>
      <c r="T176" s="877"/>
      <c r="U176" s="877"/>
      <c r="V176" s="878"/>
      <c r="W176" s="883"/>
      <c r="AC176" s="319"/>
      <c r="AD176" s="876"/>
      <c r="AE176" s="877"/>
      <c r="AF176" s="877"/>
      <c r="AG176" s="877"/>
      <c r="AH176" s="877"/>
      <c r="AI176" s="877"/>
      <c r="AJ176" s="877"/>
      <c r="AK176" s="877"/>
      <c r="AL176" s="877"/>
      <c r="AM176" s="877"/>
      <c r="AN176" s="877"/>
      <c r="AO176" s="878"/>
      <c r="AP176" s="883"/>
      <c r="AV176" s="319"/>
      <c r="AW176" s="876"/>
      <c r="AX176" s="877"/>
      <c r="AY176" s="877"/>
      <c r="AZ176" s="877"/>
      <c r="BA176" s="877"/>
      <c r="BB176" s="877"/>
      <c r="BC176" s="877"/>
      <c r="BD176" s="877"/>
      <c r="BE176" s="877"/>
      <c r="BF176" s="877"/>
      <c r="BG176" s="877"/>
      <c r="BH176" s="878"/>
      <c r="BI176" s="883"/>
      <c r="BO176" s="319"/>
      <c r="BP176" s="876"/>
      <c r="BQ176" s="877"/>
      <c r="BR176" s="877"/>
      <c r="BS176" s="877"/>
      <c r="BT176" s="877"/>
      <c r="BU176" s="877"/>
      <c r="BV176" s="877"/>
      <c r="BW176" s="877"/>
      <c r="BX176" s="877"/>
      <c r="BY176" s="877"/>
      <c r="BZ176" s="877"/>
      <c r="CA176" s="878"/>
      <c r="CB176" s="883"/>
      <c r="CI176" s="319"/>
      <c r="CJ176" s="876"/>
      <c r="CK176" s="877"/>
      <c r="CL176" s="877"/>
      <c r="CM176" s="877"/>
      <c r="CN176" s="877"/>
      <c r="CO176" s="877"/>
      <c r="CP176" s="877"/>
      <c r="CQ176" s="877"/>
      <c r="CR176" s="877"/>
      <c r="CS176" s="877"/>
      <c r="CT176" s="877"/>
      <c r="CU176" s="878"/>
      <c r="CV176" s="883"/>
    </row>
    <row r="177" spans="10:100" ht="24" customHeight="1" x14ac:dyDescent="0.25">
      <c r="J177" s="319"/>
      <c r="K177" s="876"/>
      <c r="L177" s="877"/>
      <c r="M177" s="877"/>
      <c r="N177" s="877"/>
      <c r="O177" s="877"/>
      <c r="P177" s="877"/>
      <c r="Q177" s="877"/>
      <c r="R177" s="877"/>
      <c r="S177" s="877"/>
      <c r="T177" s="877"/>
      <c r="U177" s="877"/>
      <c r="V177" s="878"/>
      <c r="W177" s="884"/>
      <c r="AC177" s="319"/>
      <c r="AD177" s="876"/>
      <c r="AE177" s="877"/>
      <c r="AF177" s="877"/>
      <c r="AG177" s="877"/>
      <c r="AH177" s="877"/>
      <c r="AI177" s="877"/>
      <c r="AJ177" s="877"/>
      <c r="AK177" s="877"/>
      <c r="AL177" s="877"/>
      <c r="AM177" s="877"/>
      <c r="AN177" s="877"/>
      <c r="AO177" s="878"/>
      <c r="AP177" s="884"/>
      <c r="AV177" s="319"/>
      <c r="AW177" s="876"/>
      <c r="AX177" s="877"/>
      <c r="AY177" s="877"/>
      <c r="AZ177" s="877"/>
      <c r="BA177" s="877"/>
      <c r="BB177" s="877"/>
      <c r="BC177" s="877"/>
      <c r="BD177" s="877"/>
      <c r="BE177" s="877"/>
      <c r="BF177" s="877"/>
      <c r="BG177" s="877"/>
      <c r="BH177" s="878"/>
      <c r="BI177" s="884"/>
      <c r="BO177" s="319"/>
      <c r="BP177" s="876"/>
      <c r="BQ177" s="877"/>
      <c r="BR177" s="877"/>
      <c r="BS177" s="877"/>
      <c r="BT177" s="877"/>
      <c r="BU177" s="877"/>
      <c r="BV177" s="877"/>
      <c r="BW177" s="877"/>
      <c r="BX177" s="877"/>
      <c r="BY177" s="877"/>
      <c r="BZ177" s="877"/>
      <c r="CA177" s="878"/>
      <c r="CB177" s="884"/>
      <c r="CI177" s="319"/>
      <c r="CJ177" s="876"/>
      <c r="CK177" s="877"/>
      <c r="CL177" s="877"/>
      <c r="CM177" s="877"/>
      <c r="CN177" s="877"/>
      <c r="CO177" s="877"/>
      <c r="CP177" s="877"/>
      <c r="CQ177" s="877"/>
      <c r="CR177" s="877"/>
      <c r="CS177" s="877"/>
      <c r="CT177" s="877"/>
      <c r="CU177" s="878"/>
      <c r="CV177" s="884"/>
    </row>
    <row r="178" spans="10:100" ht="24" customHeight="1" x14ac:dyDescent="0.25">
      <c r="J178" s="319"/>
      <c r="K178" s="876"/>
      <c r="L178" s="877"/>
      <c r="M178" s="877"/>
      <c r="N178" s="877"/>
      <c r="O178" s="877"/>
      <c r="P178" s="877"/>
      <c r="Q178" s="877"/>
      <c r="R178" s="877"/>
      <c r="S178" s="877"/>
      <c r="T178" s="877"/>
      <c r="U178" s="877"/>
      <c r="V178" s="878"/>
      <c r="W178" s="885"/>
      <c r="AC178" s="319"/>
      <c r="AD178" s="876"/>
      <c r="AE178" s="877"/>
      <c r="AF178" s="877"/>
      <c r="AG178" s="877"/>
      <c r="AH178" s="877"/>
      <c r="AI178" s="877"/>
      <c r="AJ178" s="877"/>
      <c r="AK178" s="877"/>
      <c r="AL178" s="877"/>
      <c r="AM178" s="877"/>
      <c r="AN178" s="877"/>
      <c r="AO178" s="878"/>
      <c r="AP178" s="885"/>
      <c r="AV178" s="319"/>
      <c r="AW178" s="876"/>
      <c r="AX178" s="877"/>
      <c r="AY178" s="877"/>
      <c r="AZ178" s="877"/>
      <c r="BA178" s="877"/>
      <c r="BB178" s="877"/>
      <c r="BC178" s="877"/>
      <c r="BD178" s="877"/>
      <c r="BE178" s="877"/>
      <c r="BF178" s="877"/>
      <c r="BG178" s="877"/>
      <c r="BH178" s="878"/>
      <c r="BI178" s="885"/>
      <c r="BO178" s="319"/>
      <c r="BP178" s="876"/>
      <c r="BQ178" s="877"/>
      <c r="BR178" s="877"/>
      <c r="BS178" s="877"/>
      <c r="BT178" s="877"/>
      <c r="BU178" s="877"/>
      <c r="BV178" s="877"/>
      <c r="BW178" s="877"/>
      <c r="BX178" s="877"/>
      <c r="BY178" s="877"/>
      <c r="BZ178" s="877"/>
      <c r="CA178" s="878"/>
      <c r="CB178" s="885"/>
      <c r="CI178" s="319"/>
      <c r="CJ178" s="876"/>
      <c r="CK178" s="877"/>
      <c r="CL178" s="877"/>
      <c r="CM178" s="877"/>
      <c r="CN178" s="877"/>
      <c r="CO178" s="877"/>
      <c r="CP178" s="877"/>
      <c r="CQ178" s="877"/>
      <c r="CR178" s="877"/>
      <c r="CS178" s="877"/>
      <c r="CT178" s="877"/>
      <c r="CU178" s="878"/>
      <c r="CV178" s="885"/>
    </row>
    <row r="179" spans="10:100" ht="24" customHeight="1" x14ac:dyDescent="0.25">
      <c r="J179" s="319"/>
      <c r="K179" s="876"/>
      <c r="L179" s="877"/>
      <c r="M179" s="877"/>
      <c r="N179" s="877"/>
      <c r="O179" s="877"/>
      <c r="P179" s="877"/>
      <c r="Q179" s="877"/>
      <c r="R179" s="877"/>
      <c r="S179" s="877"/>
      <c r="T179" s="877"/>
      <c r="U179" s="877"/>
      <c r="V179" s="878"/>
      <c r="W179" s="885"/>
      <c r="AC179" s="319"/>
      <c r="AD179" s="876"/>
      <c r="AE179" s="877"/>
      <c r="AF179" s="877"/>
      <c r="AG179" s="877"/>
      <c r="AH179" s="877"/>
      <c r="AI179" s="877"/>
      <c r="AJ179" s="877"/>
      <c r="AK179" s="877"/>
      <c r="AL179" s="877"/>
      <c r="AM179" s="877"/>
      <c r="AN179" s="877"/>
      <c r="AO179" s="878"/>
      <c r="AP179" s="885"/>
      <c r="AV179" s="319"/>
      <c r="AW179" s="876"/>
      <c r="AX179" s="877"/>
      <c r="AY179" s="877"/>
      <c r="AZ179" s="877"/>
      <c r="BA179" s="877"/>
      <c r="BB179" s="877"/>
      <c r="BC179" s="877"/>
      <c r="BD179" s="877"/>
      <c r="BE179" s="877"/>
      <c r="BF179" s="877"/>
      <c r="BG179" s="877"/>
      <c r="BH179" s="878"/>
      <c r="BI179" s="885"/>
      <c r="BO179" s="319"/>
      <c r="BP179" s="876"/>
      <c r="BQ179" s="877"/>
      <c r="BR179" s="877"/>
      <c r="BS179" s="877"/>
      <c r="BT179" s="877"/>
      <c r="BU179" s="877"/>
      <c r="BV179" s="877"/>
      <c r="BW179" s="877"/>
      <c r="BX179" s="877"/>
      <c r="BY179" s="877"/>
      <c r="BZ179" s="877"/>
      <c r="CA179" s="878"/>
      <c r="CB179" s="885"/>
      <c r="CI179" s="319"/>
      <c r="CJ179" s="876"/>
      <c r="CK179" s="877"/>
      <c r="CL179" s="877"/>
      <c r="CM179" s="877"/>
      <c r="CN179" s="877"/>
      <c r="CO179" s="877"/>
      <c r="CP179" s="877"/>
      <c r="CQ179" s="877"/>
      <c r="CR179" s="877"/>
      <c r="CS179" s="877"/>
      <c r="CT179" s="877"/>
      <c r="CU179" s="878"/>
      <c r="CV179" s="885"/>
    </row>
    <row r="180" spans="10:100" ht="24" customHeight="1" x14ac:dyDescent="0.25">
      <c r="J180" s="319"/>
      <c r="K180" s="876"/>
      <c r="L180" s="877"/>
      <c r="M180" s="877"/>
      <c r="N180" s="877"/>
      <c r="O180" s="877"/>
      <c r="P180" s="877"/>
      <c r="Q180" s="877"/>
      <c r="R180" s="877"/>
      <c r="S180" s="877"/>
      <c r="T180" s="877"/>
      <c r="U180" s="877"/>
      <c r="V180" s="878"/>
      <c r="W180" s="885"/>
      <c r="AC180" s="319"/>
      <c r="AD180" s="876"/>
      <c r="AE180" s="877"/>
      <c r="AF180" s="877"/>
      <c r="AG180" s="877"/>
      <c r="AH180" s="877"/>
      <c r="AI180" s="877"/>
      <c r="AJ180" s="877"/>
      <c r="AK180" s="877"/>
      <c r="AL180" s="877"/>
      <c r="AM180" s="877"/>
      <c r="AN180" s="877"/>
      <c r="AO180" s="878"/>
      <c r="AP180" s="885"/>
      <c r="AV180" s="319"/>
      <c r="AW180" s="876"/>
      <c r="AX180" s="877"/>
      <c r="AY180" s="877"/>
      <c r="AZ180" s="877"/>
      <c r="BA180" s="877"/>
      <c r="BB180" s="877"/>
      <c r="BC180" s="877"/>
      <c r="BD180" s="877"/>
      <c r="BE180" s="877"/>
      <c r="BF180" s="877"/>
      <c r="BG180" s="877"/>
      <c r="BH180" s="878"/>
      <c r="BI180" s="885"/>
      <c r="BO180" s="319"/>
      <c r="BP180" s="876"/>
      <c r="BQ180" s="877"/>
      <c r="BR180" s="877"/>
      <c r="BS180" s="877"/>
      <c r="BT180" s="877"/>
      <c r="BU180" s="877"/>
      <c r="BV180" s="877"/>
      <c r="BW180" s="877"/>
      <c r="BX180" s="877"/>
      <c r="BY180" s="877"/>
      <c r="BZ180" s="877"/>
      <c r="CA180" s="878"/>
      <c r="CB180" s="885"/>
      <c r="CI180" s="319"/>
      <c r="CJ180" s="876"/>
      <c r="CK180" s="877"/>
      <c r="CL180" s="877"/>
      <c r="CM180" s="877"/>
      <c r="CN180" s="877"/>
      <c r="CO180" s="877"/>
      <c r="CP180" s="877"/>
      <c r="CQ180" s="877"/>
      <c r="CR180" s="877"/>
      <c r="CS180" s="877"/>
      <c r="CT180" s="877"/>
      <c r="CU180" s="878"/>
      <c r="CV180" s="885"/>
    </row>
    <row r="181" spans="10:100" ht="24" customHeight="1" x14ac:dyDescent="0.25">
      <c r="J181" s="319"/>
      <c r="K181" s="876"/>
      <c r="L181" s="877"/>
      <c r="M181" s="877"/>
      <c r="N181" s="877"/>
      <c r="O181" s="877"/>
      <c r="P181" s="877"/>
      <c r="Q181" s="877"/>
      <c r="R181" s="877"/>
      <c r="S181" s="877"/>
      <c r="T181" s="877"/>
      <c r="U181" s="877"/>
      <c r="V181" s="878"/>
      <c r="W181" s="885"/>
      <c r="AC181" s="319"/>
      <c r="AD181" s="876"/>
      <c r="AE181" s="877"/>
      <c r="AF181" s="877"/>
      <c r="AG181" s="877"/>
      <c r="AH181" s="877"/>
      <c r="AI181" s="877"/>
      <c r="AJ181" s="877"/>
      <c r="AK181" s="877"/>
      <c r="AL181" s="877"/>
      <c r="AM181" s="877"/>
      <c r="AN181" s="877"/>
      <c r="AO181" s="878"/>
      <c r="AP181" s="885"/>
      <c r="AV181" s="319"/>
      <c r="AW181" s="876"/>
      <c r="AX181" s="877"/>
      <c r="AY181" s="877"/>
      <c r="AZ181" s="877"/>
      <c r="BA181" s="877"/>
      <c r="BB181" s="877"/>
      <c r="BC181" s="877"/>
      <c r="BD181" s="877"/>
      <c r="BE181" s="877"/>
      <c r="BF181" s="877"/>
      <c r="BG181" s="877"/>
      <c r="BH181" s="878"/>
      <c r="BI181" s="885"/>
      <c r="BO181" s="319"/>
      <c r="BP181" s="876"/>
      <c r="BQ181" s="877"/>
      <c r="BR181" s="877"/>
      <c r="BS181" s="877"/>
      <c r="BT181" s="877"/>
      <c r="BU181" s="877"/>
      <c r="BV181" s="877"/>
      <c r="BW181" s="877"/>
      <c r="BX181" s="877"/>
      <c r="BY181" s="877"/>
      <c r="BZ181" s="877"/>
      <c r="CA181" s="878"/>
      <c r="CB181" s="885"/>
      <c r="CI181" s="319"/>
      <c r="CJ181" s="876"/>
      <c r="CK181" s="877"/>
      <c r="CL181" s="877"/>
      <c r="CM181" s="877"/>
      <c r="CN181" s="877"/>
      <c r="CO181" s="877"/>
      <c r="CP181" s="877"/>
      <c r="CQ181" s="877"/>
      <c r="CR181" s="877"/>
      <c r="CS181" s="877"/>
      <c r="CT181" s="877"/>
      <c r="CU181" s="878"/>
      <c r="CV181" s="885"/>
    </row>
    <row r="182" spans="10:100" ht="24" customHeight="1" x14ac:dyDescent="0.25">
      <c r="J182" s="319"/>
      <c r="K182" s="876"/>
      <c r="L182" s="877"/>
      <c r="M182" s="877"/>
      <c r="N182" s="877"/>
      <c r="O182" s="877"/>
      <c r="P182" s="877"/>
      <c r="Q182" s="877"/>
      <c r="R182" s="877"/>
      <c r="S182" s="877"/>
      <c r="T182" s="877"/>
      <c r="U182" s="877"/>
      <c r="V182" s="878"/>
      <c r="W182" s="885"/>
      <c r="AC182" s="319"/>
      <c r="AD182" s="876"/>
      <c r="AE182" s="877"/>
      <c r="AF182" s="877"/>
      <c r="AG182" s="877"/>
      <c r="AH182" s="877"/>
      <c r="AI182" s="877"/>
      <c r="AJ182" s="877"/>
      <c r="AK182" s="877"/>
      <c r="AL182" s="877"/>
      <c r="AM182" s="877"/>
      <c r="AN182" s="877"/>
      <c r="AO182" s="878"/>
      <c r="AP182" s="885"/>
      <c r="AV182" s="319"/>
      <c r="AW182" s="876"/>
      <c r="AX182" s="877"/>
      <c r="AY182" s="877"/>
      <c r="AZ182" s="877"/>
      <c r="BA182" s="877"/>
      <c r="BB182" s="877"/>
      <c r="BC182" s="877"/>
      <c r="BD182" s="877"/>
      <c r="BE182" s="877"/>
      <c r="BF182" s="877"/>
      <c r="BG182" s="877"/>
      <c r="BH182" s="878"/>
      <c r="BI182" s="885"/>
      <c r="BO182" s="319"/>
      <c r="BP182" s="876"/>
      <c r="BQ182" s="877"/>
      <c r="BR182" s="877"/>
      <c r="BS182" s="877"/>
      <c r="BT182" s="877"/>
      <c r="BU182" s="877"/>
      <c r="BV182" s="877"/>
      <c r="BW182" s="877"/>
      <c r="BX182" s="877"/>
      <c r="BY182" s="877"/>
      <c r="BZ182" s="877"/>
      <c r="CA182" s="878"/>
      <c r="CB182" s="885"/>
      <c r="CI182" s="319"/>
      <c r="CJ182" s="876"/>
      <c r="CK182" s="877"/>
      <c r="CL182" s="877"/>
      <c r="CM182" s="877"/>
      <c r="CN182" s="877"/>
      <c r="CO182" s="877"/>
      <c r="CP182" s="877"/>
      <c r="CQ182" s="877"/>
      <c r="CR182" s="877"/>
      <c r="CS182" s="877"/>
      <c r="CT182" s="877"/>
      <c r="CU182" s="878"/>
      <c r="CV182" s="885"/>
    </row>
    <row r="183" spans="10:100" ht="24" customHeight="1" x14ac:dyDescent="0.25">
      <c r="J183" s="319"/>
      <c r="K183" s="876"/>
      <c r="L183" s="877"/>
      <c r="M183" s="877"/>
      <c r="N183" s="877"/>
      <c r="O183" s="877"/>
      <c r="P183" s="877"/>
      <c r="Q183" s="877"/>
      <c r="R183" s="877"/>
      <c r="S183" s="877"/>
      <c r="T183" s="877"/>
      <c r="U183" s="877"/>
      <c r="V183" s="878"/>
      <c r="W183" s="885"/>
      <c r="AC183" s="319"/>
      <c r="AD183" s="876"/>
      <c r="AE183" s="877"/>
      <c r="AF183" s="877"/>
      <c r="AG183" s="877"/>
      <c r="AH183" s="877"/>
      <c r="AI183" s="877"/>
      <c r="AJ183" s="877"/>
      <c r="AK183" s="877"/>
      <c r="AL183" s="877"/>
      <c r="AM183" s="877"/>
      <c r="AN183" s="877"/>
      <c r="AO183" s="878"/>
      <c r="AP183" s="885"/>
      <c r="AV183" s="319"/>
      <c r="AW183" s="876"/>
      <c r="AX183" s="877"/>
      <c r="AY183" s="877"/>
      <c r="AZ183" s="877"/>
      <c r="BA183" s="877"/>
      <c r="BB183" s="877"/>
      <c r="BC183" s="877"/>
      <c r="BD183" s="877"/>
      <c r="BE183" s="877"/>
      <c r="BF183" s="877"/>
      <c r="BG183" s="877"/>
      <c r="BH183" s="878"/>
      <c r="BI183" s="885"/>
      <c r="BO183" s="319"/>
      <c r="BP183" s="876"/>
      <c r="BQ183" s="877"/>
      <c r="BR183" s="877"/>
      <c r="BS183" s="877"/>
      <c r="BT183" s="877"/>
      <c r="BU183" s="877"/>
      <c r="BV183" s="877"/>
      <c r="BW183" s="877"/>
      <c r="BX183" s="877"/>
      <c r="BY183" s="877"/>
      <c r="BZ183" s="877"/>
      <c r="CA183" s="878"/>
      <c r="CB183" s="885"/>
      <c r="CI183" s="319"/>
      <c r="CJ183" s="876"/>
      <c r="CK183" s="877"/>
      <c r="CL183" s="877"/>
      <c r="CM183" s="877"/>
      <c r="CN183" s="877"/>
      <c r="CO183" s="877"/>
      <c r="CP183" s="877"/>
      <c r="CQ183" s="877"/>
      <c r="CR183" s="877"/>
      <c r="CS183" s="877"/>
      <c r="CT183" s="877"/>
      <c r="CU183" s="878"/>
      <c r="CV183" s="885"/>
    </row>
    <row r="184" spans="10:100" ht="24" customHeight="1" x14ac:dyDescent="0.25">
      <c r="J184" s="319"/>
      <c r="K184" s="876"/>
      <c r="L184" s="877"/>
      <c r="M184" s="877"/>
      <c r="N184" s="877"/>
      <c r="O184" s="877"/>
      <c r="P184" s="877"/>
      <c r="Q184" s="877"/>
      <c r="R184" s="877"/>
      <c r="S184" s="877"/>
      <c r="T184" s="877"/>
      <c r="U184" s="877"/>
      <c r="V184" s="878"/>
      <c r="W184" s="885"/>
      <c r="AC184" s="319"/>
      <c r="AD184" s="876"/>
      <c r="AE184" s="877"/>
      <c r="AF184" s="877"/>
      <c r="AG184" s="877"/>
      <c r="AH184" s="877"/>
      <c r="AI184" s="877"/>
      <c r="AJ184" s="877"/>
      <c r="AK184" s="877"/>
      <c r="AL184" s="877"/>
      <c r="AM184" s="877"/>
      <c r="AN184" s="877"/>
      <c r="AO184" s="878"/>
      <c r="AP184" s="885"/>
      <c r="AV184" s="319"/>
      <c r="AW184" s="876"/>
      <c r="AX184" s="877"/>
      <c r="AY184" s="877"/>
      <c r="AZ184" s="877"/>
      <c r="BA184" s="877"/>
      <c r="BB184" s="877"/>
      <c r="BC184" s="877"/>
      <c r="BD184" s="877"/>
      <c r="BE184" s="877"/>
      <c r="BF184" s="877"/>
      <c r="BG184" s="877"/>
      <c r="BH184" s="878"/>
      <c r="BI184" s="885"/>
      <c r="BO184" s="319"/>
      <c r="BP184" s="876"/>
      <c r="BQ184" s="877"/>
      <c r="BR184" s="877"/>
      <c r="BS184" s="877"/>
      <c r="BT184" s="877"/>
      <c r="BU184" s="877"/>
      <c r="BV184" s="877"/>
      <c r="BW184" s="877"/>
      <c r="BX184" s="877"/>
      <c r="BY184" s="877"/>
      <c r="BZ184" s="877"/>
      <c r="CA184" s="878"/>
      <c r="CB184" s="885"/>
      <c r="CI184" s="319"/>
      <c r="CJ184" s="876"/>
      <c r="CK184" s="877"/>
      <c r="CL184" s="877"/>
      <c r="CM184" s="877"/>
      <c r="CN184" s="877"/>
      <c r="CO184" s="877"/>
      <c r="CP184" s="877"/>
      <c r="CQ184" s="877"/>
      <c r="CR184" s="877"/>
      <c r="CS184" s="877"/>
      <c r="CT184" s="877"/>
      <c r="CU184" s="878"/>
      <c r="CV184" s="885"/>
    </row>
    <row r="185" spans="10:100" ht="24" customHeight="1" x14ac:dyDescent="0.25">
      <c r="J185" s="319"/>
      <c r="K185" s="876"/>
      <c r="L185" s="877"/>
      <c r="M185" s="877"/>
      <c r="N185" s="877"/>
      <c r="O185" s="877"/>
      <c r="P185" s="877"/>
      <c r="Q185" s="877"/>
      <c r="R185" s="877"/>
      <c r="S185" s="877"/>
      <c r="T185" s="877"/>
      <c r="U185" s="877"/>
      <c r="V185" s="878"/>
      <c r="W185" s="885"/>
      <c r="AC185" s="319"/>
      <c r="AD185" s="876"/>
      <c r="AE185" s="877"/>
      <c r="AF185" s="877"/>
      <c r="AG185" s="877"/>
      <c r="AH185" s="877"/>
      <c r="AI185" s="877"/>
      <c r="AJ185" s="877"/>
      <c r="AK185" s="877"/>
      <c r="AL185" s="877"/>
      <c r="AM185" s="877"/>
      <c r="AN185" s="877"/>
      <c r="AO185" s="878"/>
      <c r="AP185" s="885"/>
      <c r="AV185" s="319"/>
      <c r="AW185" s="876"/>
      <c r="AX185" s="877"/>
      <c r="AY185" s="877"/>
      <c r="AZ185" s="877"/>
      <c r="BA185" s="877"/>
      <c r="BB185" s="877"/>
      <c r="BC185" s="877"/>
      <c r="BD185" s="877"/>
      <c r="BE185" s="877"/>
      <c r="BF185" s="877"/>
      <c r="BG185" s="877"/>
      <c r="BH185" s="878"/>
      <c r="BI185" s="885"/>
      <c r="BO185" s="319"/>
      <c r="BP185" s="876"/>
      <c r="BQ185" s="877"/>
      <c r="BR185" s="877"/>
      <c r="BS185" s="877"/>
      <c r="BT185" s="877"/>
      <c r="BU185" s="877"/>
      <c r="BV185" s="877"/>
      <c r="BW185" s="877"/>
      <c r="BX185" s="877"/>
      <c r="BY185" s="877"/>
      <c r="BZ185" s="877"/>
      <c r="CA185" s="878"/>
      <c r="CB185" s="885"/>
      <c r="CI185" s="319"/>
      <c r="CJ185" s="876"/>
      <c r="CK185" s="877"/>
      <c r="CL185" s="877"/>
      <c r="CM185" s="877"/>
      <c r="CN185" s="877"/>
      <c r="CO185" s="877"/>
      <c r="CP185" s="877"/>
      <c r="CQ185" s="877"/>
      <c r="CR185" s="877"/>
      <c r="CS185" s="877"/>
      <c r="CT185" s="877"/>
      <c r="CU185" s="878"/>
      <c r="CV185" s="885"/>
    </row>
    <row r="186" spans="10:100" ht="24" customHeight="1" x14ac:dyDescent="0.25">
      <c r="J186" s="319"/>
      <c r="K186" s="876"/>
      <c r="L186" s="877"/>
      <c r="M186" s="877"/>
      <c r="N186" s="877"/>
      <c r="O186" s="877"/>
      <c r="P186" s="877"/>
      <c r="Q186" s="877"/>
      <c r="R186" s="877"/>
      <c r="S186" s="877"/>
      <c r="T186" s="877"/>
      <c r="U186" s="877"/>
      <c r="V186" s="878"/>
      <c r="W186" s="885"/>
      <c r="AC186" s="319"/>
      <c r="AD186" s="876"/>
      <c r="AE186" s="877"/>
      <c r="AF186" s="877"/>
      <c r="AG186" s="877"/>
      <c r="AH186" s="877"/>
      <c r="AI186" s="877"/>
      <c r="AJ186" s="877"/>
      <c r="AK186" s="877"/>
      <c r="AL186" s="877"/>
      <c r="AM186" s="877"/>
      <c r="AN186" s="877"/>
      <c r="AO186" s="878"/>
      <c r="AP186" s="885"/>
      <c r="AV186" s="319"/>
      <c r="AW186" s="876"/>
      <c r="AX186" s="877"/>
      <c r="AY186" s="877"/>
      <c r="AZ186" s="877"/>
      <c r="BA186" s="877"/>
      <c r="BB186" s="877"/>
      <c r="BC186" s="877"/>
      <c r="BD186" s="877"/>
      <c r="BE186" s="877"/>
      <c r="BF186" s="877"/>
      <c r="BG186" s="877"/>
      <c r="BH186" s="878"/>
      <c r="BI186" s="885"/>
      <c r="BO186" s="319"/>
      <c r="BP186" s="876"/>
      <c r="BQ186" s="877"/>
      <c r="BR186" s="877"/>
      <c r="BS186" s="877"/>
      <c r="BT186" s="877"/>
      <c r="BU186" s="877"/>
      <c r="BV186" s="877"/>
      <c r="BW186" s="877"/>
      <c r="BX186" s="877"/>
      <c r="BY186" s="877"/>
      <c r="BZ186" s="877"/>
      <c r="CA186" s="878"/>
      <c r="CB186" s="885"/>
      <c r="CI186" s="319"/>
      <c r="CJ186" s="876"/>
      <c r="CK186" s="877"/>
      <c r="CL186" s="877"/>
      <c r="CM186" s="877"/>
      <c r="CN186" s="877"/>
      <c r="CO186" s="877"/>
      <c r="CP186" s="877"/>
      <c r="CQ186" s="877"/>
      <c r="CR186" s="877"/>
      <c r="CS186" s="877"/>
      <c r="CT186" s="877"/>
      <c r="CU186" s="878"/>
      <c r="CV186" s="885"/>
    </row>
    <row r="187" spans="10:100" ht="24" customHeight="1" x14ac:dyDescent="0.25">
      <c r="J187" s="319"/>
      <c r="K187" s="876"/>
      <c r="L187" s="877"/>
      <c r="M187" s="877"/>
      <c r="N187" s="877"/>
      <c r="O187" s="877"/>
      <c r="P187" s="877"/>
      <c r="Q187" s="877"/>
      <c r="R187" s="877"/>
      <c r="S187" s="877"/>
      <c r="T187" s="877"/>
      <c r="U187" s="877"/>
      <c r="V187" s="878"/>
      <c r="W187" s="885"/>
      <c r="AC187" s="319"/>
      <c r="AD187" s="876"/>
      <c r="AE187" s="877"/>
      <c r="AF187" s="877"/>
      <c r="AG187" s="877"/>
      <c r="AH187" s="877"/>
      <c r="AI187" s="877"/>
      <c r="AJ187" s="877"/>
      <c r="AK187" s="877"/>
      <c r="AL187" s="877"/>
      <c r="AM187" s="877"/>
      <c r="AN187" s="877"/>
      <c r="AO187" s="878"/>
      <c r="AP187" s="885"/>
      <c r="AV187" s="319"/>
      <c r="AW187" s="876"/>
      <c r="AX187" s="877"/>
      <c r="AY187" s="877"/>
      <c r="AZ187" s="877"/>
      <c r="BA187" s="877"/>
      <c r="BB187" s="877"/>
      <c r="BC187" s="877"/>
      <c r="BD187" s="877"/>
      <c r="BE187" s="877"/>
      <c r="BF187" s="877"/>
      <c r="BG187" s="877"/>
      <c r="BH187" s="878"/>
      <c r="BI187" s="885"/>
      <c r="BO187" s="319"/>
      <c r="BP187" s="876"/>
      <c r="BQ187" s="877"/>
      <c r="BR187" s="877"/>
      <c r="BS187" s="877"/>
      <c r="BT187" s="877"/>
      <c r="BU187" s="877"/>
      <c r="BV187" s="877"/>
      <c r="BW187" s="877"/>
      <c r="BX187" s="877"/>
      <c r="BY187" s="877"/>
      <c r="BZ187" s="877"/>
      <c r="CA187" s="878"/>
      <c r="CB187" s="885"/>
      <c r="CI187" s="319"/>
      <c r="CJ187" s="876"/>
      <c r="CK187" s="877"/>
      <c r="CL187" s="877"/>
      <c r="CM187" s="877"/>
      <c r="CN187" s="877"/>
      <c r="CO187" s="877"/>
      <c r="CP187" s="877"/>
      <c r="CQ187" s="877"/>
      <c r="CR187" s="877"/>
      <c r="CS187" s="877"/>
      <c r="CT187" s="877"/>
      <c r="CU187" s="878"/>
      <c r="CV187" s="885"/>
    </row>
    <row r="188" spans="10:100" ht="24" customHeight="1" x14ac:dyDescent="0.25">
      <c r="J188" s="319"/>
      <c r="K188" s="876"/>
      <c r="L188" s="877"/>
      <c r="M188" s="877"/>
      <c r="N188" s="877"/>
      <c r="O188" s="877"/>
      <c r="P188" s="877"/>
      <c r="Q188" s="877"/>
      <c r="R188" s="877"/>
      <c r="S188" s="877"/>
      <c r="T188" s="877"/>
      <c r="U188" s="877"/>
      <c r="V188" s="878"/>
      <c r="W188" s="885"/>
      <c r="AC188" s="319"/>
      <c r="AD188" s="876"/>
      <c r="AE188" s="877"/>
      <c r="AF188" s="877"/>
      <c r="AG188" s="877"/>
      <c r="AH188" s="877"/>
      <c r="AI188" s="877"/>
      <c r="AJ188" s="877"/>
      <c r="AK188" s="877"/>
      <c r="AL188" s="877"/>
      <c r="AM188" s="877"/>
      <c r="AN188" s="877"/>
      <c r="AO188" s="878"/>
      <c r="AP188" s="885"/>
      <c r="AV188" s="319"/>
      <c r="AW188" s="876"/>
      <c r="AX188" s="877"/>
      <c r="AY188" s="877"/>
      <c r="AZ188" s="877"/>
      <c r="BA188" s="877"/>
      <c r="BB188" s="877"/>
      <c r="BC188" s="877"/>
      <c r="BD188" s="877"/>
      <c r="BE188" s="877"/>
      <c r="BF188" s="877"/>
      <c r="BG188" s="877"/>
      <c r="BH188" s="878"/>
      <c r="BI188" s="885"/>
      <c r="BO188" s="319"/>
      <c r="BP188" s="876"/>
      <c r="BQ188" s="877"/>
      <c r="BR188" s="877"/>
      <c r="BS188" s="877"/>
      <c r="BT188" s="877"/>
      <c r="BU188" s="877"/>
      <c r="BV188" s="877"/>
      <c r="BW188" s="877"/>
      <c r="BX188" s="877"/>
      <c r="BY188" s="877"/>
      <c r="BZ188" s="877"/>
      <c r="CA188" s="878"/>
      <c r="CB188" s="885"/>
      <c r="CI188" s="319"/>
      <c r="CJ188" s="876"/>
      <c r="CK188" s="877"/>
      <c r="CL188" s="877"/>
      <c r="CM188" s="877"/>
      <c r="CN188" s="877"/>
      <c r="CO188" s="877"/>
      <c r="CP188" s="877"/>
      <c r="CQ188" s="877"/>
      <c r="CR188" s="877"/>
      <c r="CS188" s="877"/>
      <c r="CT188" s="877"/>
      <c r="CU188" s="878"/>
      <c r="CV188" s="885"/>
    </row>
    <row r="189" spans="10:100" ht="24" customHeight="1" x14ac:dyDescent="0.25">
      <c r="J189" s="319"/>
      <c r="K189" s="876"/>
      <c r="L189" s="877"/>
      <c r="M189" s="877"/>
      <c r="N189" s="877"/>
      <c r="O189" s="877"/>
      <c r="P189" s="877"/>
      <c r="Q189" s="877"/>
      <c r="R189" s="877"/>
      <c r="S189" s="877"/>
      <c r="T189" s="877"/>
      <c r="U189" s="877"/>
      <c r="V189" s="878"/>
      <c r="W189" s="885"/>
      <c r="AC189" s="319"/>
      <c r="AD189" s="876"/>
      <c r="AE189" s="877"/>
      <c r="AF189" s="877"/>
      <c r="AG189" s="877"/>
      <c r="AH189" s="877"/>
      <c r="AI189" s="877"/>
      <c r="AJ189" s="877"/>
      <c r="AK189" s="877"/>
      <c r="AL189" s="877"/>
      <c r="AM189" s="877"/>
      <c r="AN189" s="877"/>
      <c r="AO189" s="878"/>
      <c r="AP189" s="885"/>
      <c r="AV189" s="319"/>
      <c r="AW189" s="876"/>
      <c r="AX189" s="877"/>
      <c r="AY189" s="877"/>
      <c r="AZ189" s="877"/>
      <c r="BA189" s="877"/>
      <c r="BB189" s="877"/>
      <c r="BC189" s="877"/>
      <c r="BD189" s="877"/>
      <c r="BE189" s="877"/>
      <c r="BF189" s="877"/>
      <c r="BG189" s="877"/>
      <c r="BH189" s="878"/>
      <c r="BI189" s="885"/>
      <c r="BO189" s="319"/>
      <c r="BP189" s="876"/>
      <c r="BQ189" s="877"/>
      <c r="BR189" s="877"/>
      <c r="BS189" s="877"/>
      <c r="BT189" s="877"/>
      <c r="BU189" s="877"/>
      <c r="BV189" s="877"/>
      <c r="BW189" s="877"/>
      <c r="BX189" s="877"/>
      <c r="BY189" s="877"/>
      <c r="BZ189" s="877"/>
      <c r="CA189" s="878"/>
      <c r="CB189" s="885"/>
      <c r="CI189" s="319"/>
      <c r="CJ189" s="876"/>
      <c r="CK189" s="877"/>
      <c r="CL189" s="877"/>
      <c r="CM189" s="877"/>
      <c r="CN189" s="877"/>
      <c r="CO189" s="877"/>
      <c r="CP189" s="877"/>
      <c r="CQ189" s="877"/>
      <c r="CR189" s="877"/>
      <c r="CS189" s="877"/>
      <c r="CT189" s="877"/>
      <c r="CU189" s="878"/>
      <c r="CV189" s="885"/>
    </row>
    <row r="190" spans="10:100" ht="24" customHeight="1" x14ac:dyDescent="0.25">
      <c r="J190" s="319"/>
      <c r="K190" s="876"/>
      <c r="L190" s="877"/>
      <c r="M190" s="877"/>
      <c r="N190" s="877"/>
      <c r="O190" s="877"/>
      <c r="P190" s="877"/>
      <c r="Q190" s="877"/>
      <c r="R190" s="877"/>
      <c r="S190" s="877"/>
      <c r="T190" s="877"/>
      <c r="U190" s="877"/>
      <c r="V190" s="878"/>
      <c r="W190" s="885"/>
      <c r="AC190" s="319"/>
      <c r="AD190" s="876"/>
      <c r="AE190" s="877"/>
      <c r="AF190" s="877"/>
      <c r="AG190" s="877"/>
      <c r="AH190" s="877"/>
      <c r="AI190" s="877"/>
      <c r="AJ190" s="877"/>
      <c r="AK190" s="877"/>
      <c r="AL190" s="877"/>
      <c r="AM190" s="877"/>
      <c r="AN190" s="877"/>
      <c r="AO190" s="878"/>
      <c r="AP190" s="885"/>
      <c r="AV190" s="319"/>
      <c r="AW190" s="876"/>
      <c r="AX190" s="877"/>
      <c r="AY190" s="877"/>
      <c r="AZ190" s="877"/>
      <c r="BA190" s="877"/>
      <c r="BB190" s="877"/>
      <c r="BC190" s="877"/>
      <c r="BD190" s="877"/>
      <c r="BE190" s="877"/>
      <c r="BF190" s="877"/>
      <c r="BG190" s="877"/>
      <c r="BH190" s="878"/>
      <c r="BI190" s="885"/>
      <c r="BO190" s="319"/>
      <c r="BP190" s="876"/>
      <c r="BQ190" s="877"/>
      <c r="BR190" s="877"/>
      <c r="BS190" s="877"/>
      <c r="BT190" s="877"/>
      <c r="BU190" s="877"/>
      <c r="BV190" s="877"/>
      <c r="BW190" s="877"/>
      <c r="BX190" s="877"/>
      <c r="BY190" s="877"/>
      <c r="BZ190" s="877"/>
      <c r="CA190" s="878"/>
      <c r="CB190" s="885"/>
      <c r="CI190" s="319"/>
      <c r="CJ190" s="876"/>
      <c r="CK190" s="877"/>
      <c r="CL190" s="877"/>
      <c r="CM190" s="877"/>
      <c r="CN190" s="877"/>
      <c r="CO190" s="877"/>
      <c r="CP190" s="877"/>
      <c r="CQ190" s="877"/>
      <c r="CR190" s="877"/>
      <c r="CS190" s="877"/>
      <c r="CT190" s="877"/>
      <c r="CU190" s="878"/>
      <c r="CV190" s="885"/>
    </row>
    <row r="191" spans="10:100" ht="24" customHeight="1" x14ac:dyDescent="0.25">
      <c r="J191" s="319"/>
      <c r="K191" s="876"/>
      <c r="L191" s="877"/>
      <c r="M191" s="877"/>
      <c r="N191" s="877"/>
      <c r="O191" s="877"/>
      <c r="P191" s="877"/>
      <c r="Q191" s="877"/>
      <c r="R191" s="877"/>
      <c r="S191" s="877"/>
      <c r="T191" s="877"/>
      <c r="U191" s="877"/>
      <c r="V191" s="878"/>
      <c r="W191" s="885"/>
      <c r="AC191" s="319"/>
      <c r="AD191" s="876"/>
      <c r="AE191" s="877"/>
      <c r="AF191" s="877"/>
      <c r="AG191" s="877"/>
      <c r="AH191" s="877"/>
      <c r="AI191" s="877"/>
      <c r="AJ191" s="877"/>
      <c r="AK191" s="877"/>
      <c r="AL191" s="877"/>
      <c r="AM191" s="877"/>
      <c r="AN191" s="877"/>
      <c r="AO191" s="878"/>
      <c r="AP191" s="885"/>
      <c r="AV191" s="319"/>
      <c r="AW191" s="876"/>
      <c r="AX191" s="877"/>
      <c r="AY191" s="877"/>
      <c r="AZ191" s="877"/>
      <c r="BA191" s="877"/>
      <c r="BB191" s="877"/>
      <c r="BC191" s="877"/>
      <c r="BD191" s="877"/>
      <c r="BE191" s="877"/>
      <c r="BF191" s="877"/>
      <c r="BG191" s="877"/>
      <c r="BH191" s="878"/>
      <c r="BI191" s="885"/>
      <c r="BO191" s="319"/>
      <c r="BP191" s="876"/>
      <c r="BQ191" s="877"/>
      <c r="BR191" s="877"/>
      <c r="BS191" s="877"/>
      <c r="BT191" s="877"/>
      <c r="BU191" s="877"/>
      <c r="BV191" s="877"/>
      <c r="BW191" s="877"/>
      <c r="BX191" s="877"/>
      <c r="BY191" s="877"/>
      <c r="BZ191" s="877"/>
      <c r="CA191" s="878"/>
      <c r="CB191" s="885"/>
      <c r="CI191" s="319"/>
      <c r="CJ191" s="876"/>
      <c r="CK191" s="877"/>
      <c r="CL191" s="877"/>
      <c r="CM191" s="877"/>
      <c r="CN191" s="877"/>
      <c r="CO191" s="877"/>
      <c r="CP191" s="877"/>
      <c r="CQ191" s="877"/>
      <c r="CR191" s="877"/>
      <c r="CS191" s="877"/>
      <c r="CT191" s="877"/>
      <c r="CU191" s="878"/>
      <c r="CV191" s="885"/>
    </row>
    <row r="192" spans="10:100" ht="24" customHeight="1" x14ac:dyDescent="0.25">
      <c r="J192" s="319"/>
      <c r="K192" s="876"/>
      <c r="L192" s="877"/>
      <c r="M192" s="877"/>
      <c r="N192" s="877"/>
      <c r="O192" s="877"/>
      <c r="P192" s="877"/>
      <c r="Q192" s="877"/>
      <c r="R192" s="877"/>
      <c r="S192" s="877"/>
      <c r="T192" s="877"/>
      <c r="U192" s="877"/>
      <c r="V192" s="878"/>
      <c r="W192" s="885"/>
      <c r="AC192" s="319"/>
      <c r="AD192" s="876"/>
      <c r="AE192" s="877"/>
      <c r="AF192" s="877"/>
      <c r="AG192" s="877"/>
      <c r="AH192" s="877"/>
      <c r="AI192" s="877"/>
      <c r="AJ192" s="877"/>
      <c r="AK192" s="877"/>
      <c r="AL192" s="877"/>
      <c r="AM192" s="877"/>
      <c r="AN192" s="877"/>
      <c r="AO192" s="878"/>
      <c r="AP192" s="885"/>
      <c r="AV192" s="319"/>
      <c r="AW192" s="876"/>
      <c r="AX192" s="877"/>
      <c r="AY192" s="877"/>
      <c r="AZ192" s="877"/>
      <c r="BA192" s="877"/>
      <c r="BB192" s="877"/>
      <c r="BC192" s="877"/>
      <c r="BD192" s="877"/>
      <c r="BE192" s="877"/>
      <c r="BF192" s="877"/>
      <c r="BG192" s="877"/>
      <c r="BH192" s="878"/>
      <c r="BI192" s="885"/>
      <c r="BO192" s="319"/>
      <c r="BP192" s="876"/>
      <c r="BQ192" s="877"/>
      <c r="BR192" s="877"/>
      <c r="BS192" s="877"/>
      <c r="BT192" s="877"/>
      <c r="BU192" s="877"/>
      <c r="BV192" s="877"/>
      <c r="BW192" s="877"/>
      <c r="BX192" s="877"/>
      <c r="BY192" s="877"/>
      <c r="BZ192" s="877"/>
      <c r="CA192" s="878"/>
      <c r="CB192" s="885"/>
      <c r="CI192" s="319"/>
      <c r="CJ192" s="876"/>
      <c r="CK192" s="877"/>
      <c r="CL192" s="877"/>
      <c r="CM192" s="877"/>
      <c r="CN192" s="877"/>
      <c r="CO192" s="877"/>
      <c r="CP192" s="877"/>
      <c r="CQ192" s="877"/>
      <c r="CR192" s="877"/>
      <c r="CS192" s="877"/>
      <c r="CT192" s="877"/>
      <c r="CU192" s="878"/>
      <c r="CV192" s="885"/>
    </row>
    <row r="193" spans="10:100" ht="24" customHeight="1" x14ac:dyDescent="0.25">
      <c r="J193" s="319"/>
      <c r="K193" s="876"/>
      <c r="L193" s="877"/>
      <c r="M193" s="877"/>
      <c r="N193" s="877"/>
      <c r="O193" s="877"/>
      <c r="P193" s="877"/>
      <c r="Q193" s="877"/>
      <c r="R193" s="877"/>
      <c r="S193" s="877"/>
      <c r="T193" s="877"/>
      <c r="U193" s="877"/>
      <c r="V193" s="878"/>
      <c r="W193" s="885"/>
      <c r="AC193" s="319"/>
      <c r="AD193" s="876"/>
      <c r="AE193" s="877"/>
      <c r="AF193" s="877"/>
      <c r="AG193" s="877"/>
      <c r="AH193" s="877"/>
      <c r="AI193" s="877"/>
      <c r="AJ193" s="877"/>
      <c r="AK193" s="877"/>
      <c r="AL193" s="877"/>
      <c r="AM193" s="877"/>
      <c r="AN193" s="877"/>
      <c r="AO193" s="878"/>
      <c r="AP193" s="885"/>
      <c r="AV193" s="319"/>
      <c r="AW193" s="876"/>
      <c r="AX193" s="877"/>
      <c r="AY193" s="877"/>
      <c r="AZ193" s="877"/>
      <c r="BA193" s="877"/>
      <c r="BB193" s="877"/>
      <c r="BC193" s="877"/>
      <c r="BD193" s="877"/>
      <c r="BE193" s="877"/>
      <c r="BF193" s="877"/>
      <c r="BG193" s="877"/>
      <c r="BH193" s="878"/>
      <c r="BI193" s="885"/>
      <c r="BO193" s="319"/>
      <c r="BP193" s="876"/>
      <c r="BQ193" s="877"/>
      <c r="BR193" s="877"/>
      <c r="BS193" s="877"/>
      <c r="BT193" s="877"/>
      <c r="BU193" s="877"/>
      <c r="BV193" s="877"/>
      <c r="BW193" s="877"/>
      <c r="BX193" s="877"/>
      <c r="BY193" s="877"/>
      <c r="BZ193" s="877"/>
      <c r="CA193" s="878"/>
      <c r="CB193" s="885"/>
      <c r="CI193" s="319"/>
      <c r="CJ193" s="876"/>
      <c r="CK193" s="877"/>
      <c r="CL193" s="877"/>
      <c r="CM193" s="877"/>
      <c r="CN193" s="877"/>
      <c r="CO193" s="877"/>
      <c r="CP193" s="877"/>
      <c r="CQ193" s="877"/>
      <c r="CR193" s="877"/>
      <c r="CS193" s="877"/>
      <c r="CT193" s="877"/>
      <c r="CU193" s="878"/>
      <c r="CV193" s="885"/>
    </row>
    <row r="194" spans="10:100" ht="24" customHeight="1" x14ac:dyDescent="0.25">
      <c r="J194" s="319"/>
      <c r="K194" s="876"/>
      <c r="L194" s="877"/>
      <c r="M194" s="877"/>
      <c r="N194" s="877"/>
      <c r="O194" s="877"/>
      <c r="P194" s="877"/>
      <c r="Q194" s="877"/>
      <c r="R194" s="877"/>
      <c r="S194" s="877"/>
      <c r="T194" s="877"/>
      <c r="U194" s="877"/>
      <c r="V194" s="878"/>
      <c r="W194" s="885"/>
      <c r="AC194" s="319"/>
      <c r="AD194" s="876"/>
      <c r="AE194" s="877"/>
      <c r="AF194" s="877"/>
      <c r="AG194" s="877"/>
      <c r="AH194" s="877"/>
      <c r="AI194" s="877"/>
      <c r="AJ194" s="877"/>
      <c r="AK194" s="877"/>
      <c r="AL194" s="877"/>
      <c r="AM194" s="877"/>
      <c r="AN194" s="877"/>
      <c r="AO194" s="878"/>
      <c r="AP194" s="885"/>
      <c r="AV194" s="319"/>
      <c r="AW194" s="876"/>
      <c r="AX194" s="877"/>
      <c r="AY194" s="877"/>
      <c r="AZ194" s="877"/>
      <c r="BA194" s="877"/>
      <c r="BB194" s="877"/>
      <c r="BC194" s="877"/>
      <c r="BD194" s="877"/>
      <c r="BE194" s="877"/>
      <c r="BF194" s="877"/>
      <c r="BG194" s="877"/>
      <c r="BH194" s="878"/>
      <c r="BI194" s="885"/>
      <c r="BO194" s="319"/>
      <c r="BP194" s="876"/>
      <c r="BQ194" s="877"/>
      <c r="BR194" s="877"/>
      <c r="BS194" s="877"/>
      <c r="BT194" s="877"/>
      <c r="BU194" s="877"/>
      <c r="BV194" s="877"/>
      <c r="BW194" s="877"/>
      <c r="BX194" s="877"/>
      <c r="BY194" s="877"/>
      <c r="BZ194" s="877"/>
      <c r="CA194" s="878"/>
      <c r="CB194" s="885"/>
      <c r="CI194" s="319"/>
      <c r="CJ194" s="876"/>
      <c r="CK194" s="877"/>
      <c r="CL194" s="877"/>
      <c r="CM194" s="877"/>
      <c r="CN194" s="877"/>
      <c r="CO194" s="877"/>
      <c r="CP194" s="877"/>
      <c r="CQ194" s="877"/>
      <c r="CR194" s="877"/>
      <c r="CS194" s="877"/>
      <c r="CT194" s="877"/>
      <c r="CU194" s="878"/>
      <c r="CV194" s="885"/>
    </row>
    <row r="195" spans="10:100" ht="24" customHeight="1" x14ac:dyDescent="0.25">
      <c r="J195" s="319"/>
      <c r="K195" s="876"/>
      <c r="L195" s="877"/>
      <c r="M195" s="877"/>
      <c r="N195" s="877"/>
      <c r="O195" s="877"/>
      <c r="P195" s="877"/>
      <c r="Q195" s="877"/>
      <c r="R195" s="877"/>
      <c r="S195" s="877"/>
      <c r="T195" s="877"/>
      <c r="U195" s="877"/>
      <c r="V195" s="878"/>
      <c r="W195" s="885"/>
      <c r="AC195" s="319"/>
      <c r="AD195" s="876"/>
      <c r="AE195" s="877"/>
      <c r="AF195" s="877"/>
      <c r="AG195" s="877"/>
      <c r="AH195" s="877"/>
      <c r="AI195" s="877"/>
      <c r="AJ195" s="877"/>
      <c r="AK195" s="877"/>
      <c r="AL195" s="877"/>
      <c r="AM195" s="877"/>
      <c r="AN195" s="877"/>
      <c r="AO195" s="878"/>
      <c r="AP195" s="885"/>
      <c r="AV195" s="319"/>
      <c r="AW195" s="876"/>
      <c r="AX195" s="877"/>
      <c r="AY195" s="877"/>
      <c r="AZ195" s="877"/>
      <c r="BA195" s="877"/>
      <c r="BB195" s="877"/>
      <c r="BC195" s="877"/>
      <c r="BD195" s="877"/>
      <c r="BE195" s="877"/>
      <c r="BF195" s="877"/>
      <c r="BG195" s="877"/>
      <c r="BH195" s="878"/>
      <c r="BI195" s="885"/>
      <c r="BO195" s="319"/>
      <c r="BP195" s="876"/>
      <c r="BQ195" s="877"/>
      <c r="BR195" s="877"/>
      <c r="BS195" s="877"/>
      <c r="BT195" s="877"/>
      <c r="BU195" s="877"/>
      <c r="BV195" s="877"/>
      <c r="BW195" s="877"/>
      <c r="BX195" s="877"/>
      <c r="BY195" s="877"/>
      <c r="BZ195" s="877"/>
      <c r="CA195" s="878"/>
      <c r="CB195" s="885"/>
      <c r="CI195" s="319"/>
      <c r="CJ195" s="876"/>
      <c r="CK195" s="877"/>
      <c r="CL195" s="877"/>
      <c r="CM195" s="877"/>
      <c r="CN195" s="877"/>
      <c r="CO195" s="877"/>
      <c r="CP195" s="877"/>
      <c r="CQ195" s="877"/>
      <c r="CR195" s="877"/>
      <c r="CS195" s="877"/>
      <c r="CT195" s="877"/>
      <c r="CU195" s="878"/>
      <c r="CV195" s="885"/>
    </row>
    <row r="196" spans="10:100" ht="24" customHeight="1" x14ac:dyDescent="0.25">
      <c r="J196" s="319"/>
      <c r="K196" s="876"/>
      <c r="L196" s="877"/>
      <c r="M196" s="877"/>
      <c r="N196" s="877"/>
      <c r="O196" s="877"/>
      <c r="P196" s="877"/>
      <c r="Q196" s="877"/>
      <c r="R196" s="877"/>
      <c r="S196" s="877"/>
      <c r="T196" s="877"/>
      <c r="U196" s="877"/>
      <c r="V196" s="878"/>
      <c r="W196" s="885"/>
      <c r="AC196" s="319"/>
      <c r="AD196" s="876"/>
      <c r="AE196" s="877"/>
      <c r="AF196" s="877"/>
      <c r="AG196" s="877"/>
      <c r="AH196" s="877"/>
      <c r="AI196" s="877"/>
      <c r="AJ196" s="877"/>
      <c r="AK196" s="877"/>
      <c r="AL196" s="877"/>
      <c r="AM196" s="877"/>
      <c r="AN196" s="877"/>
      <c r="AO196" s="878"/>
      <c r="AP196" s="885"/>
      <c r="AV196" s="319"/>
      <c r="AW196" s="876"/>
      <c r="AX196" s="877"/>
      <c r="AY196" s="877"/>
      <c r="AZ196" s="877"/>
      <c r="BA196" s="877"/>
      <c r="BB196" s="877"/>
      <c r="BC196" s="877"/>
      <c r="BD196" s="877"/>
      <c r="BE196" s="877"/>
      <c r="BF196" s="877"/>
      <c r="BG196" s="877"/>
      <c r="BH196" s="878"/>
      <c r="BI196" s="885"/>
      <c r="BO196" s="319"/>
      <c r="BP196" s="876"/>
      <c r="BQ196" s="877"/>
      <c r="BR196" s="877"/>
      <c r="BS196" s="877"/>
      <c r="BT196" s="877"/>
      <c r="BU196" s="877"/>
      <c r="BV196" s="877"/>
      <c r="BW196" s="877"/>
      <c r="BX196" s="877"/>
      <c r="BY196" s="877"/>
      <c r="BZ196" s="877"/>
      <c r="CA196" s="878"/>
      <c r="CB196" s="885"/>
      <c r="CI196" s="319"/>
      <c r="CJ196" s="876"/>
      <c r="CK196" s="877"/>
      <c r="CL196" s="877"/>
      <c r="CM196" s="877"/>
      <c r="CN196" s="877"/>
      <c r="CO196" s="877"/>
      <c r="CP196" s="877"/>
      <c r="CQ196" s="877"/>
      <c r="CR196" s="877"/>
      <c r="CS196" s="877"/>
      <c r="CT196" s="877"/>
      <c r="CU196" s="878"/>
      <c r="CV196" s="885"/>
    </row>
    <row r="197" spans="10:100" ht="24" customHeight="1" x14ac:dyDescent="0.25">
      <c r="J197" s="319"/>
      <c r="K197" s="876"/>
      <c r="L197" s="877"/>
      <c r="M197" s="877"/>
      <c r="N197" s="877"/>
      <c r="O197" s="877"/>
      <c r="P197" s="877"/>
      <c r="Q197" s="877"/>
      <c r="R197" s="877"/>
      <c r="S197" s="877"/>
      <c r="T197" s="877"/>
      <c r="U197" s="877"/>
      <c r="V197" s="878"/>
      <c r="W197" s="885"/>
      <c r="AC197" s="319"/>
      <c r="AD197" s="876"/>
      <c r="AE197" s="877"/>
      <c r="AF197" s="877"/>
      <c r="AG197" s="877"/>
      <c r="AH197" s="877"/>
      <c r="AI197" s="877"/>
      <c r="AJ197" s="877"/>
      <c r="AK197" s="877"/>
      <c r="AL197" s="877"/>
      <c r="AM197" s="877"/>
      <c r="AN197" s="877"/>
      <c r="AO197" s="878"/>
      <c r="AP197" s="885"/>
      <c r="AV197" s="319"/>
      <c r="AW197" s="876"/>
      <c r="AX197" s="877"/>
      <c r="AY197" s="877"/>
      <c r="AZ197" s="877"/>
      <c r="BA197" s="877"/>
      <c r="BB197" s="877"/>
      <c r="BC197" s="877"/>
      <c r="BD197" s="877"/>
      <c r="BE197" s="877"/>
      <c r="BF197" s="877"/>
      <c r="BG197" s="877"/>
      <c r="BH197" s="878"/>
      <c r="BI197" s="885"/>
      <c r="BO197" s="319"/>
      <c r="BP197" s="876"/>
      <c r="BQ197" s="877"/>
      <c r="BR197" s="877"/>
      <c r="BS197" s="877"/>
      <c r="BT197" s="877"/>
      <c r="BU197" s="877"/>
      <c r="BV197" s="877"/>
      <c r="BW197" s="877"/>
      <c r="BX197" s="877"/>
      <c r="BY197" s="877"/>
      <c r="BZ197" s="877"/>
      <c r="CA197" s="878"/>
      <c r="CB197" s="885"/>
      <c r="CI197" s="319"/>
      <c r="CJ197" s="876"/>
      <c r="CK197" s="877"/>
      <c r="CL197" s="877"/>
      <c r="CM197" s="877"/>
      <c r="CN197" s="877"/>
      <c r="CO197" s="877"/>
      <c r="CP197" s="877"/>
      <c r="CQ197" s="877"/>
      <c r="CR197" s="877"/>
      <c r="CS197" s="877"/>
      <c r="CT197" s="877"/>
      <c r="CU197" s="878"/>
      <c r="CV197" s="885"/>
    </row>
    <row r="198" spans="10:100" ht="24" customHeight="1" x14ac:dyDescent="0.25">
      <c r="J198" s="319"/>
      <c r="K198" s="876"/>
      <c r="L198" s="877"/>
      <c r="M198" s="877"/>
      <c r="N198" s="877"/>
      <c r="O198" s="877"/>
      <c r="P198" s="877"/>
      <c r="Q198" s="877"/>
      <c r="R198" s="877"/>
      <c r="S198" s="877"/>
      <c r="T198" s="877"/>
      <c r="U198" s="877"/>
      <c r="V198" s="878"/>
      <c r="W198" s="885"/>
      <c r="AC198" s="319"/>
      <c r="AD198" s="876"/>
      <c r="AE198" s="877"/>
      <c r="AF198" s="877"/>
      <c r="AG198" s="877"/>
      <c r="AH198" s="877"/>
      <c r="AI198" s="877"/>
      <c r="AJ198" s="877"/>
      <c r="AK198" s="877"/>
      <c r="AL198" s="877"/>
      <c r="AM198" s="877"/>
      <c r="AN198" s="877"/>
      <c r="AO198" s="878"/>
      <c r="AP198" s="885"/>
      <c r="AV198" s="319"/>
      <c r="AW198" s="876"/>
      <c r="AX198" s="877"/>
      <c r="AY198" s="877"/>
      <c r="AZ198" s="877"/>
      <c r="BA198" s="877"/>
      <c r="BB198" s="877"/>
      <c r="BC198" s="877"/>
      <c r="BD198" s="877"/>
      <c r="BE198" s="877"/>
      <c r="BF198" s="877"/>
      <c r="BG198" s="877"/>
      <c r="BH198" s="878"/>
      <c r="BI198" s="885"/>
      <c r="BO198" s="319"/>
      <c r="BP198" s="876"/>
      <c r="BQ198" s="877"/>
      <c r="BR198" s="877"/>
      <c r="BS198" s="877"/>
      <c r="BT198" s="877"/>
      <c r="BU198" s="877"/>
      <c r="BV198" s="877"/>
      <c r="BW198" s="877"/>
      <c r="BX198" s="877"/>
      <c r="BY198" s="877"/>
      <c r="BZ198" s="877"/>
      <c r="CA198" s="878"/>
      <c r="CB198" s="885"/>
      <c r="CI198" s="319"/>
      <c r="CJ198" s="876"/>
      <c r="CK198" s="877"/>
      <c r="CL198" s="877"/>
      <c r="CM198" s="877"/>
      <c r="CN198" s="877"/>
      <c r="CO198" s="877"/>
      <c r="CP198" s="877"/>
      <c r="CQ198" s="877"/>
      <c r="CR198" s="877"/>
      <c r="CS198" s="877"/>
      <c r="CT198" s="877"/>
      <c r="CU198" s="878"/>
      <c r="CV198" s="885"/>
    </row>
    <row r="199" spans="10:100" ht="24" customHeight="1" x14ac:dyDescent="0.25">
      <c r="J199" s="319"/>
      <c r="K199" s="876"/>
      <c r="L199" s="877"/>
      <c r="M199" s="877"/>
      <c r="N199" s="877"/>
      <c r="O199" s="877"/>
      <c r="P199" s="877"/>
      <c r="Q199" s="877"/>
      <c r="R199" s="877"/>
      <c r="S199" s="877"/>
      <c r="T199" s="877"/>
      <c r="U199" s="877"/>
      <c r="V199" s="878"/>
      <c r="W199" s="885"/>
      <c r="AC199" s="319"/>
      <c r="AD199" s="876"/>
      <c r="AE199" s="877"/>
      <c r="AF199" s="877"/>
      <c r="AG199" s="877"/>
      <c r="AH199" s="877"/>
      <c r="AI199" s="877"/>
      <c r="AJ199" s="877"/>
      <c r="AK199" s="877"/>
      <c r="AL199" s="877"/>
      <c r="AM199" s="877"/>
      <c r="AN199" s="877"/>
      <c r="AO199" s="878"/>
      <c r="AP199" s="885"/>
      <c r="AV199" s="319"/>
      <c r="AW199" s="876"/>
      <c r="AX199" s="877"/>
      <c r="AY199" s="877"/>
      <c r="AZ199" s="877"/>
      <c r="BA199" s="877"/>
      <c r="BB199" s="877"/>
      <c r="BC199" s="877"/>
      <c r="BD199" s="877"/>
      <c r="BE199" s="877"/>
      <c r="BF199" s="877"/>
      <c r="BG199" s="877"/>
      <c r="BH199" s="878"/>
      <c r="BI199" s="885"/>
      <c r="BO199" s="319"/>
      <c r="BP199" s="876"/>
      <c r="BQ199" s="877"/>
      <c r="BR199" s="877"/>
      <c r="BS199" s="877"/>
      <c r="BT199" s="877"/>
      <c r="BU199" s="877"/>
      <c r="BV199" s="877"/>
      <c r="BW199" s="877"/>
      <c r="BX199" s="877"/>
      <c r="BY199" s="877"/>
      <c r="BZ199" s="877"/>
      <c r="CA199" s="878"/>
      <c r="CB199" s="885"/>
      <c r="CI199" s="319"/>
      <c r="CJ199" s="876"/>
      <c r="CK199" s="877"/>
      <c r="CL199" s="877"/>
      <c r="CM199" s="877"/>
      <c r="CN199" s="877"/>
      <c r="CO199" s="877"/>
      <c r="CP199" s="877"/>
      <c r="CQ199" s="877"/>
      <c r="CR199" s="877"/>
      <c r="CS199" s="877"/>
      <c r="CT199" s="877"/>
      <c r="CU199" s="878"/>
      <c r="CV199" s="885"/>
    </row>
    <row r="200" spans="10:100" ht="24" customHeight="1" x14ac:dyDescent="0.25">
      <c r="J200" s="319"/>
      <c r="K200" s="876"/>
      <c r="L200" s="877"/>
      <c r="M200" s="877"/>
      <c r="N200" s="877"/>
      <c r="O200" s="877"/>
      <c r="P200" s="877"/>
      <c r="Q200" s="877"/>
      <c r="R200" s="877"/>
      <c r="S200" s="877"/>
      <c r="T200" s="877"/>
      <c r="U200" s="877"/>
      <c r="V200" s="878"/>
      <c r="W200" s="885"/>
      <c r="AC200" s="319"/>
      <c r="AD200" s="876"/>
      <c r="AE200" s="877"/>
      <c r="AF200" s="877"/>
      <c r="AG200" s="877"/>
      <c r="AH200" s="877"/>
      <c r="AI200" s="877"/>
      <c r="AJ200" s="877"/>
      <c r="AK200" s="877"/>
      <c r="AL200" s="877"/>
      <c r="AM200" s="877"/>
      <c r="AN200" s="877"/>
      <c r="AO200" s="878"/>
      <c r="AP200" s="885"/>
      <c r="AV200" s="319"/>
      <c r="AW200" s="876"/>
      <c r="AX200" s="877"/>
      <c r="AY200" s="877"/>
      <c r="AZ200" s="877"/>
      <c r="BA200" s="877"/>
      <c r="BB200" s="877"/>
      <c r="BC200" s="877"/>
      <c r="BD200" s="877"/>
      <c r="BE200" s="877"/>
      <c r="BF200" s="877"/>
      <c r="BG200" s="877"/>
      <c r="BH200" s="878"/>
      <c r="BI200" s="885"/>
      <c r="BO200" s="319"/>
      <c r="BP200" s="876"/>
      <c r="BQ200" s="877"/>
      <c r="BR200" s="877"/>
      <c r="BS200" s="877"/>
      <c r="BT200" s="877"/>
      <c r="BU200" s="877"/>
      <c r="BV200" s="877"/>
      <c r="BW200" s="877"/>
      <c r="BX200" s="877"/>
      <c r="BY200" s="877"/>
      <c r="BZ200" s="877"/>
      <c r="CA200" s="878"/>
      <c r="CB200" s="885"/>
      <c r="CI200" s="319"/>
      <c r="CJ200" s="876"/>
      <c r="CK200" s="877"/>
      <c r="CL200" s="877"/>
      <c r="CM200" s="877"/>
      <c r="CN200" s="877"/>
      <c r="CO200" s="877"/>
      <c r="CP200" s="877"/>
      <c r="CQ200" s="877"/>
      <c r="CR200" s="877"/>
      <c r="CS200" s="877"/>
      <c r="CT200" s="877"/>
      <c r="CU200" s="878"/>
      <c r="CV200" s="885"/>
    </row>
    <row r="201" spans="10:100" ht="24" customHeight="1" x14ac:dyDescent="0.25">
      <c r="J201" s="319"/>
      <c r="K201" s="876"/>
      <c r="L201" s="877"/>
      <c r="M201" s="877"/>
      <c r="N201" s="877"/>
      <c r="O201" s="877"/>
      <c r="P201" s="877"/>
      <c r="Q201" s="877"/>
      <c r="R201" s="877"/>
      <c r="S201" s="877"/>
      <c r="T201" s="877"/>
      <c r="U201" s="877"/>
      <c r="V201" s="878"/>
      <c r="W201" s="885"/>
      <c r="AC201" s="319"/>
      <c r="AD201" s="876"/>
      <c r="AE201" s="877"/>
      <c r="AF201" s="877"/>
      <c r="AG201" s="877"/>
      <c r="AH201" s="877"/>
      <c r="AI201" s="877"/>
      <c r="AJ201" s="877"/>
      <c r="AK201" s="877"/>
      <c r="AL201" s="877"/>
      <c r="AM201" s="877"/>
      <c r="AN201" s="877"/>
      <c r="AO201" s="878"/>
      <c r="AP201" s="885"/>
      <c r="AV201" s="319"/>
      <c r="AW201" s="876"/>
      <c r="AX201" s="877"/>
      <c r="AY201" s="877"/>
      <c r="AZ201" s="877"/>
      <c r="BA201" s="877"/>
      <c r="BB201" s="877"/>
      <c r="BC201" s="877"/>
      <c r="BD201" s="877"/>
      <c r="BE201" s="877"/>
      <c r="BF201" s="877"/>
      <c r="BG201" s="877"/>
      <c r="BH201" s="878"/>
      <c r="BI201" s="885"/>
      <c r="BO201" s="319"/>
      <c r="BP201" s="876"/>
      <c r="BQ201" s="877"/>
      <c r="BR201" s="877"/>
      <c r="BS201" s="877"/>
      <c r="BT201" s="877"/>
      <c r="BU201" s="877"/>
      <c r="BV201" s="877"/>
      <c r="BW201" s="877"/>
      <c r="BX201" s="877"/>
      <c r="BY201" s="877"/>
      <c r="BZ201" s="877"/>
      <c r="CA201" s="878"/>
      <c r="CB201" s="885"/>
      <c r="CI201" s="319"/>
      <c r="CJ201" s="876"/>
      <c r="CK201" s="877"/>
      <c r="CL201" s="877"/>
      <c r="CM201" s="877"/>
      <c r="CN201" s="877"/>
      <c r="CO201" s="877"/>
      <c r="CP201" s="877"/>
      <c r="CQ201" s="877"/>
      <c r="CR201" s="877"/>
      <c r="CS201" s="877"/>
      <c r="CT201" s="877"/>
      <c r="CU201" s="878"/>
      <c r="CV201" s="885"/>
    </row>
    <row r="202" spans="10:100" ht="24" customHeight="1" x14ac:dyDescent="0.25">
      <c r="J202" s="319"/>
      <c r="K202" s="876"/>
      <c r="L202" s="877"/>
      <c r="M202" s="877"/>
      <c r="N202" s="877"/>
      <c r="O202" s="877"/>
      <c r="P202" s="877"/>
      <c r="Q202" s="877"/>
      <c r="R202" s="877"/>
      <c r="S202" s="877"/>
      <c r="T202" s="877"/>
      <c r="U202" s="877"/>
      <c r="V202" s="878"/>
      <c r="W202" s="885"/>
      <c r="AC202" s="319"/>
      <c r="AD202" s="876"/>
      <c r="AE202" s="877"/>
      <c r="AF202" s="877"/>
      <c r="AG202" s="877"/>
      <c r="AH202" s="877"/>
      <c r="AI202" s="877"/>
      <c r="AJ202" s="877"/>
      <c r="AK202" s="877"/>
      <c r="AL202" s="877"/>
      <c r="AM202" s="877"/>
      <c r="AN202" s="877"/>
      <c r="AO202" s="878"/>
      <c r="AP202" s="885"/>
      <c r="AV202" s="319"/>
      <c r="AW202" s="876"/>
      <c r="AX202" s="877"/>
      <c r="AY202" s="877"/>
      <c r="AZ202" s="877"/>
      <c r="BA202" s="877"/>
      <c r="BB202" s="877"/>
      <c r="BC202" s="877"/>
      <c r="BD202" s="877"/>
      <c r="BE202" s="877"/>
      <c r="BF202" s="877"/>
      <c r="BG202" s="877"/>
      <c r="BH202" s="878"/>
      <c r="BI202" s="885"/>
      <c r="BO202" s="319"/>
      <c r="BP202" s="876"/>
      <c r="BQ202" s="877"/>
      <c r="BR202" s="877"/>
      <c r="BS202" s="877"/>
      <c r="BT202" s="877"/>
      <c r="BU202" s="877"/>
      <c r="BV202" s="877"/>
      <c r="BW202" s="877"/>
      <c r="BX202" s="877"/>
      <c r="BY202" s="877"/>
      <c r="BZ202" s="877"/>
      <c r="CA202" s="878"/>
      <c r="CB202" s="885"/>
      <c r="CI202" s="319"/>
      <c r="CJ202" s="876"/>
      <c r="CK202" s="877"/>
      <c r="CL202" s="877"/>
      <c r="CM202" s="877"/>
      <c r="CN202" s="877"/>
      <c r="CO202" s="877"/>
      <c r="CP202" s="877"/>
      <c r="CQ202" s="877"/>
      <c r="CR202" s="877"/>
      <c r="CS202" s="877"/>
      <c r="CT202" s="877"/>
      <c r="CU202" s="878"/>
      <c r="CV202" s="885"/>
    </row>
    <row r="203" spans="10:100" ht="24" customHeight="1" x14ac:dyDescent="0.25">
      <c r="J203" s="319"/>
      <c r="K203" s="876"/>
      <c r="L203" s="877"/>
      <c r="M203" s="877"/>
      <c r="N203" s="877"/>
      <c r="O203" s="877"/>
      <c r="P203" s="877"/>
      <c r="Q203" s="877"/>
      <c r="R203" s="877"/>
      <c r="S203" s="877"/>
      <c r="T203" s="877"/>
      <c r="U203" s="877"/>
      <c r="V203" s="878"/>
      <c r="W203" s="885"/>
      <c r="AC203" s="319"/>
      <c r="AD203" s="876"/>
      <c r="AE203" s="877"/>
      <c r="AF203" s="877"/>
      <c r="AG203" s="877"/>
      <c r="AH203" s="877"/>
      <c r="AI203" s="877"/>
      <c r="AJ203" s="877"/>
      <c r="AK203" s="877"/>
      <c r="AL203" s="877"/>
      <c r="AM203" s="877"/>
      <c r="AN203" s="877"/>
      <c r="AO203" s="878"/>
      <c r="AP203" s="885"/>
      <c r="AV203" s="319"/>
      <c r="AW203" s="876"/>
      <c r="AX203" s="877"/>
      <c r="AY203" s="877"/>
      <c r="AZ203" s="877"/>
      <c r="BA203" s="877"/>
      <c r="BB203" s="877"/>
      <c r="BC203" s="877"/>
      <c r="BD203" s="877"/>
      <c r="BE203" s="877"/>
      <c r="BF203" s="877"/>
      <c r="BG203" s="877"/>
      <c r="BH203" s="878"/>
      <c r="BI203" s="885"/>
      <c r="BO203" s="319"/>
      <c r="BP203" s="876"/>
      <c r="BQ203" s="877"/>
      <c r="BR203" s="877"/>
      <c r="BS203" s="877"/>
      <c r="BT203" s="877"/>
      <c r="BU203" s="877"/>
      <c r="BV203" s="877"/>
      <c r="BW203" s="877"/>
      <c r="BX203" s="877"/>
      <c r="BY203" s="877"/>
      <c r="BZ203" s="877"/>
      <c r="CA203" s="878"/>
      <c r="CB203" s="885"/>
      <c r="CI203" s="319"/>
      <c r="CJ203" s="876"/>
      <c r="CK203" s="877"/>
      <c r="CL203" s="877"/>
      <c r="CM203" s="877"/>
      <c r="CN203" s="877"/>
      <c r="CO203" s="877"/>
      <c r="CP203" s="877"/>
      <c r="CQ203" s="877"/>
      <c r="CR203" s="877"/>
      <c r="CS203" s="877"/>
      <c r="CT203" s="877"/>
      <c r="CU203" s="878"/>
      <c r="CV203" s="885"/>
    </row>
    <row r="204" spans="10:100" ht="24" customHeight="1" x14ac:dyDescent="0.25">
      <c r="J204" s="319"/>
      <c r="K204" s="876"/>
      <c r="L204" s="877"/>
      <c r="M204" s="877"/>
      <c r="N204" s="877"/>
      <c r="O204" s="877"/>
      <c r="P204" s="877"/>
      <c r="Q204" s="877"/>
      <c r="R204" s="877"/>
      <c r="S204" s="877"/>
      <c r="T204" s="877"/>
      <c r="U204" s="877"/>
      <c r="V204" s="878"/>
      <c r="W204" s="885"/>
      <c r="AC204" s="319"/>
      <c r="AD204" s="876"/>
      <c r="AE204" s="877"/>
      <c r="AF204" s="877"/>
      <c r="AG204" s="877"/>
      <c r="AH204" s="877"/>
      <c r="AI204" s="877"/>
      <c r="AJ204" s="877"/>
      <c r="AK204" s="877"/>
      <c r="AL204" s="877"/>
      <c r="AM204" s="877"/>
      <c r="AN204" s="877"/>
      <c r="AO204" s="878"/>
      <c r="AP204" s="885"/>
      <c r="AV204" s="319"/>
      <c r="AW204" s="876"/>
      <c r="AX204" s="877"/>
      <c r="AY204" s="877"/>
      <c r="AZ204" s="877"/>
      <c r="BA204" s="877"/>
      <c r="BB204" s="877"/>
      <c r="BC204" s="877"/>
      <c r="BD204" s="877"/>
      <c r="BE204" s="877"/>
      <c r="BF204" s="877"/>
      <c r="BG204" s="877"/>
      <c r="BH204" s="878"/>
      <c r="BI204" s="885"/>
      <c r="BO204" s="319"/>
      <c r="BP204" s="876"/>
      <c r="BQ204" s="877"/>
      <c r="BR204" s="877"/>
      <c r="BS204" s="877"/>
      <c r="BT204" s="877"/>
      <c r="BU204" s="877"/>
      <c r="BV204" s="877"/>
      <c r="BW204" s="877"/>
      <c r="BX204" s="877"/>
      <c r="BY204" s="877"/>
      <c r="BZ204" s="877"/>
      <c r="CA204" s="878"/>
      <c r="CB204" s="885"/>
      <c r="CI204" s="319"/>
      <c r="CJ204" s="876"/>
      <c r="CK204" s="877"/>
      <c r="CL204" s="877"/>
      <c r="CM204" s="877"/>
      <c r="CN204" s="877"/>
      <c r="CO204" s="877"/>
      <c r="CP204" s="877"/>
      <c r="CQ204" s="877"/>
      <c r="CR204" s="877"/>
      <c r="CS204" s="877"/>
      <c r="CT204" s="877"/>
      <c r="CU204" s="878"/>
      <c r="CV204" s="885"/>
    </row>
    <row r="205" spans="10:100" ht="24" customHeight="1" x14ac:dyDescent="0.25">
      <c r="J205" s="319"/>
      <c r="K205" s="876"/>
      <c r="L205" s="877"/>
      <c r="M205" s="877"/>
      <c r="N205" s="877"/>
      <c r="O205" s="877"/>
      <c r="P205" s="877"/>
      <c r="Q205" s="877"/>
      <c r="R205" s="877"/>
      <c r="S205" s="877"/>
      <c r="T205" s="877"/>
      <c r="U205" s="877"/>
      <c r="V205" s="878"/>
      <c r="W205" s="356"/>
      <c r="AC205" s="319"/>
      <c r="AD205" s="876"/>
      <c r="AE205" s="877"/>
      <c r="AF205" s="877"/>
      <c r="AG205" s="877"/>
      <c r="AH205" s="877"/>
      <c r="AI205" s="877"/>
      <c r="AJ205" s="877"/>
      <c r="AK205" s="877"/>
      <c r="AL205" s="877"/>
      <c r="AM205" s="877"/>
      <c r="AN205" s="877"/>
      <c r="AO205" s="878"/>
      <c r="AP205" s="356"/>
      <c r="AV205" s="319"/>
      <c r="AW205" s="876"/>
      <c r="AX205" s="877"/>
      <c r="AY205" s="877"/>
      <c r="AZ205" s="877"/>
      <c r="BA205" s="877"/>
      <c r="BB205" s="877"/>
      <c r="BC205" s="877"/>
      <c r="BD205" s="877"/>
      <c r="BE205" s="877"/>
      <c r="BF205" s="877"/>
      <c r="BG205" s="877"/>
      <c r="BH205" s="878"/>
      <c r="BI205" s="356"/>
      <c r="BO205" s="319"/>
      <c r="BP205" s="876"/>
      <c r="BQ205" s="877"/>
      <c r="BR205" s="877"/>
      <c r="BS205" s="877"/>
      <c r="BT205" s="877"/>
      <c r="BU205" s="877"/>
      <c r="BV205" s="877"/>
      <c r="BW205" s="877"/>
      <c r="BX205" s="877"/>
      <c r="BY205" s="877"/>
      <c r="BZ205" s="877"/>
      <c r="CA205" s="878"/>
      <c r="CB205" s="356"/>
      <c r="CI205" s="319"/>
      <c r="CJ205" s="876"/>
      <c r="CK205" s="877"/>
      <c r="CL205" s="877"/>
      <c r="CM205" s="877"/>
      <c r="CN205" s="877"/>
      <c r="CO205" s="877"/>
      <c r="CP205" s="877"/>
      <c r="CQ205" s="877"/>
      <c r="CR205" s="877"/>
      <c r="CS205" s="877"/>
      <c r="CT205" s="877"/>
      <c r="CU205" s="878"/>
      <c r="CV205" s="356"/>
    </row>
    <row r="206" spans="10:100" ht="24" customHeight="1" x14ac:dyDescent="0.25">
      <c r="J206" s="319"/>
      <c r="K206" s="879"/>
      <c r="L206" s="880"/>
      <c r="M206" s="880"/>
      <c r="N206" s="880"/>
      <c r="O206" s="880"/>
      <c r="P206" s="880"/>
      <c r="Q206" s="880"/>
      <c r="R206" s="880"/>
      <c r="S206" s="880"/>
      <c r="T206" s="880"/>
      <c r="U206" s="880"/>
      <c r="V206" s="881"/>
      <c r="W206" s="357"/>
      <c r="AC206" s="319"/>
      <c r="AD206" s="879"/>
      <c r="AE206" s="880"/>
      <c r="AF206" s="880"/>
      <c r="AG206" s="880"/>
      <c r="AH206" s="880"/>
      <c r="AI206" s="880"/>
      <c r="AJ206" s="880"/>
      <c r="AK206" s="880"/>
      <c r="AL206" s="880"/>
      <c r="AM206" s="880"/>
      <c r="AN206" s="880"/>
      <c r="AO206" s="881"/>
      <c r="AP206" s="357"/>
      <c r="AV206" s="319"/>
      <c r="AW206" s="879"/>
      <c r="AX206" s="880"/>
      <c r="AY206" s="880"/>
      <c r="AZ206" s="880"/>
      <c r="BA206" s="880"/>
      <c r="BB206" s="880"/>
      <c r="BC206" s="880"/>
      <c r="BD206" s="880"/>
      <c r="BE206" s="880"/>
      <c r="BF206" s="880"/>
      <c r="BG206" s="880"/>
      <c r="BH206" s="881"/>
      <c r="BI206" s="357"/>
      <c r="BO206" s="319"/>
      <c r="BP206" s="879"/>
      <c r="BQ206" s="880"/>
      <c r="BR206" s="880"/>
      <c r="BS206" s="880"/>
      <c r="BT206" s="880"/>
      <c r="BU206" s="880"/>
      <c r="BV206" s="880"/>
      <c r="BW206" s="880"/>
      <c r="BX206" s="880"/>
      <c r="BY206" s="880"/>
      <c r="BZ206" s="880"/>
      <c r="CA206" s="881"/>
      <c r="CB206" s="357"/>
      <c r="CI206" s="319"/>
      <c r="CJ206" s="879"/>
      <c r="CK206" s="880"/>
      <c r="CL206" s="880"/>
      <c r="CM206" s="880"/>
      <c r="CN206" s="880"/>
      <c r="CO206" s="880"/>
      <c r="CP206" s="880"/>
      <c r="CQ206" s="880"/>
      <c r="CR206" s="880"/>
      <c r="CS206" s="880"/>
      <c r="CT206" s="880"/>
      <c r="CU206" s="881"/>
      <c r="CV206" s="357"/>
    </row>
    <row r="207" spans="10:100" ht="24" customHeight="1" x14ac:dyDescent="0.25">
      <c r="J207" s="319"/>
      <c r="K207" s="886"/>
      <c r="L207" s="886"/>
      <c r="M207" s="886"/>
      <c r="N207" s="886"/>
      <c r="O207" s="886"/>
      <c r="P207" s="886"/>
      <c r="Q207" s="886"/>
      <c r="R207" s="886"/>
      <c r="S207" s="886"/>
      <c r="T207" s="886"/>
      <c r="U207" s="886"/>
      <c r="V207" s="886"/>
      <c r="W207" s="357"/>
      <c r="AC207" s="319"/>
      <c r="AD207" s="886"/>
      <c r="AE207" s="886"/>
      <c r="AF207" s="886"/>
      <c r="AG207" s="886"/>
      <c r="AH207" s="886"/>
      <c r="AI207" s="886"/>
      <c r="AJ207" s="886"/>
      <c r="AK207" s="886"/>
      <c r="AL207" s="886"/>
      <c r="AM207" s="886"/>
      <c r="AN207" s="886"/>
      <c r="AO207" s="886"/>
      <c r="AP207" s="357"/>
      <c r="AV207" s="319"/>
      <c r="AW207" s="886"/>
      <c r="AX207" s="886"/>
      <c r="AY207" s="886"/>
      <c r="AZ207" s="886"/>
      <c r="BA207" s="886"/>
      <c r="BB207" s="886"/>
      <c r="BC207" s="886"/>
      <c r="BD207" s="886"/>
      <c r="BE207" s="886"/>
      <c r="BF207" s="886"/>
      <c r="BG207" s="886"/>
      <c r="BH207" s="886"/>
      <c r="BI207" s="357"/>
      <c r="BO207" s="319"/>
      <c r="BP207" s="886"/>
      <c r="BQ207" s="886"/>
      <c r="BR207" s="886"/>
      <c r="BS207" s="886"/>
      <c r="BT207" s="886"/>
      <c r="BU207" s="886"/>
      <c r="BV207" s="886"/>
      <c r="BW207" s="886"/>
      <c r="BX207" s="886"/>
      <c r="BY207" s="886"/>
      <c r="BZ207" s="886"/>
      <c r="CA207" s="886"/>
      <c r="CB207" s="357"/>
      <c r="CI207" s="319"/>
      <c r="CJ207" s="886"/>
      <c r="CK207" s="886"/>
      <c r="CL207" s="886"/>
      <c r="CM207" s="886"/>
      <c r="CN207" s="886"/>
      <c r="CO207" s="886"/>
      <c r="CP207" s="886"/>
      <c r="CQ207" s="886"/>
      <c r="CR207" s="886"/>
      <c r="CS207" s="886"/>
      <c r="CT207" s="886"/>
      <c r="CU207" s="886"/>
      <c r="CV207" s="357"/>
    </row>
    <row r="208" spans="10:100" ht="24" customHeight="1" thickBot="1" x14ac:dyDescent="0.3">
      <c r="J208" s="320"/>
      <c r="K208" s="887"/>
      <c r="L208" s="887"/>
      <c r="M208" s="887"/>
      <c r="N208" s="887"/>
      <c r="O208" s="887"/>
      <c r="P208" s="887"/>
      <c r="Q208" s="887"/>
      <c r="R208" s="887"/>
      <c r="S208" s="887"/>
      <c r="T208" s="887"/>
      <c r="U208" s="887"/>
      <c r="V208" s="887"/>
      <c r="W208" s="358"/>
      <c r="AC208" s="320"/>
      <c r="AD208" s="887"/>
      <c r="AE208" s="887"/>
      <c r="AF208" s="887"/>
      <c r="AG208" s="887"/>
      <c r="AH208" s="887"/>
      <c r="AI208" s="887"/>
      <c r="AJ208" s="887"/>
      <c r="AK208" s="887"/>
      <c r="AL208" s="887"/>
      <c r="AM208" s="887"/>
      <c r="AN208" s="887"/>
      <c r="AO208" s="887"/>
      <c r="AP208" s="358"/>
      <c r="AV208" s="320"/>
      <c r="AW208" s="887"/>
      <c r="AX208" s="887"/>
      <c r="AY208" s="887"/>
      <c r="AZ208" s="887"/>
      <c r="BA208" s="887"/>
      <c r="BB208" s="887"/>
      <c r="BC208" s="887"/>
      <c r="BD208" s="887"/>
      <c r="BE208" s="887"/>
      <c r="BF208" s="887"/>
      <c r="BG208" s="887"/>
      <c r="BH208" s="887"/>
      <c r="BI208" s="358"/>
      <c r="BO208" s="320"/>
      <c r="BP208" s="887"/>
      <c r="BQ208" s="887"/>
      <c r="BR208" s="887"/>
      <c r="BS208" s="887"/>
      <c r="BT208" s="887"/>
      <c r="BU208" s="887"/>
      <c r="BV208" s="887"/>
      <c r="BW208" s="887"/>
      <c r="BX208" s="887"/>
      <c r="BY208" s="887"/>
      <c r="BZ208" s="887"/>
      <c r="CA208" s="887"/>
      <c r="CB208" s="358"/>
      <c r="CI208" s="320"/>
      <c r="CJ208" s="887"/>
      <c r="CK208" s="887"/>
      <c r="CL208" s="887"/>
      <c r="CM208" s="887"/>
      <c r="CN208" s="887"/>
      <c r="CO208" s="887"/>
      <c r="CP208" s="887"/>
      <c r="CQ208" s="887"/>
      <c r="CR208" s="887"/>
      <c r="CS208" s="887"/>
      <c r="CT208" s="887"/>
      <c r="CU208" s="887"/>
      <c r="CV208" s="358"/>
    </row>
  </sheetData>
  <mergeCells count="680">
    <mergeCell ref="CU207:CU208"/>
    <mergeCell ref="CV173:CV174"/>
    <mergeCell ref="CJ175:CU206"/>
    <mergeCell ref="CV175:CV177"/>
    <mergeCell ref="CV178:CV180"/>
    <mergeCell ref="CV181:CV183"/>
    <mergeCell ref="CV184:CV186"/>
    <mergeCell ref="CV187:CV189"/>
    <mergeCell ref="CV190:CV192"/>
    <mergeCell ref="CV193:CV195"/>
    <mergeCell ref="CV196:CV198"/>
    <mergeCell ref="CV199:CV201"/>
    <mergeCell ref="CV202:CV204"/>
    <mergeCell ref="CV205:CV208"/>
    <mergeCell ref="CJ207:CJ208"/>
    <mergeCell ref="CK207:CK208"/>
    <mergeCell ref="CL207:CL208"/>
    <mergeCell ref="CM207:CM208"/>
    <mergeCell ref="CN207:CN208"/>
    <mergeCell ref="CO207:CO208"/>
    <mergeCell ref="CP207:CP208"/>
    <mergeCell ref="CQ207:CQ208"/>
    <mergeCell ref="CR207:CR208"/>
    <mergeCell ref="CS207:CS208"/>
    <mergeCell ref="CT207:CT208"/>
    <mergeCell ref="BP175:CA206"/>
    <mergeCell ref="CB175:CB177"/>
    <mergeCell ref="CB178:CB180"/>
    <mergeCell ref="CB181:CB183"/>
    <mergeCell ref="CB184:CB186"/>
    <mergeCell ref="CB187:CB189"/>
    <mergeCell ref="CB190:CB192"/>
    <mergeCell ref="CB193:CB195"/>
    <mergeCell ref="CB196:CB198"/>
    <mergeCell ref="CB199:CB201"/>
    <mergeCell ref="CB202:CB204"/>
    <mergeCell ref="CB205:CB208"/>
    <mergeCell ref="BP207:BP208"/>
    <mergeCell ref="BQ207:BQ208"/>
    <mergeCell ref="BR207:BR208"/>
    <mergeCell ref="BS207:BS208"/>
    <mergeCell ref="BT207:BT208"/>
    <mergeCell ref="BU207:BU208"/>
    <mergeCell ref="BV207:BV208"/>
    <mergeCell ref="BW207:BW208"/>
    <mergeCell ref="BX207:BX208"/>
    <mergeCell ref="BY207:BY208"/>
    <mergeCell ref="BZ207:BZ208"/>
    <mergeCell ref="CA207:CA208"/>
    <mergeCell ref="AW175:BH206"/>
    <mergeCell ref="BI175:BI177"/>
    <mergeCell ref="BI178:BI180"/>
    <mergeCell ref="BI181:BI183"/>
    <mergeCell ref="BI184:BI186"/>
    <mergeCell ref="BI187:BI189"/>
    <mergeCell ref="BI190:BI192"/>
    <mergeCell ref="BI193:BI195"/>
    <mergeCell ref="BI196:BI198"/>
    <mergeCell ref="BI199:BI201"/>
    <mergeCell ref="BI202:BI204"/>
    <mergeCell ref="BI205:BI208"/>
    <mergeCell ref="AW207:AW208"/>
    <mergeCell ref="AX207:AX208"/>
    <mergeCell ref="AY207:AY208"/>
    <mergeCell ref="AZ207:AZ208"/>
    <mergeCell ref="BA207:BA208"/>
    <mergeCell ref="BB207:BB208"/>
    <mergeCell ref="BC207:BC208"/>
    <mergeCell ref="BD207:BD208"/>
    <mergeCell ref="BE207:BE208"/>
    <mergeCell ref="BF207:BF208"/>
    <mergeCell ref="BG207:BG208"/>
    <mergeCell ref="BH207:BH208"/>
    <mergeCell ref="AD175:AO206"/>
    <mergeCell ref="AP175:AP177"/>
    <mergeCell ref="AP178:AP180"/>
    <mergeCell ref="AP181:AP183"/>
    <mergeCell ref="AP184:AP186"/>
    <mergeCell ref="AP187:AP189"/>
    <mergeCell ref="AP190:AP192"/>
    <mergeCell ref="AP193:AP195"/>
    <mergeCell ref="AP196:AP198"/>
    <mergeCell ref="AP199:AP201"/>
    <mergeCell ref="AP202:AP204"/>
    <mergeCell ref="AP205:AP208"/>
    <mergeCell ref="AD207:AD208"/>
    <mergeCell ref="AE207:AE208"/>
    <mergeCell ref="AF207:AF208"/>
    <mergeCell ref="AG207:AG208"/>
    <mergeCell ref="AH207:AH208"/>
    <mergeCell ref="AI207:AI208"/>
    <mergeCell ref="AJ207:AJ208"/>
    <mergeCell ref="AK207:AK208"/>
    <mergeCell ref="AL207:AL208"/>
    <mergeCell ref="AM207:AM208"/>
    <mergeCell ref="AN207:AN208"/>
    <mergeCell ref="AO207:AO208"/>
    <mergeCell ref="K175:V206"/>
    <mergeCell ref="W175:W177"/>
    <mergeCell ref="W178:W180"/>
    <mergeCell ref="W181:W183"/>
    <mergeCell ref="W184:W186"/>
    <mergeCell ref="W187:W189"/>
    <mergeCell ref="W190:W192"/>
    <mergeCell ref="W193:W195"/>
    <mergeCell ref="W196:W198"/>
    <mergeCell ref="W199:W201"/>
    <mergeCell ref="W202:W204"/>
    <mergeCell ref="W205:W208"/>
    <mergeCell ref="K207:K208"/>
    <mergeCell ref="L207:L208"/>
    <mergeCell ref="M207:M208"/>
    <mergeCell ref="N207:N208"/>
    <mergeCell ref="O207:O208"/>
    <mergeCell ref="P207:P208"/>
    <mergeCell ref="Q207:Q208"/>
    <mergeCell ref="R207:R208"/>
    <mergeCell ref="S207:S208"/>
    <mergeCell ref="T207:T208"/>
    <mergeCell ref="U207:U208"/>
    <mergeCell ref="V207:V208"/>
    <mergeCell ref="CP168:CP169"/>
    <mergeCell ref="CQ168:CQ169"/>
    <mergeCell ref="CR168:CR169"/>
    <mergeCell ref="CS168:CS169"/>
    <mergeCell ref="CT168:CT169"/>
    <mergeCell ref="CU168:CU169"/>
    <mergeCell ref="J173:J174"/>
    <mergeCell ref="K173:V174"/>
    <mergeCell ref="W173:W174"/>
    <mergeCell ref="AC173:AC174"/>
    <mergeCell ref="AD173:AO174"/>
    <mergeCell ref="AP173:AP174"/>
    <mergeCell ref="AV173:AV174"/>
    <mergeCell ref="AW173:BH174"/>
    <mergeCell ref="BI173:BI174"/>
    <mergeCell ref="BO173:BO174"/>
    <mergeCell ref="BP173:CA174"/>
    <mergeCell ref="CB173:CB174"/>
    <mergeCell ref="CI173:CI174"/>
    <mergeCell ref="CJ173:CU174"/>
    <mergeCell ref="BY168:BY169"/>
    <mergeCell ref="BZ168:BZ169"/>
    <mergeCell ref="CA168:CA169"/>
    <mergeCell ref="CI134:CI135"/>
    <mergeCell ref="CJ134:CU135"/>
    <mergeCell ref="CV134:CV135"/>
    <mergeCell ref="CJ136:CU167"/>
    <mergeCell ref="CV136:CV138"/>
    <mergeCell ref="CV139:CV141"/>
    <mergeCell ref="CV142:CV144"/>
    <mergeCell ref="CV145:CV147"/>
    <mergeCell ref="CV148:CV150"/>
    <mergeCell ref="CV151:CV153"/>
    <mergeCell ref="CV154:CV156"/>
    <mergeCell ref="CV157:CV159"/>
    <mergeCell ref="CV160:CV162"/>
    <mergeCell ref="CV163:CV165"/>
    <mergeCell ref="CV166:CV169"/>
    <mergeCell ref="CJ168:CJ169"/>
    <mergeCell ref="CK168:CK169"/>
    <mergeCell ref="CL168:CL169"/>
    <mergeCell ref="CM168:CM169"/>
    <mergeCell ref="CN168:CN169"/>
    <mergeCell ref="CO168:CO169"/>
    <mergeCell ref="CJ97:CU128"/>
    <mergeCell ref="CV97:CV99"/>
    <mergeCell ref="CV100:CV102"/>
    <mergeCell ref="CV103:CV105"/>
    <mergeCell ref="CV106:CV108"/>
    <mergeCell ref="CV109:CV111"/>
    <mergeCell ref="CV112:CV114"/>
    <mergeCell ref="CV115:CV117"/>
    <mergeCell ref="CV118:CV120"/>
    <mergeCell ref="CV121:CV123"/>
    <mergeCell ref="CV124:CV126"/>
    <mergeCell ref="CV127:CV130"/>
    <mergeCell ref="CJ129:CJ130"/>
    <mergeCell ref="CK129:CK130"/>
    <mergeCell ref="CL129:CL130"/>
    <mergeCell ref="CM129:CM130"/>
    <mergeCell ref="CN129:CN130"/>
    <mergeCell ref="CO129:CO130"/>
    <mergeCell ref="CP129:CP130"/>
    <mergeCell ref="CQ129:CQ130"/>
    <mergeCell ref="CR129:CR130"/>
    <mergeCell ref="CS129:CS130"/>
    <mergeCell ref="CT129:CT130"/>
    <mergeCell ref="CU129:CU130"/>
    <mergeCell ref="CP91:CP92"/>
    <mergeCell ref="CQ91:CQ92"/>
    <mergeCell ref="CR91:CR92"/>
    <mergeCell ref="CS91:CS92"/>
    <mergeCell ref="CT91:CT92"/>
    <mergeCell ref="CU91:CU92"/>
    <mergeCell ref="CI95:CI96"/>
    <mergeCell ref="CV95:CV96"/>
    <mergeCell ref="CJ95:CK96"/>
    <mergeCell ref="CL95:CL96"/>
    <mergeCell ref="CS52:CS53"/>
    <mergeCell ref="CT52:CT53"/>
    <mergeCell ref="CU52:CU53"/>
    <mergeCell ref="CI57:CI58"/>
    <mergeCell ref="CJ57:CU58"/>
    <mergeCell ref="CV57:CV58"/>
    <mergeCell ref="CJ59:CU90"/>
    <mergeCell ref="CV59:CV61"/>
    <mergeCell ref="CV62:CV64"/>
    <mergeCell ref="CV65:CV67"/>
    <mergeCell ref="CV68:CV70"/>
    <mergeCell ref="CV71:CV73"/>
    <mergeCell ref="CV74:CV76"/>
    <mergeCell ref="CV77:CV79"/>
    <mergeCell ref="CV80:CV82"/>
    <mergeCell ref="CV83:CV85"/>
    <mergeCell ref="CV86:CV88"/>
    <mergeCell ref="CV89:CV92"/>
    <mergeCell ref="CJ91:CJ92"/>
    <mergeCell ref="CK91:CK92"/>
    <mergeCell ref="CL91:CL92"/>
    <mergeCell ref="CM91:CM92"/>
    <mergeCell ref="CN91:CN92"/>
    <mergeCell ref="CO91:CO92"/>
    <mergeCell ref="CI18:CI19"/>
    <mergeCell ref="CJ18:CU19"/>
    <mergeCell ref="CV18:CV19"/>
    <mergeCell ref="CJ20:CU51"/>
    <mergeCell ref="CV20:CV22"/>
    <mergeCell ref="CV23:CV25"/>
    <mergeCell ref="CV26:CV28"/>
    <mergeCell ref="CV29:CV31"/>
    <mergeCell ref="CV32:CV34"/>
    <mergeCell ref="CV35:CV37"/>
    <mergeCell ref="CV38:CV40"/>
    <mergeCell ref="CV41:CV43"/>
    <mergeCell ref="CV44:CV46"/>
    <mergeCell ref="CV47:CV49"/>
    <mergeCell ref="CV50:CV53"/>
    <mergeCell ref="CJ52:CJ53"/>
    <mergeCell ref="CK52:CK53"/>
    <mergeCell ref="CL52:CL53"/>
    <mergeCell ref="CM52:CM53"/>
    <mergeCell ref="CN52:CN53"/>
    <mergeCell ref="CO52:CO53"/>
    <mergeCell ref="CP52:CP53"/>
    <mergeCell ref="CQ52:CQ53"/>
    <mergeCell ref="CR52:CR53"/>
    <mergeCell ref="BO134:BO135"/>
    <mergeCell ref="BP134:CA135"/>
    <mergeCell ref="CB134:CB135"/>
    <mergeCell ref="BP136:CA167"/>
    <mergeCell ref="CB136:CB138"/>
    <mergeCell ref="CB139:CB141"/>
    <mergeCell ref="CB142:CB144"/>
    <mergeCell ref="CB145:CB147"/>
    <mergeCell ref="CB148:CB150"/>
    <mergeCell ref="CB151:CB153"/>
    <mergeCell ref="CB154:CB156"/>
    <mergeCell ref="CB157:CB159"/>
    <mergeCell ref="CB160:CB162"/>
    <mergeCell ref="CB163:CB165"/>
    <mergeCell ref="CB166:CB169"/>
    <mergeCell ref="BP168:BP169"/>
    <mergeCell ref="BQ168:BQ169"/>
    <mergeCell ref="BR168:BR169"/>
    <mergeCell ref="BS168:BS169"/>
    <mergeCell ref="BT168:BT169"/>
    <mergeCell ref="BU168:BU169"/>
    <mergeCell ref="BV168:BV169"/>
    <mergeCell ref="BW168:BW169"/>
    <mergeCell ref="BX168:BX169"/>
    <mergeCell ref="BI134:BI135"/>
    <mergeCell ref="AW136:BH167"/>
    <mergeCell ref="BI136:BI138"/>
    <mergeCell ref="BI139:BI141"/>
    <mergeCell ref="BI142:BI144"/>
    <mergeCell ref="BI145:BI147"/>
    <mergeCell ref="BI148:BI150"/>
    <mergeCell ref="BI151:BI153"/>
    <mergeCell ref="BI154:BI156"/>
    <mergeCell ref="BI157:BI159"/>
    <mergeCell ref="BI160:BI162"/>
    <mergeCell ref="BI163:BI165"/>
    <mergeCell ref="BI166:BI169"/>
    <mergeCell ref="AW168:AW169"/>
    <mergeCell ref="AX168:AX169"/>
    <mergeCell ref="AY168:AY169"/>
    <mergeCell ref="AZ168:AZ169"/>
    <mergeCell ref="BA168:BA169"/>
    <mergeCell ref="BB168:BB169"/>
    <mergeCell ref="BC168:BC169"/>
    <mergeCell ref="BD168:BD169"/>
    <mergeCell ref="BE168:BE169"/>
    <mergeCell ref="BF168:BF169"/>
    <mergeCell ref="BG168:BG169"/>
    <mergeCell ref="AI168:AI169"/>
    <mergeCell ref="AJ168:AJ169"/>
    <mergeCell ref="AK168:AK169"/>
    <mergeCell ref="AL168:AL169"/>
    <mergeCell ref="AM168:AM169"/>
    <mergeCell ref="AN168:AN169"/>
    <mergeCell ref="AO168:AO169"/>
    <mergeCell ref="AV134:AV135"/>
    <mergeCell ref="AW134:BH135"/>
    <mergeCell ref="BH168:BH169"/>
    <mergeCell ref="S168:S169"/>
    <mergeCell ref="T168:T169"/>
    <mergeCell ref="U168:U169"/>
    <mergeCell ref="V168:V169"/>
    <mergeCell ref="AC134:AC135"/>
    <mergeCell ref="AD134:AO135"/>
    <mergeCell ref="AP134:AP135"/>
    <mergeCell ref="AD136:AO167"/>
    <mergeCell ref="AP136:AP138"/>
    <mergeCell ref="AP139:AP141"/>
    <mergeCell ref="AP142:AP144"/>
    <mergeCell ref="AP145:AP147"/>
    <mergeCell ref="AP148:AP150"/>
    <mergeCell ref="AP151:AP153"/>
    <mergeCell ref="AP154:AP156"/>
    <mergeCell ref="AP157:AP159"/>
    <mergeCell ref="AP160:AP162"/>
    <mergeCell ref="AP163:AP165"/>
    <mergeCell ref="AP166:AP169"/>
    <mergeCell ref="AD168:AD169"/>
    <mergeCell ref="AE168:AE169"/>
    <mergeCell ref="AF168:AF169"/>
    <mergeCell ref="AG168:AG169"/>
    <mergeCell ref="AH168:AH169"/>
    <mergeCell ref="CA129:CA130"/>
    <mergeCell ref="J134:J135"/>
    <mergeCell ref="K134:V135"/>
    <mergeCell ref="W134:W135"/>
    <mergeCell ref="K136:V167"/>
    <mergeCell ref="W136:W138"/>
    <mergeCell ref="W139:W141"/>
    <mergeCell ref="W142:W144"/>
    <mergeCell ref="W145:W147"/>
    <mergeCell ref="W148:W150"/>
    <mergeCell ref="W151:W153"/>
    <mergeCell ref="W154:W156"/>
    <mergeCell ref="W157:W159"/>
    <mergeCell ref="W160:W162"/>
    <mergeCell ref="W163:W165"/>
    <mergeCell ref="W166:W169"/>
    <mergeCell ref="K168:K169"/>
    <mergeCell ref="L168:L169"/>
    <mergeCell ref="M168:M169"/>
    <mergeCell ref="N168:N169"/>
    <mergeCell ref="O168:O169"/>
    <mergeCell ref="P168:P169"/>
    <mergeCell ref="Q168:Q169"/>
    <mergeCell ref="R168:R169"/>
    <mergeCell ref="CB95:CB96"/>
    <mergeCell ref="BP97:CA128"/>
    <mergeCell ref="CB97:CB99"/>
    <mergeCell ref="CB100:CB102"/>
    <mergeCell ref="CB103:CB105"/>
    <mergeCell ref="CB106:CB108"/>
    <mergeCell ref="CB109:CB111"/>
    <mergeCell ref="CB112:CB114"/>
    <mergeCell ref="CB115:CB117"/>
    <mergeCell ref="CB118:CB120"/>
    <mergeCell ref="CB121:CB123"/>
    <mergeCell ref="CB124:CB126"/>
    <mergeCell ref="CB127:CB130"/>
    <mergeCell ref="BP129:BP130"/>
    <mergeCell ref="BQ129:BQ130"/>
    <mergeCell ref="BR129:BR130"/>
    <mergeCell ref="BS129:BS130"/>
    <mergeCell ref="BT129:BT130"/>
    <mergeCell ref="BU129:BU130"/>
    <mergeCell ref="BV129:BV130"/>
    <mergeCell ref="BW129:BW130"/>
    <mergeCell ref="BX129:BX130"/>
    <mergeCell ref="BY129:BY130"/>
    <mergeCell ref="BZ129:BZ130"/>
    <mergeCell ref="AW97:BH128"/>
    <mergeCell ref="BI97:BI99"/>
    <mergeCell ref="BI100:BI102"/>
    <mergeCell ref="BI103:BI105"/>
    <mergeCell ref="BI106:BI108"/>
    <mergeCell ref="BI109:BI111"/>
    <mergeCell ref="BI112:BI114"/>
    <mergeCell ref="BI115:BI117"/>
    <mergeCell ref="BI118:BI120"/>
    <mergeCell ref="BI121:BI123"/>
    <mergeCell ref="BI124:BI126"/>
    <mergeCell ref="BI127:BI130"/>
    <mergeCell ref="AW129:AW130"/>
    <mergeCell ref="AX129:AX130"/>
    <mergeCell ref="AY129:AY130"/>
    <mergeCell ref="AZ129:AZ130"/>
    <mergeCell ref="BA129:BA130"/>
    <mergeCell ref="BB129:BB130"/>
    <mergeCell ref="BC129:BC130"/>
    <mergeCell ref="BD129:BD130"/>
    <mergeCell ref="BE129:BE130"/>
    <mergeCell ref="BF129:BF130"/>
    <mergeCell ref="BG129:BG130"/>
    <mergeCell ref="BH129:BH130"/>
    <mergeCell ref="AP124:AP126"/>
    <mergeCell ref="AP127:AP130"/>
    <mergeCell ref="AD129:AD130"/>
    <mergeCell ref="AE129:AE130"/>
    <mergeCell ref="AF129:AF130"/>
    <mergeCell ref="AG129:AG130"/>
    <mergeCell ref="AH129:AH130"/>
    <mergeCell ref="AI129:AI130"/>
    <mergeCell ref="AJ129:AJ130"/>
    <mergeCell ref="AK129:AK130"/>
    <mergeCell ref="AL129:AL130"/>
    <mergeCell ref="AM129:AM130"/>
    <mergeCell ref="AN129:AN130"/>
    <mergeCell ref="AO129:AO130"/>
    <mergeCell ref="AP97:AP99"/>
    <mergeCell ref="AP100:AP102"/>
    <mergeCell ref="AP103:AP105"/>
    <mergeCell ref="AP106:AP108"/>
    <mergeCell ref="AP109:AP111"/>
    <mergeCell ref="AP112:AP114"/>
    <mergeCell ref="AP115:AP117"/>
    <mergeCell ref="AP118:AP120"/>
    <mergeCell ref="AP121:AP123"/>
    <mergeCell ref="AP95:AP96"/>
    <mergeCell ref="AV95:AV96"/>
    <mergeCell ref="AW95:BH96"/>
    <mergeCell ref="BI95:BI96"/>
    <mergeCell ref="BO95:BO96"/>
    <mergeCell ref="BE91:BE92"/>
    <mergeCell ref="BF91:BF92"/>
    <mergeCell ref="BG91:BG92"/>
    <mergeCell ref="BH91:BH92"/>
    <mergeCell ref="CB57:CB58"/>
    <mergeCell ref="BP59:CA90"/>
    <mergeCell ref="CB59:CB61"/>
    <mergeCell ref="CB62:CB64"/>
    <mergeCell ref="CB65:CB67"/>
    <mergeCell ref="CB68:CB70"/>
    <mergeCell ref="CB71:CB73"/>
    <mergeCell ref="CB74:CB76"/>
    <mergeCell ref="CB77:CB79"/>
    <mergeCell ref="CB80:CB82"/>
    <mergeCell ref="CB83:CB85"/>
    <mergeCell ref="CB86:CB88"/>
    <mergeCell ref="CB89:CB92"/>
    <mergeCell ref="BP91:BP92"/>
    <mergeCell ref="BQ91:BQ92"/>
    <mergeCell ref="BR91:BR92"/>
    <mergeCell ref="BS91:BS92"/>
    <mergeCell ref="BT91:BT92"/>
    <mergeCell ref="BU91:BU92"/>
    <mergeCell ref="BV91:BV92"/>
    <mergeCell ref="BW91:BW92"/>
    <mergeCell ref="BX91:BX92"/>
    <mergeCell ref="BY91:BY92"/>
    <mergeCell ref="BZ91:BZ92"/>
    <mergeCell ref="BI74:BI76"/>
    <mergeCell ref="BI77:BI79"/>
    <mergeCell ref="BI80:BI82"/>
    <mergeCell ref="BI83:BI85"/>
    <mergeCell ref="BI86:BI88"/>
    <mergeCell ref="BI89:BI92"/>
    <mergeCell ref="AW91:AW92"/>
    <mergeCell ref="AX91:AX92"/>
    <mergeCell ref="AY91:AY92"/>
    <mergeCell ref="AZ91:AZ92"/>
    <mergeCell ref="BA91:BA92"/>
    <mergeCell ref="BB91:BB92"/>
    <mergeCell ref="BC91:BC92"/>
    <mergeCell ref="BF52:BF53"/>
    <mergeCell ref="BG52:BG53"/>
    <mergeCell ref="BH52:BH53"/>
    <mergeCell ref="AJ91:AJ92"/>
    <mergeCell ref="AK91:AK92"/>
    <mergeCell ref="AL91:AL92"/>
    <mergeCell ref="AM91:AM92"/>
    <mergeCell ref="AN91:AN92"/>
    <mergeCell ref="BV52:BV53"/>
    <mergeCell ref="BD91:BD92"/>
    <mergeCell ref="BO57:BO58"/>
    <mergeCell ref="BP57:CA58"/>
    <mergeCell ref="CA91:CA92"/>
    <mergeCell ref="BX52:BX53"/>
    <mergeCell ref="BY52:BY53"/>
    <mergeCell ref="AV57:AV58"/>
    <mergeCell ref="AW57:BH58"/>
    <mergeCell ref="BI57:BI58"/>
    <mergeCell ref="AW59:BH90"/>
    <mergeCell ref="BI59:BI61"/>
    <mergeCell ref="BI62:BI64"/>
    <mergeCell ref="BI65:BI67"/>
    <mergeCell ref="BI68:BI70"/>
    <mergeCell ref="BI71:BI73"/>
    <mergeCell ref="AP57:AP58"/>
    <mergeCell ref="AD59:AO90"/>
    <mergeCell ref="AP59:AP61"/>
    <mergeCell ref="AP62:AP64"/>
    <mergeCell ref="AP65:AP67"/>
    <mergeCell ref="AP68:AP70"/>
    <mergeCell ref="AP71:AP73"/>
    <mergeCell ref="AP74:AP76"/>
    <mergeCell ref="AP77:AP79"/>
    <mergeCell ref="AP80:AP82"/>
    <mergeCell ref="AP83:AP85"/>
    <mergeCell ref="AP86:AP88"/>
    <mergeCell ref="AP89:AP92"/>
    <mergeCell ref="AD91:AD92"/>
    <mergeCell ref="AE91:AE92"/>
    <mergeCell ref="AO91:AO92"/>
    <mergeCell ref="AF91:AF92"/>
    <mergeCell ref="AG91:AG92"/>
    <mergeCell ref="AH91:AH92"/>
    <mergeCell ref="AI91:AI92"/>
    <mergeCell ref="BO18:BO19"/>
    <mergeCell ref="BP18:CA19"/>
    <mergeCell ref="CB18:CB19"/>
    <mergeCell ref="BP20:CA51"/>
    <mergeCell ref="CB20:CB22"/>
    <mergeCell ref="CB23:CB25"/>
    <mergeCell ref="CB26:CB28"/>
    <mergeCell ref="CB29:CB31"/>
    <mergeCell ref="CB32:CB34"/>
    <mergeCell ref="CB35:CB37"/>
    <mergeCell ref="CB38:CB40"/>
    <mergeCell ref="CB41:CB43"/>
    <mergeCell ref="CB44:CB46"/>
    <mergeCell ref="CB47:CB49"/>
    <mergeCell ref="CB50:CB53"/>
    <mergeCell ref="BP52:BP53"/>
    <mergeCell ref="BQ52:BQ53"/>
    <mergeCell ref="BR52:BR53"/>
    <mergeCell ref="BS52:BS53"/>
    <mergeCell ref="BT52:BT53"/>
    <mergeCell ref="BU52:BU53"/>
    <mergeCell ref="BZ52:BZ53"/>
    <mergeCell ref="CA52:CA53"/>
    <mergeCell ref="BW52:BW53"/>
    <mergeCell ref="AV18:AV19"/>
    <mergeCell ref="AW18:BH19"/>
    <mergeCell ref="BI18:BI19"/>
    <mergeCell ref="AW20:BH51"/>
    <mergeCell ref="BI20:BI22"/>
    <mergeCell ref="BI23:BI25"/>
    <mergeCell ref="BI26:BI28"/>
    <mergeCell ref="BI29:BI31"/>
    <mergeCell ref="BI32:BI34"/>
    <mergeCell ref="BI35:BI37"/>
    <mergeCell ref="BI38:BI40"/>
    <mergeCell ref="BI41:BI43"/>
    <mergeCell ref="BI44:BI46"/>
    <mergeCell ref="BI47:BI49"/>
    <mergeCell ref="BI50:BI53"/>
    <mergeCell ref="AW52:AW53"/>
    <mergeCell ref="AX52:AX53"/>
    <mergeCell ref="AY52:AY53"/>
    <mergeCell ref="AZ52:AZ53"/>
    <mergeCell ref="BA52:BA53"/>
    <mergeCell ref="BB52:BB53"/>
    <mergeCell ref="BC52:BC53"/>
    <mergeCell ref="BD52:BD53"/>
    <mergeCell ref="BE52:BE53"/>
    <mergeCell ref="K41:V51"/>
    <mergeCell ref="K20:V38"/>
    <mergeCell ref="W50:W53"/>
    <mergeCell ref="W59:W61"/>
    <mergeCell ref="W47:W49"/>
    <mergeCell ref="W20:W22"/>
    <mergeCell ref="W23:W25"/>
    <mergeCell ref="W32:W34"/>
    <mergeCell ref="W35:W37"/>
    <mergeCell ref="AD12:AO13"/>
    <mergeCell ref="AC18:AC19"/>
    <mergeCell ref="AD18:AO19"/>
    <mergeCell ref="AP18:AP19"/>
    <mergeCell ref="P52:P53"/>
    <mergeCell ref="V52:V53"/>
    <mergeCell ref="Q52:Q53"/>
    <mergeCell ref="J18:J19"/>
    <mergeCell ref="R52:R53"/>
    <mergeCell ref="S52:S53"/>
    <mergeCell ref="T52:T53"/>
    <mergeCell ref="U52:U53"/>
    <mergeCell ref="K52:K53"/>
    <mergeCell ref="L52:L53"/>
    <mergeCell ref="M52:M53"/>
    <mergeCell ref="N52:N53"/>
    <mergeCell ref="O52:O53"/>
    <mergeCell ref="W38:W40"/>
    <mergeCell ref="W41:W43"/>
    <mergeCell ref="W44:W46"/>
    <mergeCell ref="W18:W19"/>
    <mergeCell ref="K18:V19"/>
    <mergeCell ref="W26:W28"/>
    <mergeCell ref="W29:W31"/>
    <mergeCell ref="J57:J58"/>
    <mergeCell ref="K57:V58"/>
    <mergeCell ref="W57:W58"/>
    <mergeCell ref="W62:W64"/>
    <mergeCell ref="W65:W67"/>
    <mergeCell ref="W68:W70"/>
    <mergeCell ref="W71:W73"/>
    <mergeCell ref="W74:W76"/>
    <mergeCell ref="W77:W79"/>
    <mergeCell ref="K59:V90"/>
    <mergeCell ref="W80:W82"/>
    <mergeCell ref="W83:W85"/>
    <mergeCell ref="W86:W88"/>
    <mergeCell ref="W89:W92"/>
    <mergeCell ref="T91:T92"/>
    <mergeCell ref="U91:U92"/>
    <mergeCell ref="V91:V92"/>
    <mergeCell ref="K91:K92"/>
    <mergeCell ref="L91:L92"/>
    <mergeCell ref="M91:M92"/>
    <mergeCell ref="N91:N92"/>
    <mergeCell ref="J95:J96"/>
    <mergeCell ref="K95:V96"/>
    <mergeCell ref="W95:W96"/>
    <mergeCell ref="W97:W99"/>
    <mergeCell ref="W100:W102"/>
    <mergeCell ref="W103:W105"/>
    <mergeCell ref="W106:W108"/>
    <mergeCell ref="W109:W111"/>
    <mergeCell ref="W112:W114"/>
    <mergeCell ref="W124:W126"/>
    <mergeCell ref="K129:K130"/>
    <mergeCell ref="L129:L130"/>
    <mergeCell ref="M129:M130"/>
    <mergeCell ref="N129:N130"/>
    <mergeCell ref="O129:O130"/>
    <mergeCell ref="P129:P130"/>
    <mergeCell ref="Q129:Q130"/>
    <mergeCell ref="R129:R130"/>
    <mergeCell ref="S129:S130"/>
    <mergeCell ref="T129:T130"/>
    <mergeCell ref="U129:U130"/>
    <mergeCell ref="V129:V130"/>
    <mergeCell ref="AK52:AK53"/>
    <mergeCell ref="AL52:AL53"/>
    <mergeCell ref="AM52:AM53"/>
    <mergeCell ref="AN52:AN53"/>
    <mergeCell ref="AO52:AO53"/>
    <mergeCell ref="O91:O92"/>
    <mergeCell ref="P91:P92"/>
    <mergeCell ref="W118:W120"/>
    <mergeCell ref="W121:W123"/>
    <mergeCell ref="Q91:Q92"/>
    <mergeCell ref="R91:R92"/>
    <mergeCell ref="S91:S92"/>
    <mergeCell ref="AC57:AC58"/>
    <mergeCell ref="AD57:AO58"/>
    <mergeCell ref="W115:W117"/>
    <mergeCell ref="AC95:AC96"/>
    <mergeCell ref="AD95:AO96"/>
    <mergeCell ref="AD97:AO128"/>
    <mergeCell ref="K97:V128"/>
    <mergeCell ref="BS95:CA96"/>
    <mergeCell ref="BP95:BQ96"/>
    <mergeCell ref="BR95:BR96"/>
    <mergeCell ref="AD20:AO22"/>
    <mergeCell ref="AD25:AO51"/>
    <mergeCell ref="AP20:AP22"/>
    <mergeCell ref="AP23:AP25"/>
    <mergeCell ref="AP26:AP28"/>
    <mergeCell ref="AP29:AP31"/>
    <mergeCell ref="AP32:AP34"/>
    <mergeCell ref="AP35:AP37"/>
    <mergeCell ref="AP38:AP40"/>
    <mergeCell ref="AP50:AP53"/>
    <mergeCell ref="AP41:AP43"/>
    <mergeCell ref="AP44:AP46"/>
    <mergeCell ref="AP47:AP49"/>
    <mergeCell ref="AD52:AD53"/>
    <mergeCell ref="AE52:AE53"/>
    <mergeCell ref="AF52:AF53"/>
    <mergeCell ref="AG52:AG53"/>
    <mergeCell ref="AH52:AH53"/>
    <mergeCell ref="AI52:AI53"/>
    <mergeCell ref="AJ52:AJ53"/>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Equation.DSMT4" shapeId="9222" r:id="rId4">
          <objectPr defaultSize="0" autoPict="0" r:id="rId5">
            <anchor moveWithCells="1">
              <from>
                <xdr:col>5</xdr:col>
                <xdr:colOff>219075</xdr:colOff>
                <xdr:row>180</xdr:row>
                <xdr:rowOff>123825</xdr:rowOff>
              </from>
              <to>
                <xdr:col>19</xdr:col>
                <xdr:colOff>466725</xdr:colOff>
                <xdr:row>184</xdr:row>
                <xdr:rowOff>123825</xdr:rowOff>
              </to>
            </anchor>
          </objectPr>
        </oleObject>
      </mc:Choice>
      <mc:Fallback>
        <oleObject progId="Equation.DSMT4" shapeId="9222" r:id="rId4"/>
      </mc:Fallback>
    </mc:AlternateContent>
    <mc:AlternateContent xmlns:mc="http://schemas.openxmlformats.org/markup-compatibility/2006">
      <mc:Choice Requires="x14">
        <oleObject progId="Equation.DSMT4" shapeId="9223" r:id="rId6">
          <objectPr defaultSize="0" autoPict="0" r:id="rId7">
            <anchor moveWithCells="1">
              <from>
                <xdr:col>7</xdr:col>
                <xdr:colOff>352425</xdr:colOff>
                <xdr:row>174</xdr:row>
                <xdr:rowOff>295275</xdr:rowOff>
              </from>
              <to>
                <xdr:col>21</xdr:col>
                <xdr:colOff>381000</xdr:colOff>
                <xdr:row>178</xdr:row>
                <xdr:rowOff>266700</xdr:rowOff>
              </to>
            </anchor>
          </objectPr>
        </oleObject>
      </mc:Choice>
      <mc:Fallback>
        <oleObject progId="Equation.DSMT4" shapeId="9223" r:id="rId6"/>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8</vt:i4>
      </vt:variant>
    </vt:vector>
  </HeadingPairs>
  <TitlesOfParts>
    <vt:vector size="8" baseType="lpstr">
      <vt:lpstr>Вывод расчетов (1-11)</vt:lpstr>
      <vt:lpstr>Расчет пазов</vt:lpstr>
      <vt:lpstr>Рабочие и пусковые</vt:lpstr>
      <vt:lpstr>Корпус и обмотка</vt:lpstr>
      <vt:lpstr>Программные таблицы</vt:lpstr>
      <vt:lpstr>Ввод значений статус решения</vt:lpstr>
      <vt:lpstr>Картинки</vt:lpstr>
      <vt:lpstr>Описание компонентов</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student</dc:creator>
  <cp:lastModifiedBy>volpo</cp:lastModifiedBy>
  <dcterms:created xsi:type="dcterms:W3CDTF">2019-04-23T06:12:40Z</dcterms:created>
  <dcterms:modified xsi:type="dcterms:W3CDTF">2020-09-27T13:20:20Z</dcterms:modified>
</cp:coreProperties>
</file>