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khr\Documents\Other\"/>
    </mc:Choice>
  </mc:AlternateContent>
  <bookViews>
    <workbookView xWindow="480" yWindow="750" windowWidth="18675" windowHeight="6705"/>
  </bookViews>
  <sheets>
    <sheet name="Dashboard" sheetId="10" r:id="rId1"/>
    <sheet name="Farm Tracker" sheetId="9" r:id="rId2"/>
    <sheet name="Quests" sheetId="11" r:id="rId3"/>
    <sheet name="Tables" sheetId="6" r:id="rId4"/>
    <sheet name="Characters" sheetId="7" r:id="rId5"/>
    <sheet name="Marvel" sheetId="13" r:id="rId6"/>
    <sheet name="Lego Sets" sheetId="12" r:id="rId7"/>
  </sheets>
  <definedNames>
    <definedName name="_xlnm._FilterDatabase" localSheetId="4" hidden="1">Characters!$A$1:$F$153</definedName>
    <definedName name="_xlnm._FilterDatabase" localSheetId="1" hidden="1">'Farm Tracker'!$A$1:$I$26</definedName>
  </definedNames>
  <calcPr calcId="162913"/>
</workbook>
</file>

<file path=xl/calcChain.xml><?xml version="1.0" encoding="utf-8"?>
<calcChain xmlns="http://schemas.openxmlformats.org/spreadsheetml/2006/main">
  <c r="D11" i="10" l="1"/>
  <c r="C11" i="10"/>
  <c r="B11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3" i="7"/>
  <c r="B47" i="7"/>
  <c r="B152" i="7"/>
  <c r="B93" i="7"/>
  <c r="B2" i="7"/>
  <c r="H3" i="9"/>
  <c r="E11" i="10" l="1"/>
  <c r="F11" i="10"/>
  <c r="E3" i="10"/>
  <c r="Q59" i="10"/>
  <c r="B22" i="10" l="1"/>
  <c r="C22" i="10"/>
  <c r="D22" i="10"/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T23" i="11"/>
  <c r="T22" i="11"/>
  <c r="L1" i="9"/>
  <c r="M1" i="9"/>
  <c r="N1" i="9"/>
  <c r="O1" i="9"/>
  <c r="P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1" i="9"/>
  <c r="M4" i="9"/>
  <c r="N4" i="9"/>
  <c r="O4" i="9"/>
  <c r="P4" i="9"/>
  <c r="M5" i="9"/>
  <c r="N5" i="9"/>
  <c r="O5" i="9"/>
  <c r="P5" i="9"/>
  <c r="M6" i="9"/>
  <c r="N6" i="9"/>
  <c r="O6" i="9"/>
  <c r="P6" i="9"/>
  <c r="M7" i="9"/>
  <c r="N7" i="9"/>
  <c r="O7" i="9"/>
  <c r="P7" i="9"/>
  <c r="M8" i="9"/>
  <c r="N8" i="9"/>
  <c r="O8" i="9"/>
  <c r="P8" i="9"/>
  <c r="M9" i="9"/>
  <c r="N9" i="9"/>
  <c r="O9" i="9"/>
  <c r="P9" i="9"/>
  <c r="M10" i="9"/>
  <c r="N10" i="9"/>
  <c r="O10" i="9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M17" i="9"/>
  <c r="N17" i="9"/>
  <c r="O17" i="9"/>
  <c r="P17" i="9"/>
  <c r="M18" i="9"/>
  <c r="N18" i="9"/>
  <c r="O18" i="9"/>
  <c r="P18" i="9"/>
  <c r="M19" i="9"/>
  <c r="N19" i="9"/>
  <c r="O19" i="9"/>
  <c r="P19" i="9"/>
  <c r="M20" i="9"/>
  <c r="N20" i="9"/>
  <c r="O20" i="9"/>
  <c r="P20" i="9"/>
  <c r="M21" i="9"/>
  <c r="N21" i="9"/>
  <c r="O21" i="9"/>
  <c r="P21" i="9"/>
  <c r="M22" i="9"/>
  <c r="N22" i="9"/>
  <c r="O22" i="9"/>
  <c r="P22" i="9"/>
  <c r="M23" i="9"/>
  <c r="N23" i="9"/>
  <c r="O23" i="9"/>
  <c r="P23" i="9"/>
  <c r="M24" i="9"/>
  <c r="N24" i="9"/>
  <c r="O24" i="9"/>
  <c r="P24" i="9"/>
  <c r="M25" i="9"/>
  <c r="N25" i="9"/>
  <c r="O25" i="9"/>
  <c r="P25" i="9"/>
  <c r="M26" i="9"/>
  <c r="N26" i="9"/>
  <c r="O26" i="9"/>
  <c r="P26" i="9"/>
  <c r="M3" i="9"/>
  <c r="N3" i="9"/>
  <c r="O3" i="9"/>
  <c r="P3" i="9"/>
  <c r="M2" i="9"/>
  <c r="N2" i="9"/>
  <c r="O2" i="9"/>
  <c r="P2" i="9"/>
  <c r="L2" i="9"/>
  <c r="H4" i="9" l="1"/>
  <c r="H5" i="9"/>
  <c r="H24" i="9"/>
  <c r="H8" i="9"/>
  <c r="H15" i="9"/>
  <c r="H20" i="9"/>
  <c r="H2" i="9"/>
  <c r="H14" i="9"/>
  <c r="H16" i="9"/>
  <c r="H9" i="9"/>
  <c r="H13" i="9"/>
  <c r="H18" i="9"/>
  <c r="H21" i="9"/>
  <c r="H25" i="9"/>
  <c r="H6" i="9"/>
  <c r="H7" i="9"/>
  <c r="H26" i="9"/>
  <c r="H12" i="9"/>
  <c r="H10" i="9"/>
  <c r="H11" i="9"/>
  <c r="H19" i="9"/>
  <c r="H22" i="9"/>
  <c r="H23" i="9"/>
  <c r="H17" i="9"/>
  <c r="B27" i="10" l="1"/>
  <c r="C27" i="10"/>
  <c r="D27" i="10"/>
  <c r="B3" i="10" l="1"/>
  <c r="I3" i="9"/>
  <c r="I4" i="9"/>
  <c r="I16" i="9"/>
  <c r="I9" i="9"/>
  <c r="I8" i="9"/>
  <c r="I7" i="9"/>
  <c r="I10" i="9"/>
  <c r="I2" i="9"/>
  <c r="I15" i="9"/>
  <c r="I5" i="9"/>
  <c r="I6" i="9"/>
  <c r="I14" i="9"/>
  <c r="I26" i="9"/>
  <c r="I18" i="9"/>
  <c r="I12" i="9"/>
  <c r="I20" i="9"/>
  <c r="I24" i="9"/>
  <c r="I25" i="9"/>
  <c r="I11" i="9"/>
  <c r="I19" i="9"/>
  <c r="I21" i="9"/>
  <c r="I22" i="9"/>
  <c r="I23" i="9"/>
  <c r="I17" i="9"/>
  <c r="I13" i="9"/>
  <c r="H27" i="9" l="1"/>
  <c r="E22" i="10"/>
  <c r="A27" i="10" l="1"/>
  <c r="G27" i="9"/>
  <c r="B27" i="9" l="1"/>
  <c r="D27" i="9"/>
  <c r="E27" i="9"/>
  <c r="F27" i="9"/>
  <c r="C27" i="9"/>
  <c r="I11" i="10" l="1"/>
  <c r="J11" i="10"/>
  <c r="K11" i="10"/>
  <c r="I9" i="10"/>
  <c r="J9" i="10"/>
  <c r="K9" i="10"/>
  <c r="I15" i="10"/>
  <c r="J15" i="10"/>
  <c r="K15" i="10"/>
  <c r="I18" i="10"/>
  <c r="J18" i="10"/>
  <c r="K18" i="10"/>
  <c r="I7" i="10"/>
  <c r="J7" i="10"/>
  <c r="K7" i="10"/>
  <c r="I12" i="10"/>
  <c r="J12" i="10"/>
  <c r="K12" i="10"/>
  <c r="I3" i="10"/>
  <c r="J3" i="10"/>
  <c r="K3" i="10"/>
  <c r="I14" i="10"/>
  <c r="J14" i="10"/>
  <c r="K14" i="10"/>
  <c r="I10" i="10"/>
  <c r="J10" i="10"/>
  <c r="K10" i="10"/>
  <c r="I8" i="10"/>
  <c r="J8" i="10"/>
  <c r="K8" i="10"/>
  <c r="I6" i="10"/>
  <c r="J6" i="10"/>
  <c r="K6" i="10"/>
  <c r="I5" i="10"/>
  <c r="J5" i="10"/>
  <c r="K5" i="10"/>
  <c r="I19" i="10"/>
  <c r="J19" i="10"/>
  <c r="K19" i="10"/>
  <c r="I22" i="10"/>
  <c r="J22" i="10"/>
  <c r="K22" i="10"/>
  <c r="I20" i="10"/>
  <c r="J20" i="10"/>
  <c r="K20" i="10"/>
  <c r="I21" i="10"/>
  <c r="J21" i="10"/>
  <c r="K21" i="10"/>
  <c r="I23" i="10"/>
  <c r="J23" i="10"/>
  <c r="K23" i="10"/>
  <c r="I16" i="10"/>
  <c r="J16" i="10"/>
  <c r="K16" i="10"/>
  <c r="I17" i="10"/>
  <c r="J17" i="10"/>
  <c r="K17" i="10"/>
  <c r="I4" i="10"/>
  <c r="J4" i="10"/>
  <c r="K4" i="10"/>
  <c r="J13" i="10"/>
  <c r="K13" i="10"/>
  <c r="I13" i="10"/>
  <c r="B18" i="10"/>
  <c r="C18" i="10"/>
  <c r="D18" i="10"/>
  <c r="B4" i="10"/>
  <c r="C4" i="10"/>
  <c r="D4" i="10"/>
  <c r="B21" i="10"/>
  <c r="C21" i="10"/>
  <c r="D21" i="10"/>
  <c r="B5" i="10"/>
  <c r="C5" i="10"/>
  <c r="D5" i="10"/>
  <c r="B19" i="10"/>
  <c r="C19" i="10"/>
  <c r="D19" i="10"/>
  <c r="B6" i="10"/>
  <c r="C6" i="10"/>
  <c r="D6" i="10"/>
  <c r="C3" i="10"/>
  <c r="D3" i="10"/>
  <c r="B17" i="10"/>
  <c r="C17" i="10"/>
  <c r="D17" i="10"/>
  <c r="B8" i="10"/>
  <c r="C8" i="10"/>
  <c r="D8" i="10"/>
  <c r="B16" i="10"/>
  <c r="C16" i="10"/>
  <c r="D16" i="10"/>
  <c r="B20" i="10"/>
  <c r="C20" i="10"/>
  <c r="D20" i="10"/>
  <c r="B12" i="10"/>
  <c r="C12" i="10"/>
  <c r="D12" i="10"/>
  <c r="B7" i="10"/>
  <c r="C7" i="10"/>
  <c r="D7" i="10"/>
  <c r="B9" i="10"/>
  <c r="C9" i="10"/>
  <c r="D9" i="10"/>
  <c r="B15" i="10"/>
  <c r="C15" i="10"/>
  <c r="D15" i="10"/>
  <c r="B14" i="10"/>
  <c r="C14" i="10"/>
  <c r="D14" i="10"/>
  <c r="B13" i="10"/>
  <c r="C13" i="10"/>
  <c r="D13" i="10"/>
  <c r="D10" i="10"/>
  <c r="C10" i="10"/>
  <c r="B10" i="10"/>
  <c r="B2" i="6"/>
  <c r="B3" i="6"/>
  <c r="B4" i="6"/>
  <c r="B5" i="6"/>
  <c r="B6" i="6"/>
  <c r="B7" i="6"/>
  <c r="B8" i="6"/>
  <c r="B9" i="6"/>
  <c r="B10" i="6"/>
  <c r="B11" i="6"/>
  <c r="B12" i="6"/>
  <c r="B13" i="6"/>
  <c r="B14" i="6"/>
  <c r="E27" i="10" l="1"/>
  <c r="L23" i="10"/>
  <c r="L21" i="10"/>
  <c r="L22" i="10"/>
  <c r="L7" i="10"/>
  <c r="L16" i="10"/>
  <c r="L17" i="10"/>
  <c r="L3" i="10"/>
  <c r="E8" i="10"/>
  <c r="E7" i="10"/>
  <c r="E19" i="10"/>
  <c r="E12" i="10"/>
  <c r="E5" i="10"/>
  <c r="E14" i="10"/>
  <c r="L4" i="10"/>
  <c r="L18" i="10"/>
  <c r="L13" i="10"/>
  <c r="L5" i="10"/>
  <c r="E17" i="10"/>
  <c r="E6" i="10"/>
  <c r="L9" i="10"/>
  <c r="L20" i="10"/>
  <c r="L11" i="10"/>
  <c r="E10" i="10"/>
  <c r="E9" i="10"/>
  <c r="L15" i="10"/>
  <c r="L12" i="10"/>
  <c r="L14" i="10"/>
  <c r="L8" i="10"/>
  <c r="E16" i="10"/>
  <c r="E18" i="10"/>
  <c r="E15" i="10"/>
  <c r="L19" i="10"/>
  <c r="L10" i="10"/>
  <c r="E4" i="10"/>
  <c r="E20" i="10"/>
  <c r="E13" i="10"/>
  <c r="L6" i="10"/>
  <c r="E21" i="10"/>
  <c r="I27" i="9" l="1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M23" i="6"/>
  <c r="D23" i="6"/>
  <c r="M22" i="6"/>
  <c r="D22" i="6"/>
  <c r="M21" i="6"/>
  <c r="D21" i="6"/>
  <c r="M20" i="6"/>
  <c r="D20" i="6"/>
  <c r="M19" i="6"/>
  <c r="D19" i="6"/>
  <c r="M18" i="6"/>
  <c r="D18" i="6"/>
  <c r="M17" i="6"/>
  <c r="D17" i="6"/>
  <c r="M16" i="6"/>
  <c r="D16" i="6"/>
  <c r="M15" i="6"/>
  <c r="D15" i="6"/>
  <c r="M14" i="6"/>
  <c r="D14" i="6"/>
  <c r="M13" i="6"/>
  <c r="D13" i="6"/>
  <c r="M12" i="6"/>
  <c r="D12" i="6"/>
  <c r="M11" i="6"/>
  <c r="D11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R2" i="6"/>
  <c r="F2" i="6"/>
  <c r="D2" i="6"/>
  <c r="F22" i="10" l="1"/>
  <c r="F8" i="10"/>
  <c r="M21" i="10"/>
  <c r="F13" i="10"/>
  <c r="M10" i="10"/>
  <c r="F17" i="10"/>
  <c r="F14" i="10"/>
  <c r="F15" i="10"/>
  <c r="M16" i="10"/>
  <c r="F7" i="10"/>
  <c r="M22" i="10"/>
  <c r="M4" i="10"/>
  <c r="F3" i="10"/>
  <c r="F10" i="10"/>
  <c r="M6" i="10"/>
  <c r="F19" i="10"/>
  <c r="M14" i="10"/>
  <c r="F6" i="10"/>
  <c r="M12" i="10"/>
  <c r="F16" i="10"/>
  <c r="M15" i="10"/>
  <c r="M20" i="10"/>
  <c r="F18" i="10"/>
  <c r="M7" i="10"/>
  <c r="M19" i="10"/>
  <c r="F5" i="10"/>
  <c r="F4" i="10"/>
  <c r="M3" i="10"/>
  <c r="F12" i="10"/>
  <c r="M11" i="10"/>
  <c r="M9" i="10"/>
  <c r="M23" i="10"/>
  <c r="M5" i="10"/>
  <c r="M17" i="10"/>
  <c r="F20" i="10"/>
  <c r="F9" i="10"/>
  <c r="M13" i="10"/>
  <c r="M8" i="10"/>
  <c r="F21" i="10"/>
  <c r="M18" i="10"/>
</calcChain>
</file>

<file path=xl/sharedStrings.xml><?xml version="1.0" encoding="utf-8"?>
<sst xmlns="http://schemas.openxmlformats.org/spreadsheetml/2006/main" count="1289" uniqueCount="418">
  <si>
    <t>Talia</t>
  </si>
  <si>
    <t>Lobot</t>
  </si>
  <si>
    <t>Mob Enforcer</t>
  </si>
  <si>
    <t>Bistan</t>
  </si>
  <si>
    <t>Stormtrooper</t>
  </si>
  <si>
    <t>Paploo</t>
  </si>
  <si>
    <t>Sith Trooper</t>
  </si>
  <si>
    <t>Sun Fac</t>
  </si>
  <si>
    <t>Logray</t>
  </si>
  <si>
    <t>Hermit Yoda</t>
  </si>
  <si>
    <t>Rebel</t>
  </si>
  <si>
    <t>Jedi</t>
  </si>
  <si>
    <t>Resistance</t>
  </si>
  <si>
    <t>Finn</t>
  </si>
  <si>
    <t>Ewok</t>
  </si>
  <si>
    <t>Teebo</t>
  </si>
  <si>
    <t>Wicket</t>
  </si>
  <si>
    <t>Dengar</t>
  </si>
  <si>
    <t>Bounty Hunter</t>
  </si>
  <si>
    <t>Droid</t>
  </si>
  <si>
    <t>Empire</t>
  </si>
  <si>
    <t>Nightsister</t>
  </si>
  <si>
    <t>Sith</t>
  </si>
  <si>
    <t>Gear</t>
  </si>
  <si>
    <t>Level</t>
  </si>
  <si>
    <t>Stars</t>
  </si>
  <si>
    <t>Character</t>
  </si>
  <si>
    <t>Team</t>
  </si>
  <si>
    <t>Light</t>
  </si>
  <si>
    <t>Dark</t>
  </si>
  <si>
    <t>Rogue One</t>
  </si>
  <si>
    <t>Phoenix</t>
  </si>
  <si>
    <t>Clones</t>
  </si>
  <si>
    <t>Nightsisters</t>
  </si>
  <si>
    <t>IG-88</t>
  </si>
  <si>
    <t>Imperial Trooper</t>
  </si>
  <si>
    <t>First Order</t>
  </si>
  <si>
    <t>HK-47</t>
  </si>
  <si>
    <t>Cad Bane</t>
  </si>
  <si>
    <t>Boba Fett</t>
  </si>
  <si>
    <t>Darth Vader</t>
  </si>
  <si>
    <t>Grand Moff Tarkin</t>
  </si>
  <si>
    <t>Royal Guard</t>
  </si>
  <si>
    <t>Emperor Palpatine</t>
  </si>
  <si>
    <t>Ewok Elder</t>
  </si>
  <si>
    <t>Captain Phasma</t>
  </si>
  <si>
    <t>Kylo Ren</t>
  </si>
  <si>
    <t>First Order Stormtrooper</t>
  </si>
  <si>
    <t>First Order Officer</t>
  </si>
  <si>
    <t>General Veers</t>
  </si>
  <si>
    <t>Death Trooper</t>
  </si>
  <si>
    <t>Shoretrooper</t>
  </si>
  <si>
    <t>Snowtrooper</t>
  </si>
  <si>
    <t>Colonel Starck</t>
  </si>
  <si>
    <t>Qui-Gon Jinn</t>
  </si>
  <si>
    <t>Jedi Knight Anakin</t>
  </si>
  <si>
    <t>General Kenobi</t>
  </si>
  <si>
    <t>Mace Windu</t>
  </si>
  <si>
    <t>Mother Talzin</t>
  </si>
  <si>
    <t>Old Daka</t>
  </si>
  <si>
    <t>Asajj Ventress</t>
  </si>
  <si>
    <t>Commander Luke Skywalker</t>
  </si>
  <si>
    <t>R2-D2</t>
  </si>
  <si>
    <t>Stormtrooper Han</t>
  </si>
  <si>
    <t>Han Solo</t>
  </si>
  <si>
    <t>Lando Calrissian</t>
  </si>
  <si>
    <t>Princess Leia</t>
  </si>
  <si>
    <t>BB-8</t>
  </si>
  <si>
    <t>Resistance Trooper</t>
  </si>
  <si>
    <t>Darth Maul</t>
  </si>
  <si>
    <t>Darth Sidious</t>
  </si>
  <si>
    <t>Savage Opress</t>
  </si>
  <si>
    <t>Sith Assassin</t>
  </si>
  <si>
    <t>Rebel 1</t>
  </si>
  <si>
    <t>Rebel 2</t>
  </si>
  <si>
    <t>CC-2224 "Cody"</t>
  </si>
  <si>
    <t>Chopper</t>
  </si>
  <si>
    <t>CT-21-0408 "Echo"</t>
  </si>
  <si>
    <t>CT-5555 "Fives"</t>
  </si>
  <si>
    <t>CT-7567 "Rex"</t>
  </si>
  <si>
    <t>Dathcha</t>
  </si>
  <si>
    <t>Garazeb "Zeb" Orrelios</t>
  </si>
  <si>
    <t>Greedo</t>
  </si>
  <si>
    <t>Jawa</t>
  </si>
  <si>
    <t>K-2SO</t>
  </si>
  <si>
    <t>Magmatrooper</t>
  </si>
  <si>
    <t>Pao</t>
  </si>
  <si>
    <t>Tusken</t>
  </si>
  <si>
    <t>Ugnaught</t>
  </si>
  <si>
    <t>URoRRuR'R'R</t>
  </si>
  <si>
    <t>Aayla Secura</t>
  </si>
  <si>
    <t>Admiral Ackbar</t>
  </si>
  <si>
    <t>Ahsoka Tano</t>
  </si>
  <si>
    <t>Ahsoka Tano (Fulcrum)</t>
  </si>
  <si>
    <t>B2 Super Battle Droid</t>
  </si>
  <si>
    <t>Barriss Offee</t>
  </si>
  <si>
    <t>Baze Malbus</t>
  </si>
  <si>
    <t>Biggs Darklighter</t>
  </si>
  <si>
    <t>Bodhi Rook</t>
  </si>
  <si>
    <t>Cassian Andor</t>
  </si>
  <si>
    <t>Chief Chirpa</t>
  </si>
  <si>
    <t>Chief Nebit</t>
  </si>
  <si>
    <t>Chirrut Imwe</t>
  </si>
  <si>
    <t>Clone Sergeant - Phase I</t>
  </si>
  <si>
    <t>Clone Wars Chewbacca</t>
  </si>
  <si>
    <t>Coruscant Underworld Police</t>
  </si>
  <si>
    <t>Count Dooku</t>
  </si>
  <si>
    <t>Darth Nihilus</t>
  </si>
  <si>
    <t>Director Krennic</t>
  </si>
  <si>
    <t>Eeth Koth</t>
  </si>
  <si>
    <t>Ewok Scout</t>
  </si>
  <si>
    <t>Ezra Bridger</t>
  </si>
  <si>
    <t>First Order TIE Pilot</t>
  </si>
  <si>
    <t>Gamorrean Guard</t>
  </si>
  <si>
    <t>Gar Saxon</t>
  </si>
  <si>
    <t>General Grievous</t>
  </si>
  <si>
    <t>Geonosian Soldier</t>
  </si>
  <si>
    <t>Geonosian Spy</t>
  </si>
  <si>
    <t>Grand Admiral Thrawn</t>
  </si>
  <si>
    <t>Grand Master Yoda</t>
  </si>
  <si>
    <t>Hera Syndulla</t>
  </si>
  <si>
    <t>Hoth Rebel Scout</t>
  </si>
  <si>
    <t>Hoth Rebel Soldier</t>
  </si>
  <si>
    <t>IG-100 MagnaGuard</t>
  </si>
  <si>
    <t>IG-86 Sentinel Droid</t>
  </si>
  <si>
    <t>Ima-Gun Di</t>
  </si>
  <si>
    <t>Imperial Super Commando</t>
  </si>
  <si>
    <t>Jawa Engineer</t>
  </si>
  <si>
    <t>Jawa Scavenger</t>
  </si>
  <si>
    <t>Jedi Consular</t>
  </si>
  <si>
    <t>Jedi Knight Guardian</t>
  </si>
  <si>
    <t>Jyn Erso</t>
  </si>
  <si>
    <t>Kanan Jarrus</t>
  </si>
  <si>
    <t>Kit Fisto</t>
  </si>
  <si>
    <t>Luke Skywalker (Farmboy)</t>
  </si>
  <si>
    <t>Luminara Unduli</t>
  </si>
  <si>
    <t>Nightsister Acolyte</t>
  </si>
  <si>
    <t>Nightsister Initiate</t>
  </si>
  <si>
    <t>Nute Gunray</t>
  </si>
  <si>
    <t>Obi-Wan Kenobi (Old Ben)</t>
  </si>
  <si>
    <t>Plo Koon</t>
  </si>
  <si>
    <t>Poe Dameron</t>
  </si>
  <si>
    <t>Poggle the Lesser</t>
  </si>
  <si>
    <t>Resistance Pilot</t>
  </si>
  <si>
    <t>Sabine Wren</t>
  </si>
  <si>
    <t>Scarif Rebel Pathfinder</t>
  </si>
  <si>
    <t>TIE Fighter Pilot</t>
  </si>
  <si>
    <t>Tusken Raider</t>
  </si>
  <si>
    <t>Tusken Shaman</t>
  </si>
  <si>
    <t>Wedge Antilles</t>
  </si>
  <si>
    <t>Zam Wesell</t>
  </si>
  <si>
    <t>Nightsister Spirit</t>
  </si>
  <si>
    <t>Wampa</t>
  </si>
  <si>
    <t>Imperial Probe Droid</t>
  </si>
  <si>
    <t>Kylo Ren (Unmasked)</t>
  </si>
  <si>
    <t>First Order SF TIE Pilot</t>
  </si>
  <si>
    <t>Other</t>
  </si>
  <si>
    <t>Scoundrel</t>
  </si>
  <si>
    <t>Republic</t>
  </si>
  <si>
    <t>Separatist</t>
  </si>
  <si>
    <t>Faction</t>
  </si>
  <si>
    <t>Empire 1</t>
  </si>
  <si>
    <t>Jedi 1</t>
  </si>
  <si>
    <t>Captain Han Solo</t>
  </si>
  <si>
    <t>Veteran Smuggler Han Solo</t>
  </si>
  <si>
    <t>Veteran Smuggler Chewbacca</t>
  </si>
  <si>
    <t>Rey (Jedi Training)</t>
  </si>
  <si>
    <t>Rey (Scavenger)</t>
  </si>
  <si>
    <t>Nightsister Zombie</t>
  </si>
  <si>
    <t>Jedi 2</t>
  </si>
  <si>
    <t>Rebel 3</t>
  </si>
  <si>
    <t>Reason</t>
  </si>
  <si>
    <t>DS</t>
  </si>
  <si>
    <t>LS</t>
  </si>
  <si>
    <t>Fleet Commander</t>
  </si>
  <si>
    <t>Done</t>
  </si>
  <si>
    <t>Cantina</t>
  </si>
  <si>
    <t>Ships</t>
  </si>
  <si>
    <t>Guild</t>
  </si>
  <si>
    <t>Guild Event</t>
  </si>
  <si>
    <t>First Order Executioner</t>
  </si>
  <si>
    <t>First date started farming</t>
  </si>
  <si>
    <t>Omega Abilities</t>
  </si>
  <si>
    <t>Zeta Abilities</t>
  </si>
  <si>
    <t>Amilyn Holdo</t>
  </si>
  <si>
    <t>Rose Tico</t>
  </si>
  <si>
    <t>Rebel Officer Leia Organa</t>
  </si>
  <si>
    <t>Completion</t>
  </si>
  <si>
    <t>Sith Marauder</t>
  </si>
  <si>
    <t>Zombie</t>
  </si>
  <si>
    <t>Marauder</t>
  </si>
  <si>
    <t>Millenium Falcon</t>
  </si>
  <si>
    <t>Bistan's U-Wing</t>
  </si>
  <si>
    <t>Darth Sion</t>
  </si>
  <si>
    <t>Darth Traya</t>
  </si>
  <si>
    <t>Visas Marr</t>
  </si>
  <si>
    <t>Bounty Hunter,Scoundrel</t>
  </si>
  <si>
    <t>Clones,Republic</t>
  </si>
  <si>
    <t>Droid,Separatist</t>
  </si>
  <si>
    <t>Empire,Droid</t>
  </si>
  <si>
    <t>Jedi,Republic</t>
  </si>
  <si>
    <t>Nightsisters,Separatist</t>
  </si>
  <si>
    <t>Rebel,Rogue One</t>
  </si>
  <si>
    <t>Resistance,Droid</t>
  </si>
  <si>
    <t>Rebel,Scoundrel</t>
  </si>
  <si>
    <t>Rebel,Phoenix,Droid</t>
  </si>
  <si>
    <t>Empire,Imperial Trooper</t>
  </si>
  <si>
    <t>Sith,Separatist</t>
  </si>
  <si>
    <t>Empire,Sith</t>
  </si>
  <si>
    <t>Rebel,Phoenix,Jedi</t>
  </si>
  <si>
    <t>Rebel,Phoenix</t>
  </si>
  <si>
    <t>Geonosian,Separatist</t>
  </si>
  <si>
    <t>Republic,Scoundrel</t>
  </si>
  <si>
    <t>Rebel,Rogue One,Droid</t>
  </si>
  <si>
    <t>Rebel,Jedi</t>
  </si>
  <si>
    <t>Rebel,Droid,Republic,Resistance</t>
  </si>
  <si>
    <t>Item</t>
  </si>
  <si>
    <t>Total</t>
  </si>
  <si>
    <t>Sith 2</t>
  </si>
  <si>
    <t>Sith 1</t>
  </si>
  <si>
    <t>Sith Avail,Sith 1</t>
  </si>
  <si>
    <t>Empire 1,Sith 2</t>
  </si>
  <si>
    <t>Sith Avail,Sith 2</t>
  </si>
  <si>
    <t>Raid Reward</t>
  </si>
  <si>
    <t>Progress</t>
  </si>
  <si>
    <t>Bounty Hunter,Droid,Scoundrel</t>
  </si>
  <si>
    <t>Separatist,Scoundrel</t>
  </si>
  <si>
    <t>Droid,TB7</t>
  </si>
  <si>
    <t>Imperial Trooper,TB7</t>
  </si>
  <si>
    <t>Kylo Ren (Unmasked)/Tie Silencer</t>
  </si>
  <si>
    <t>Mk 3 Carbanti Sensor Array</t>
  </si>
  <si>
    <t>Mk 6 Nubian Design Tech</t>
  </si>
  <si>
    <t>Mk 5 CEC Fusion Furnace</t>
  </si>
  <si>
    <t>Mk 7 Nubian Security Scanner</t>
  </si>
  <si>
    <t>Mk 5 Arakyd Droid Caller</t>
  </si>
  <si>
    <t>Mk 10 TaggeCo Holo Lens</t>
  </si>
  <si>
    <t>Mk 3 Czerka Stun Cuffs</t>
  </si>
  <si>
    <t>Mk 5 Merr-Sonn Thermal Detonator</t>
  </si>
  <si>
    <t>Mk 6 Merr-Sonn Thermal Detonator</t>
  </si>
  <si>
    <t>Mk 3 Sienar Holo Projector</t>
  </si>
  <si>
    <t>Mk 8 BioTech Implant</t>
  </si>
  <si>
    <t>Mk 9 Fabritech Data Pad</t>
  </si>
  <si>
    <t>Mk 11 BlasTech Weapon Mod</t>
  </si>
  <si>
    <t>Mk 10 BlasTech Weapon Mod</t>
  </si>
  <si>
    <t>Mk 7 Merr-Sonn Shield Generator</t>
  </si>
  <si>
    <t>Mk 6 Chiewab Hypo Syringe</t>
  </si>
  <si>
    <t>Mk 5 A/KT Stun Guns</t>
  </si>
  <si>
    <t>Mk 4 Chedak Comlink</t>
  </si>
  <si>
    <t>Mk 6 Arakyd Droid Caller</t>
  </si>
  <si>
    <t>Mk 4 Zaltin Bacta Gel</t>
  </si>
  <si>
    <t>Mk 5 Athakam Medpac</t>
  </si>
  <si>
    <t>Mk 6 CEC Fusion Furnace</t>
  </si>
  <si>
    <t>Have</t>
  </si>
  <si>
    <t>Mk 9 Neuro-Saac Electrobinoculars</t>
  </si>
  <si>
    <t>Mk 10 Neuro-Saac Electrobinoculars</t>
  </si>
  <si>
    <t>Mk 9 BioTech Implant</t>
  </si>
  <si>
    <t>Bossk</t>
  </si>
  <si>
    <t>Name</t>
  </si>
  <si>
    <t>Abilities</t>
  </si>
  <si>
    <t>Zeta</t>
  </si>
  <si>
    <t>Omega</t>
  </si>
  <si>
    <t>TB7</t>
  </si>
  <si>
    <t>Teams</t>
  </si>
  <si>
    <t>Geonosian</t>
  </si>
  <si>
    <t>Factions</t>
  </si>
  <si>
    <t>Gear Order</t>
  </si>
  <si>
    <t>Need</t>
  </si>
  <si>
    <t>Power</t>
  </si>
  <si>
    <t>Galactic Power</t>
  </si>
  <si>
    <t>Young Han Solo</t>
  </si>
  <si>
    <t>Vandor Chewbacca</t>
  </si>
  <si>
    <t>Amount</t>
  </si>
  <si>
    <t>Tie Defender</t>
  </si>
  <si>
    <t>Darth Sion/Kylo Ren's Command Shuttle</t>
  </si>
  <si>
    <t>Qi'ra</t>
  </si>
  <si>
    <t>Asajj</t>
  </si>
  <si>
    <t>Enfys Nest</t>
  </si>
  <si>
    <t>Anakin</t>
  </si>
  <si>
    <t>Old Ben</t>
  </si>
  <si>
    <t>Dooku</t>
  </si>
  <si>
    <t>Qui-Gon</t>
  </si>
  <si>
    <t>Hermit</t>
  </si>
  <si>
    <t>Ezra</t>
  </si>
  <si>
    <t>Barriss</t>
  </si>
  <si>
    <t>Yoda</t>
  </si>
  <si>
    <t>Mace</t>
  </si>
  <si>
    <t>Kanan</t>
  </si>
  <si>
    <t>Savage</t>
  </si>
  <si>
    <t>Maul</t>
  </si>
  <si>
    <t>Sion</t>
  </si>
  <si>
    <t>Assassin</t>
  </si>
  <si>
    <t>Trooper</t>
  </si>
  <si>
    <t>Traya</t>
  </si>
  <si>
    <t>Jedi Knight (1 of 4)</t>
  </si>
  <si>
    <t>Win 200 battles with 5 Jedi</t>
  </si>
  <si>
    <t>Have 5 Jedi at 7 Stars</t>
  </si>
  <si>
    <t>Have Jedi Consular's Starfighter at 7 Stars</t>
  </si>
  <si>
    <t>Jedi Knight (2 of 4)</t>
  </si>
  <si>
    <t>Win 10 Squad Arena battles with Jedi</t>
  </si>
  <si>
    <t>Get Jedi Knight Anakin to Gear tier XII</t>
  </si>
  <si>
    <t>Get General Kenobi to Gear tier XII</t>
  </si>
  <si>
    <t>Jedi Knight (3 of 4)</t>
  </si>
  <si>
    <t>Get Old Ben Kenobi to Gear tier XII</t>
  </si>
  <si>
    <t>Win Light Hard 9-C with 5 Jedi</t>
  </si>
  <si>
    <t>Earn 30 Stars in Territory Battles</t>
  </si>
  <si>
    <t>Jedi Knight (4 of 4)</t>
  </si>
  <si>
    <t>Get 10 Jedi characters to Gear tier XI</t>
  </si>
  <si>
    <t>Earn Rank 10 or better 5 times in Heroic AAT</t>
  </si>
  <si>
    <t>Win 4 Territory Wars</t>
  </si>
  <si>
    <t>Jedi Master (1 of 4)</t>
  </si>
  <si>
    <t>Earn Rank 3 or better 3 times in Heroic AAT</t>
  </si>
  <si>
    <t>Get 5 Jedi to Gear Tier XII</t>
  </si>
  <si>
    <t>Have Ahsoka Tano's Jedi Starfighter at 7 Stars</t>
  </si>
  <si>
    <t>Jedi Master (2 of 4)</t>
  </si>
  <si>
    <t>Win 20 Squad Arena battles with Qui-Gon Jinn</t>
  </si>
  <si>
    <t>Get Qui-Gon Jinn to Gear XII</t>
  </si>
  <si>
    <t>Defeat 200 Separatist enemies</t>
  </si>
  <si>
    <t>Jedi Master (3 of 4)</t>
  </si>
  <si>
    <t>Defeat 200 Sith with Grand Master Yoda</t>
  </si>
  <si>
    <t>Win Light Hard 9-D with 5 Jedi</t>
  </si>
  <si>
    <t>Earn 100 Stars in Territory Battles</t>
  </si>
  <si>
    <t>Jedi Master (4 of 4)</t>
  </si>
  <si>
    <t>Get 10 Jedi to Gear tier XII</t>
  </si>
  <si>
    <t>Earn Rank 1 in Heroic AAT</t>
  </si>
  <si>
    <t>Win 10 Territory Wars</t>
  </si>
  <si>
    <t>Sith Agent (1 of 4)</t>
  </si>
  <si>
    <t>Get Asajj Ventress to Gear XII</t>
  </si>
  <si>
    <t>Get 5 Sith to 7 Stars</t>
  </si>
  <si>
    <t>Defeat 200 Jedi with Asajj Ventress present</t>
  </si>
  <si>
    <t>Sith Agent (2 of 4)</t>
  </si>
  <si>
    <t>Win 10 Squad Arena Battles with only Sith</t>
  </si>
  <si>
    <t>Defeat 1,000 Galactic Republic enemies with Count Dooku present</t>
  </si>
  <si>
    <t>Get Count Dooku to Gear XII</t>
  </si>
  <si>
    <t>Sith Agent (3 of 4)</t>
  </si>
  <si>
    <t>Finish off 200 enemies with Count Dooku</t>
  </si>
  <si>
    <t>Win Dark Hard 9-C with 5 Sith</t>
  </si>
  <si>
    <t>Earn 50 Stars in Territory Battles</t>
  </si>
  <si>
    <t>Sith Agent (4 of 4)</t>
  </si>
  <si>
    <t>Get Savage Opress to Gear XII</t>
  </si>
  <si>
    <t>Earn 8,400 Raid Tickets</t>
  </si>
  <si>
    <t>Win 3 Territory Wars</t>
  </si>
  <si>
    <t>Sith Master (1 of 4)</t>
  </si>
  <si>
    <t>Defeat 1,000 Light Side characters with Darth Vader present</t>
  </si>
  <si>
    <t>Get 5 Sith to Gear XII</t>
  </si>
  <si>
    <t>Have Scimitar at 7 Stars</t>
  </si>
  <si>
    <t>Sith Master (2 of 4)</t>
  </si>
  <si>
    <t>Win 20 Squad Arena Battles with only Sith</t>
  </si>
  <si>
    <t>Get Darth Maul to Gear XII</t>
  </si>
  <si>
    <t>Defeat 200 Jedi</t>
  </si>
  <si>
    <t>Sith Master (3 of 4)</t>
  </si>
  <si>
    <t>Win 10 Territory War attacks with a Sith present</t>
  </si>
  <si>
    <t>Win Dark Hard 9-D with 5 Sith</t>
  </si>
  <si>
    <t>Sith Master (4 of 4)</t>
  </si>
  <si>
    <t>Get 10 Sith to Gear XII</t>
  </si>
  <si>
    <t>Defeat 500 Rebel characters with Emporer Palpatine present</t>
  </si>
  <si>
    <t>Win 5 Territory Wars</t>
  </si>
  <si>
    <t>X</t>
  </si>
  <si>
    <t>Favorite</t>
  </si>
  <si>
    <t>Side</t>
  </si>
  <si>
    <t>Omegas</t>
  </si>
  <si>
    <t>Quest</t>
  </si>
  <si>
    <t>Territory Battle</t>
  </si>
  <si>
    <t>Young Lando Calrissian</t>
  </si>
  <si>
    <t>L3-37</t>
  </si>
  <si>
    <t>Scoundrel,Droid</t>
  </si>
  <si>
    <t>Qi'Ra</t>
  </si>
  <si>
    <t>Quest Order</t>
  </si>
  <si>
    <t>BB8</t>
  </si>
  <si>
    <t>Rey (Scavnger)</t>
  </si>
  <si>
    <t>Daka</t>
  </si>
  <si>
    <t>Talzin</t>
  </si>
  <si>
    <t>Rey</t>
  </si>
  <si>
    <t>RT</t>
  </si>
  <si>
    <t>Sith Triumvirate</t>
  </si>
  <si>
    <t>Sith Shadows</t>
  </si>
  <si>
    <t>Contract Killers</t>
  </si>
  <si>
    <t>212th</t>
  </si>
  <si>
    <t>Clankers</t>
  </si>
  <si>
    <t>Clankers,TB7</t>
  </si>
  <si>
    <t>Emperor's Vengeance</t>
  </si>
  <si>
    <t>Emperor's Vengeance,Sith Triumvirate</t>
  </si>
  <si>
    <t>Snoke's Right Hand</t>
  </si>
  <si>
    <t>Clones Suck</t>
  </si>
  <si>
    <t>Clones Suck,TB7</t>
  </si>
  <si>
    <t>Utinni</t>
  </si>
  <si>
    <t>The Witches</t>
  </si>
  <si>
    <t>Misfits</t>
  </si>
  <si>
    <t>The Death Star Must Die</t>
  </si>
  <si>
    <t>Solo's Five</t>
  </si>
  <si>
    <t>Aerial Assault</t>
  </si>
  <si>
    <t>Rebel Scum</t>
  </si>
  <si>
    <t>For the Resistance</t>
  </si>
  <si>
    <t>The Force Awoken</t>
  </si>
  <si>
    <t>For the Resistance,The Force Awoken</t>
  </si>
  <si>
    <t>Rebel Scum,The Force Awoken</t>
  </si>
  <si>
    <t>The Protectors of the Galaxy</t>
  </si>
  <si>
    <t>C-3PO's Minions</t>
  </si>
  <si>
    <t>Star Destroyer</t>
  </si>
  <si>
    <t>Super Star Destroyer</t>
  </si>
  <si>
    <t>Shuttle Tydirium</t>
  </si>
  <si>
    <t>Obi-Wan's Fighter</t>
  </si>
  <si>
    <t>Red Five</t>
  </si>
  <si>
    <t>Slave 1</t>
  </si>
  <si>
    <t>Tie Fighter</t>
  </si>
  <si>
    <t>Y-Wing</t>
  </si>
  <si>
    <t>B-Wing</t>
  </si>
  <si>
    <t>Snowspeeder</t>
  </si>
  <si>
    <t>Republic Gunship</t>
  </si>
  <si>
    <t>Hoth</t>
  </si>
  <si>
    <t>Sandcrawler</t>
  </si>
  <si>
    <t>Malevolence</t>
  </si>
  <si>
    <t>Anakin's Jedi Interceptor</t>
  </si>
  <si>
    <t>Pod Racers</t>
  </si>
  <si>
    <t>Landspeeder</t>
  </si>
  <si>
    <t>Sith Infiltrator</t>
  </si>
  <si>
    <t>Naboo Starfighter</t>
  </si>
  <si>
    <t>ATAT</t>
  </si>
  <si>
    <t>ATST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</si>
</sst>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E3948"/>
      <name val="Arial"/>
      <family val="2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scheme val="minor"/>
    </font>
    <font>
      <b/>
      <sz val="11"/>
      <color theme="2" tint="-9.9978637043366805E-2"/>
      <name val="Calibri"/>
      <scheme val="minor"/>
    </font>
    <font>
      <sz val="22"/>
      <color theme="2" tint="-9.9978637043366805E-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2" tint="-9.9978637043366805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CDD2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medium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0" fontId="0" fillId="0" borderId="0" xfId="1" applyNumberFormat="1" applyFont="1"/>
    <xf numFmtId="0" fontId="0" fillId="3" borderId="0" xfId="0" applyFill="1"/>
    <xf numFmtId="0" fontId="3" fillId="3" borderId="0" xfId="0" applyFont="1" applyFill="1"/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Border="1"/>
    <xf numFmtId="0" fontId="6" fillId="3" borderId="0" xfId="0" applyFont="1" applyFill="1"/>
    <xf numFmtId="164" fontId="4" fillId="2" borderId="0" xfId="0" applyNumberFormat="1" applyFont="1" applyFill="1" applyAlignment="1">
      <alignment horizontal="center"/>
    </xf>
    <xf numFmtId="0" fontId="0" fillId="0" borderId="0" xfId="0" applyFill="1" applyBorder="1"/>
    <xf numFmtId="0" fontId="7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wrapText="1" inden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4" fillId="2" borderId="0" xfId="0" applyNumberFormat="1" applyFont="1" applyFill="1"/>
    <xf numFmtId="166" fontId="4" fillId="2" borderId="0" xfId="1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9" fillId="3" borderId="0" xfId="0" applyFont="1" applyFill="1"/>
    <xf numFmtId="10" fontId="4" fillId="2" borderId="0" xfId="1" applyNumberFormat="1" applyFont="1" applyFill="1" applyAlignment="1">
      <alignment horizontal="center"/>
    </xf>
    <xf numFmtId="0" fontId="10" fillId="2" borderId="0" xfId="0" applyFont="1" applyFill="1"/>
    <xf numFmtId="164" fontId="10" fillId="2" borderId="0" xfId="0" applyNumberFormat="1" applyFont="1" applyFill="1" applyAlignment="1">
      <alignment horizontal="center"/>
    </xf>
    <xf numFmtId="10" fontId="10" fillId="2" borderId="0" xfId="1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Fill="1"/>
    <xf numFmtId="0" fontId="10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3" fillId="6" borderId="0" xfId="0" applyFont="1" applyFill="1"/>
    <xf numFmtId="0" fontId="13" fillId="6" borderId="0" xfId="0" applyFont="1" applyFill="1" applyBorder="1"/>
    <xf numFmtId="0" fontId="0" fillId="7" borderId="0" xfId="0" applyFill="1"/>
    <xf numFmtId="0" fontId="9" fillId="7" borderId="0" xfId="0" applyFont="1" applyFill="1"/>
    <xf numFmtId="0" fontId="9" fillId="6" borderId="0" xfId="0" applyFont="1" applyFill="1"/>
    <xf numFmtId="0" fontId="14" fillId="3" borderId="0" xfId="0" applyFont="1" applyFill="1" applyBorder="1" applyAlignment="1">
      <alignment horizontal="center"/>
    </xf>
    <xf numFmtId="0" fontId="14" fillId="3" borderId="0" xfId="0" applyFont="1" applyFill="1"/>
    <xf numFmtId="0" fontId="14" fillId="3" borderId="0" xfId="0" applyFont="1" applyFill="1" applyBorder="1"/>
    <xf numFmtId="0" fontId="14" fillId="0" borderId="0" xfId="0" applyFont="1"/>
    <xf numFmtId="0" fontId="14" fillId="0" borderId="0" xfId="0" applyFont="1" applyFill="1"/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165" fontId="10" fillId="2" borderId="0" xfId="2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left"/>
    </xf>
    <xf numFmtId="0" fontId="16" fillId="3" borderId="13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3" fontId="12" fillId="2" borderId="0" xfId="2" applyNumberFormat="1" applyFont="1" applyFill="1" applyAlignment="1">
      <alignment horizontal="center" vertical="center"/>
    </xf>
    <xf numFmtId="4" fontId="12" fillId="2" borderId="0" xfId="2" applyNumberFormat="1" applyFont="1" applyFill="1" applyAlignment="1">
      <alignment horizontal="center" vertical="center"/>
    </xf>
    <xf numFmtId="10" fontId="12" fillId="2" borderId="0" xfId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0" fontId="12" fillId="2" borderId="0" xfId="1" applyNumberFormat="1" applyFont="1" applyFill="1" applyAlignment="1">
      <alignment horizontal="center" vertical="center"/>
    </xf>
    <xf numFmtId="3" fontId="12" fillId="2" borderId="0" xfId="2" applyNumberFormat="1" applyFont="1" applyFill="1" applyAlignment="1">
      <alignment horizontal="center" vertical="center"/>
    </xf>
    <xf numFmtId="4" fontId="12" fillId="2" borderId="0" xfId="2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FF0000"/>
      </font>
      <fill>
        <patternFill patternType="solid">
          <fgColor indexed="64"/>
          <bgColor rgb="FFFCDD2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theme="0" tint="-4.9989318521683403E-2"/>
      </font>
      <fill>
        <patternFill>
          <bgColor theme="1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color theme="6" tint="-0.499984740745262"/>
      </font>
      <fill>
        <patternFill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4" formatCode="0.00%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4" formatCode="0.00%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4" formatCode="0.0"/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9.9978637043366805E-2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</dxf>
    <dxf>
      <font>
        <color theme="1" tint="0.24994659260841701"/>
      </font>
      <fill>
        <patternFill>
          <bgColor rgb="FFFFC000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2" tint="-9.9948118533890809E-2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  <color rgb="FFFF0000"/>
      </font>
      <fill>
        <patternFill>
          <bgColor theme="1" tint="4.9989318521683403E-2"/>
        </patternFill>
      </fill>
    </dxf>
    <dxf>
      <font>
        <b/>
        <i val="0"/>
        <strike val="0"/>
        <color theme="0"/>
      </font>
      <fill>
        <patternFill>
          <bgColor theme="1"/>
        </patternFill>
      </fill>
      <border>
        <top style="medium">
          <color auto="1"/>
        </top>
        <bottom style="medium">
          <color auto="1"/>
        </bottom>
      </border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</dxfs>
  <tableStyles count="1" defaultTableStyle="Table Style 1" defaultPivotStyle="PivotStyleLight16">
    <tableStyle name="Table Style 1" pivot="0" count="5">
      <tableStyleElement type="wholeTable" dxfId="86"/>
      <tableStyleElement type="headerRow" dxfId="85"/>
      <tableStyleElement type="totalRow" dxfId="84"/>
      <tableStyleElement type="firstRowStripe" dxfId="83"/>
      <tableStyleElement type="secondRowStripe" dxfId="82"/>
    </tableStyle>
  </tableStyles>
  <colors>
    <mruColors>
      <color rgb="FF99FF99"/>
      <color rgb="FFFCDD20"/>
      <color rgb="FF737373"/>
      <color rgb="FF404040"/>
      <color rgb="FF5400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Tables!$B$2:$B$14</c:f>
              <c:numCache>
                <c:formatCode>0.00</c:formatCode>
                <c:ptCount val="13"/>
                <c:pt idx="0">
                  <c:v>0</c:v>
                </c:pt>
                <c:pt idx="1">
                  <c:v>1.5914351851851853E-3</c:v>
                </c:pt>
                <c:pt idx="2">
                  <c:v>2.5462962962962965E-2</c:v>
                </c:pt>
                <c:pt idx="3">
                  <c:v>0.12890625</c:v>
                </c:pt>
                <c:pt idx="4">
                  <c:v>0.40740740740740744</c:v>
                </c:pt>
                <c:pt idx="5">
                  <c:v>0.99464699074074103</c:v>
                </c:pt>
                <c:pt idx="6">
                  <c:v>2.0625</c:v>
                </c:pt>
                <c:pt idx="7">
                  <c:v>3.8210358796296289</c:v>
                </c:pt>
                <c:pt idx="8">
                  <c:v>6.518518518518519</c:v>
                </c:pt>
                <c:pt idx="9">
                  <c:v>10.44140625</c:v>
                </c:pt>
                <c:pt idx="10">
                  <c:v>15.914351851851857</c:v>
                </c:pt>
                <c:pt idx="11">
                  <c:v>23.300202546296301</c:v>
                </c:pt>
                <c:pt idx="1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3-4D63-99DC-E00375C1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556688"/>
        <c:axId val="2058551696"/>
      </c:lineChart>
      <c:catAx>
        <c:axId val="20585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1696"/>
        <c:crosses val="autoZero"/>
        <c:auto val="1"/>
        <c:lblAlgn val="ctr"/>
        <c:lblOffset val="100"/>
        <c:noMultiLvlLbl val="0"/>
      </c:catAx>
      <c:valAx>
        <c:axId val="20585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22</xdr:row>
      <xdr:rowOff>123825</xdr:rowOff>
    </xdr:from>
    <xdr:to>
      <xdr:col>11</xdr:col>
      <xdr:colOff>142875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32:N184" totalsRowShown="0" headerRowDxfId="78" dataDxfId="77">
  <autoFilter ref="A32:N184"/>
  <sortState ref="A33:N184">
    <sortCondition descending="1" ref="N32:N184"/>
  </sortState>
  <tableColumns count="14">
    <tableColumn id="1" name="Character" dataDxfId="76"/>
    <tableColumn id="2" name="Side" dataDxfId="75"/>
    <tableColumn id="3" name="Faction" dataDxfId="74"/>
    <tableColumn id="4" name="Team" dataDxfId="73"/>
    <tableColumn id="5" name="Stars" dataDxfId="72"/>
    <tableColumn id="6" name="Level" dataDxfId="71"/>
    <tableColumn id="7" name="Gear" dataDxfId="70"/>
    <tableColumn id="8" name="Omegas" dataDxfId="69"/>
    <tableColumn id="9" name="Zeta" dataDxfId="68"/>
    <tableColumn id="12" name="Abilities" dataDxfId="67">
      <calculatedColumnFormula>IFERROR((((((((Tables!$H$2/VLOOKUP(A33,Characters!$A$2:$F$1048576,5,FALSE))*(VLOOKUP(A33,Characters!$A$2:$F$1048576,5,FALSE)-H33))/6)*6)+((((Tables!$G$2/VLOOKUP(A33,Characters!$A$2:$F$1048576,6,FALSE))*(VLOOKUP(A33,Characters!$A$2:$F$1048576,6,FALSE)-I33))/24)*24)))/30)*(Tables!$K$5*100),(((Tables!$H$2/VLOOKUP(A33,Characters!$A$2:$F$1048576,5,FALSE))*(VLOOKUP(A33,Characters!$A$2:$F$1048576,5,FALSE)-H33))/6)*(Tables!$K$5*100))</calculatedColumnFormula>
    </tableColumn>
    <tableColumn id="10" name="Completion" dataDxfId="66">
      <calculatedColumnFormula>VLOOKUP(E33,Tables!$E$1:$F$9,2,FALSE)+VLOOKUP(F33,Tables!$C:$D,2,FALSE)+VLOOKUP(G33,Tables!$A:$B,2,FALSE)+IFERROR((((((((Tables!$H$2/VLOOKUP(A33,Characters!$A$2:$F$1048576,5,FALSE))*(VLOOKUP(A33,Characters!$A$2:$F$1048576,5,FALSE)-H33))/6)*6)+((((Tables!$G$2/VLOOKUP(A33,Characters!$A$2:$F$1048576,6,FALSE))*(VLOOKUP(A33,Characters!$A$2:$F$1048576,6,FALSE)-I33))/24)*24)))/30)*(Tables!$K$5*100),(((Tables!$H$2/VLOOKUP(A33,Characters!$A$2:$F$1048576,5,FALSE))*(VLOOKUP(A33,Characters!$A$2:$F$1048576,5,FALSE)-H33))/6)*(Tables!$K$5*100))</calculatedColumnFormula>
    </tableColumn>
    <tableColumn id="11" name="Reason" dataDxfId="65"/>
    <tableColumn id="13" name="Power" dataDxfId="64" dataCellStyle="Comma"/>
    <tableColumn id="15" name="Favorite" dataDxfId="63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22" totalsRowShown="0" headerRowDxfId="62" dataDxfId="60" headerRowBorderDxfId="61">
  <autoFilter ref="A1:F22"/>
  <sortState ref="A2:F22">
    <sortCondition descending="1" ref="F1:F22"/>
  </sortState>
  <tableColumns count="6">
    <tableColumn id="1" name="Teams" dataDxfId="59"/>
    <tableColumn id="2" name="Stars" dataDxfId="58"/>
    <tableColumn id="3" name="Level" dataDxfId="57"/>
    <tableColumn id="4" name="Gear" dataDxfId="56"/>
    <tableColumn id="5" name="Abilities" dataDxfId="55"/>
    <tableColumn id="6" name="Completion" dataDxfId="54" dataCellStyle="Percent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H1:M23" totalsRowShown="0" headerRowDxfId="53" dataDxfId="52">
  <autoFilter ref="H1:M23"/>
  <sortState ref="H2:M23">
    <sortCondition descending="1" ref="M1:M23"/>
  </sortState>
  <tableColumns count="6">
    <tableColumn id="1" name="Factions" dataDxfId="51"/>
    <tableColumn id="2" name="Stars" dataDxfId="50"/>
    <tableColumn id="3" name="Level" dataDxfId="49"/>
    <tableColumn id="4" name="Gear" dataDxfId="48"/>
    <tableColumn id="5" name="Abilities" dataDxfId="47"/>
    <tableColumn id="6" name="Completion" dataDxfId="46" dataCellStyle="Percent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31:J52" headerRowDxfId="39" dataDxfId="38">
  <autoFilter ref="B31:J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9">
    <tableColumn id="1" name="Gear Order" totalsRowLabel="Total" dataDxfId="37" totalsRowDxfId="36"/>
    <tableColumn id="2" name="Cantina" dataDxfId="35" totalsRowDxfId="34"/>
    <tableColumn id="5" name="Ships" dataDxfId="33" totalsRowDxfId="32"/>
    <tableColumn id="6" name="Guild" dataDxfId="31" totalsRowDxfId="30"/>
    <tableColumn id="7" name="Guild Event" dataDxfId="29" totalsRowDxfId="28"/>
    <tableColumn id="9" name="LS" dataDxfId="27" totalsRowDxfId="26"/>
    <tableColumn id="10" name="DS" dataDxfId="25" totalsRowDxfId="24"/>
    <tableColumn id="11" name="Other" totalsRowFunction="count" dataDxfId="23"/>
    <tableColumn id="3" name="Quest Order" dataDxfId="22" totalsRowDxfId="2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I27" totalsRowCount="1" headerRowDxfId="20" dataDxfId="19" totalsRowDxfId="18">
  <autoFilter ref="A1:I26"/>
  <sortState ref="A2:I26">
    <sortCondition descending="1" ref="H1:H26"/>
  </sortState>
  <tableColumns count="9">
    <tableColumn id="1" name="Item" totalsRowLabel="Total" dataDxfId="17" totalsRowDxfId="16"/>
    <tableColumn id="2" name="Asajj" totalsRowFunction="sum" dataDxfId="15" totalsRowDxfId="14"/>
    <tableColumn id="3" name="BB-8" totalsRowFunction="sum" dataDxfId="13" totalsRowDxfId="12"/>
    <tableColumn id="6" name="Rey" totalsRowFunction="sum" dataDxfId="11" totalsRowDxfId="10"/>
    <tableColumn id="5" name="RT" totalsRowFunction="sum" dataDxfId="9" totalsRowDxfId="8"/>
    <tableColumn id="4" name="Daka" totalsRowFunction="sum" dataDxfId="7" totalsRowDxfId="6"/>
    <tableColumn id="7" name="Have" totalsRowFunction="sum" dataDxfId="5" totalsRowDxfId="4"/>
    <tableColumn id="9" name="Amount" totalsRowFunction="sum" dataDxfId="3" totalsRowDxfId="2">
      <calculatedColumnFormula>IF(G2&gt;=B2,0,B2-G2)</calculatedColumnFormula>
    </tableColumn>
    <tableColumn id="8" name="Need" totalsRowFunction="sum" dataDxfId="1" totalsRowDxfId="0">
      <calculatedColumnFormula>IF(SUM(B2:F2,-G2)&lt;0,0,SUM(B2:F2,-G2))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abSelected="1" zoomScaleNormal="100" workbookViewId="0">
      <selection activeCell="G76" sqref="G76"/>
    </sheetView>
  </sheetViews>
  <sheetFormatPr defaultRowHeight="15" x14ac:dyDescent="0.25"/>
  <cols>
    <col min="1" max="1" width="27.7109375" style="11" customWidth="1"/>
    <col min="2" max="2" width="9.85546875" style="11" bestFit="1" customWidth="1"/>
    <col min="3" max="3" width="18.42578125" style="11" customWidth="1"/>
    <col min="4" max="4" width="14.42578125" style="11" customWidth="1"/>
    <col min="5" max="5" width="14.28515625" style="11" bestFit="1" customWidth="1"/>
    <col min="6" max="6" width="15.7109375" style="11" customWidth="1"/>
    <col min="7" max="7" width="9.85546875" style="11" bestFit="1" customWidth="1"/>
    <col min="8" max="8" width="16" style="11" bestFit="1" customWidth="1"/>
    <col min="9" max="9" width="9.85546875" style="11" bestFit="1" customWidth="1"/>
    <col min="10" max="10" width="12.140625" style="11" customWidth="1"/>
    <col min="11" max="11" width="14.28515625" style="11" customWidth="1"/>
    <col min="12" max="12" width="15.5703125" style="11" customWidth="1"/>
    <col min="13" max="13" width="16" style="11" bestFit="1" customWidth="1"/>
    <col min="14" max="14" width="12.85546875" style="11" bestFit="1" customWidth="1"/>
    <col min="15" max="16384" width="9.140625" style="11"/>
  </cols>
  <sheetData>
    <row r="1" spans="1:13" ht="15.75" thickBot="1" x14ac:dyDescent="0.3">
      <c r="A1" s="10" t="s">
        <v>262</v>
      </c>
      <c r="B1" s="10" t="s">
        <v>25</v>
      </c>
      <c r="C1" s="10" t="s">
        <v>24</v>
      </c>
      <c r="D1" s="10" t="s">
        <v>23</v>
      </c>
      <c r="E1" s="10" t="s">
        <v>258</v>
      </c>
      <c r="F1" s="10" t="s">
        <v>187</v>
      </c>
      <c r="H1" s="11" t="s">
        <v>264</v>
      </c>
      <c r="I1" s="23" t="s">
        <v>25</v>
      </c>
      <c r="J1" s="23" t="s">
        <v>24</v>
      </c>
      <c r="K1" s="23" t="s">
        <v>23</v>
      </c>
      <c r="L1" s="23" t="s">
        <v>258</v>
      </c>
      <c r="M1" s="23" t="s">
        <v>187</v>
      </c>
    </row>
    <row r="2" spans="1:13" x14ac:dyDescent="0.25">
      <c r="A2" s="11" t="s">
        <v>224</v>
      </c>
      <c r="B2" s="14"/>
      <c r="C2" s="14"/>
      <c r="D2" s="14"/>
      <c r="E2" s="14"/>
      <c r="F2" s="25">
        <v>1</v>
      </c>
      <c r="H2" s="11" t="s">
        <v>224</v>
      </c>
      <c r="I2" s="14"/>
      <c r="J2" s="14"/>
      <c r="K2" s="14"/>
      <c r="L2" s="14"/>
      <c r="M2" s="25">
        <v>1</v>
      </c>
    </row>
    <row r="3" spans="1:13" x14ac:dyDescent="0.25">
      <c r="A3" s="11" t="s">
        <v>382</v>
      </c>
      <c r="B3" s="14">
        <f t="shared" ref="B3:B22" si="0">SUMIF($D$33:$D$1000006,"*"&amp;$A3&amp;"*",E$33:E$1000006)/(COUNTIF($D$33:$D$1000006,"*"&amp;$A3&amp;"*"))</f>
        <v>7</v>
      </c>
      <c r="C3" s="14">
        <f t="shared" ref="C3:C22" si="1">SUMIF($D$33:$D$1000006,"*"&amp;$A3&amp;"*",F$33:F$1000006)/(COUNTIF($D$33:$D$1000006,"*"&amp;$A3&amp;"*"))</f>
        <v>85</v>
      </c>
      <c r="D3" s="14">
        <f t="shared" ref="D3:D22" si="2">SUMIF($D$33:$D$1000006,"*"&amp;$A3&amp;"*",G$33:G$1000006)/(COUNTIF($D$33:$D$1000006,"*"&amp;$A3&amp;"*"))</f>
        <v>11.6</v>
      </c>
      <c r="E3" s="21">
        <f t="shared" ref="E3:E22" si="3">(SUMIF($D$33:$D$1000006,"*"&amp;$A3&amp;"*",J$33:J$1000006)/(COUNTIF($D$33:$D$1000006,"*"&amp;$A3&amp;"*")))/30</f>
        <v>1</v>
      </c>
      <c r="F3" s="25">
        <f t="shared" ref="F3:F22" si="4">SUMIF($D$33:$D$1000006,"*"&amp;$A3&amp;"*",K$33:K$1000006)/(COUNTIF($D$33:$D$1000006,"*"&amp;$A3&amp;"*"))/100</f>
        <v>0.96120081018518522</v>
      </c>
      <c r="H3" s="11" t="s">
        <v>32</v>
      </c>
      <c r="I3" s="14">
        <f t="shared" ref="I3:I23" si="5">SUMIF($C$33:$C$1000006,"*"&amp;$H3&amp;"*",E$33:E$1000006)/(COUNTIF($C$33:$C$1000006,"*"&amp;$H3&amp;"*"))</f>
        <v>7</v>
      </c>
      <c r="J3" s="14">
        <f t="shared" ref="J3:J23" si="6">SUMIF($C$33:$C$1000006,"*"&amp;$H3&amp;"*",F$33:F$1000006)/(COUNTIF($C$33:$C$1000006,"*"&amp;$H3&amp;"*"))</f>
        <v>85</v>
      </c>
      <c r="K3" s="14">
        <f t="shared" ref="K3:K23" si="7">SUMIF($C$33:$C$1000006,"*"&amp;$H3&amp;"*",G$33:G$1000006)/(COUNTIF($C$33:$C$1000006,"*"&amp;$H3&amp;"*"))</f>
        <v>11.2</v>
      </c>
      <c r="L3" s="21">
        <f t="shared" ref="L3:L23" si="8">(SUMIF($C$33:$C$1000006,"*"&amp;$H3&amp;"*",J$33:J$1000006)/(COUNTIF($C$33:$C$1000006,"*"&amp;$H3&amp;"*")))/30</f>
        <v>1</v>
      </c>
      <c r="M3" s="25">
        <f t="shared" ref="M3:M23" si="9">SUMIF($C$33:$C$1000006,"*"&amp;$H3&amp;"*",K$33:K$1000006)/(COUNTIF($C$33:$C$1000006,"*"&amp;$H3&amp;"*"))/100</f>
        <v>0.92240162037037043</v>
      </c>
    </row>
    <row r="4" spans="1:13" x14ac:dyDescent="0.25">
      <c r="A4" s="11" t="s">
        <v>376</v>
      </c>
      <c r="B4" s="14">
        <f t="shared" si="0"/>
        <v>7</v>
      </c>
      <c r="C4" s="14">
        <f t="shared" si="1"/>
        <v>85</v>
      </c>
      <c r="D4" s="14">
        <f t="shared" si="2"/>
        <v>11.2</v>
      </c>
      <c r="E4" s="21">
        <f t="shared" si="3"/>
        <v>1</v>
      </c>
      <c r="F4" s="25">
        <f t="shared" si="4"/>
        <v>0.92240162037037043</v>
      </c>
      <c r="H4" s="11" t="s">
        <v>35</v>
      </c>
      <c r="I4" s="14">
        <f t="shared" si="5"/>
        <v>7</v>
      </c>
      <c r="J4" s="14">
        <f t="shared" si="6"/>
        <v>80.428571428571431</v>
      </c>
      <c r="K4" s="14">
        <f t="shared" si="7"/>
        <v>10.857142857142858</v>
      </c>
      <c r="L4" s="21">
        <f t="shared" si="8"/>
        <v>0.85714285714285721</v>
      </c>
      <c r="M4" s="25">
        <f t="shared" si="9"/>
        <v>0.87187463456179659</v>
      </c>
    </row>
    <row r="5" spans="1:13" x14ac:dyDescent="0.25">
      <c r="A5" s="11" t="s">
        <v>379</v>
      </c>
      <c r="B5" s="14">
        <f t="shared" si="0"/>
        <v>7</v>
      </c>
      <c r="C5" s="14">
        <f t="shared" si="1"/>
        <v>85</v>
      </c>
      <c r="D5" s="14">
        <f t="shared" si="2"/>
        <v>11.4</v>
      </c>
      <c r="E5" s="21">
        <f t="shared" si="3"/>
        <v>0.76</v>
      </c>
      <c r="F5" s="25">
        <f t="shared" si="4"/>
        <v>0.87442910879629632</v>
      </c>
      <c r="H5" s="11" t="s">
        <v>22</v>
      </c>
      <c r="I5" s="14">
        <f t="shared" si="5"/>
        <v>5.833333333333333</v>
      </c>
      <c r="J5" s="14">
        <f t="shared" si="6"/>
        <v>77.916666666666671</v>
      </c>
      <c r="K5" s="14">
        <f t="shared" si="7"/>
        <v>9.9166666666666661</v>
      </c>
      <c r="L5" s="21">
        <f t="shared" si="8"/>
        <v>0.74444444444444435</v>
      </c>
      <c r="M5" s="25">
        <f t="shared" si="9"/>
        <v>0.74629126361356957</v>
      </c>
    </row>
    <row r="6" spans="1:13" x14ac:dyDescent="0.25">
      <c r="A6" s="11" t="s">
        <v>381</v>
      </c>
      <c r="B6" s="14">
        <f t="shared" si="0"/>
        <v>7</v>
      </c>
      <c r="C6" s="14">
        <f t="shared" si="1"/>
        <v>85</v>
      </c>
      <c r="D6" s="14">
        <f t="shared" si="2"/>
        <v>11.2</v>
      </c>
      <c r="E6" s="21">
        <f t="shared" si="3"/>
        <v>0.84</v>
      </c>
      <c r="F6" s="25">
        <f t="shared" si="4"/>
        <v>0.87440162037037039</v>
      </c>
      <c r="H6" s="11" t="s">
        <v>20</v>
      </c>
      <c r="I6" s="14">
        <f t="shared" si="5"/>
        <v>6.4117647058823533</v>
      </c>
      <c r="J6" s="14">
        <f t="shared" si="6"/>
        <v>79</v>
      </c>
      <c r="K6" s="14">
        <f t="shared" si="7"/>
        <v>9.3529411764705888</v>
      </c>
      <c r="L6" s="21">
        <f t="shared" si="8"/>
        <v>0.62352941176470589</v>
      </c>
      <c r="M6" s="25">
        <f t="shared" si="9"/>
        <v>0.71822027292679247</v>
      </c>
    </row>
    <row r="7" spans="1:13" x14ac:dyDescent="0.25">
      <c r="A7" s="11" t="s">
        <v>389</v>
      </c>
      <c r="B7" s="14">
        <f t="shared" si="0"/>
        <v>7</v>
      </c>
      <c r="C7" s="14">
        <f t="shared" si="1"/>
        <v>85</v>
      </c>
      <c r="D7" s="14">
        <f t="shared" si="2"/>
        <v>10.6</v>
      </c>
      <c r="E7" s="21">
        <f t="shared" si="3"/>
        <v>1</v>
      </c>
      <c r="F7" s="25">
        <f t="shared" si="4"/>
        <v>0.87345862268518515</v>
      </c>
      <c r="H7" s="11" t="s">
        <v>18</v>
      </c>
      <c r="I7" s="14">
        <f t="shared" si="5"/>
        <v>6.4285714285714288</v>
      </c>
      <c r="J7" s="14">
        <f t="shared" si="6"/>
        <v>85</v>
      </c>
      <c r="K7" s="14">
        <f t="shared" si="7"/>
        <v>11</v>
      </c>
      <c r="L7" s="21">
        <f t="shared" si="8"/>
        <v>0.4285714285714286</v>
      </c>
      <c r="M7" s="25">
        <f t="shared" si="9"/>
        <v>0.70237680985196027</v>
      </c>
    </row>
    <row r="8" spans="1:13" x14ac:dyDescent="0.25">
      <c r="A8" s="11" t="s">
        <v>395</v>
      </c>
      <c r="B8" s="14">
        <f t="shared" si="0"/>
        <v>6.6</v>
      </c>
      <c r="C8" s="14">
        <f t="shared" si="1"/>
        <v>85</v>
      </c>
      <c r="D8" s="14">
        <f t="shared" si="2"/>
        <v>11</v>
      </c>
      <c r="E8" s="21">
        <f t="shared" si="3"/>
        <v>0.84</v>
      </c>
      <c r="F8" s="25">
        <f t="shared" si="4"/>
        <v>0.84982441054206037</v>
      </c>
      <c r="H8" s="11" t="s">
        <v>158</v>
      </c>
      <c r="I8" s="14">
        <f t="shared" si="5"/>
        <v>6.3913043478260869</v>
      </c>
      <c r="J8" s="14">
        <f t="shared" si="6"/>
        <v>72.173913043478265</v>
      </c>
      <c r="K8" s="14">
        <f t="shared" si="7"/>
        <v>8.7391304347826093</v>
      </c>
      <c r="L8" s="21">
        <f t="shared" si="8"/>
        <v>0.62608695652173918</v>
      </c>
      <c r="M8" s="25">
        <f t="shared" si="9"/>
        <v>0.68365256130609187</v>
      </c>
    </row>
    <row r="9" spans="1:13" x14ac:dyDescent="0.25">
      <c r="A9" s="11" t="s">
        <v>391</v>
      </c>
      <c r="B9" s="14">
        <f t="shared" si="0"/>
        <v>7</v>
      </c>
      <c r="C9" s="14">
        <f t="shared" si="1"/>
        <v>85</v>
      </c>
      <c r="D9" s="14">
        <f t="shared" si="2"/>
        <v>11</v>
      </c>
      <c r="E9" s="21">
        <f t="shared" si="3"/>
        <v>0.78999999999999992</v>
      </c>
      <c r="F9" s="25">
        <f t="shared" si="4"/>
        <v>0.8400020254629631</v>
      </c>
      <c r="H9" s="11" t="s">
        <v>12</v>
      </c>
      <c r="I9" s="14">
        <f t="shared" si="5"/>
        <v>6.3</v>
      </c>
      <c r="J9" s="14">
        <f t="shared" si="6"/>
        <v>67.2</v>
      </c>
      <c r="K9" s="14">
        <f t="shared" si="7"/>
        <v>8.9</v>
      </c>
      <c r="L9" s="21">
        <f t="shared" si="8"/>
        <v>0.53500000000000003</v>
      </c>
      <c r="M9" s="25">
        <f t="shared" si="9"/>
        <v>0.66992222342797991</v>
      </c>
    </row>
    <row r="10" spans="1:13" x14ac:dyDescent="0.25">
      <c r="A10" s="11" t="s">
        <v>261</v>
      </c>
      <c r="B10" s="14">
        <f t="shared" si="0"/>
        <v>6.4</v>
      </c>
      <c r="C10" s="14">
        <f t="shared" si="1"/>
        <v>85</v>
      </c>
      <c r="D10" s="14">
        <f t="shared" si="2"/>
        <v>11</v>
      </c>
      <c r="E10" s="21">
        <f t="shared" si="3"/>
        <v>0.8</v>
      </c>
      <c r="F10" s="25">
        <f t="shared" si="4"/>
        <v>0.83808949656500797</v>
      </c>
      <c r="H10" s="11" t="s">
        <v>83</v>
      </c>
      <c r="I10" s="14">
        <f t="shared" si="5"/>
        <v>6.8</v>
      </c>
      <c r="J10" s="14">
        <f t="shared" si="6"/>
        <v>85</v>
      </c>
      <c r="K10" s="14">
        <f t="shared" si="7"/>
        <v>9</v>
      </c>
      <c r="L10" s="21">
        <f t="shared" si="8"/>
        <v>0.6</v>
      </c>
      <c r="M10" s="25">
        <f t="shared" si="9"/>
        <v>0.65148468790991909</v>
      </c>
    </row>
    <row r="11" spans="1:13" x14ac:dyDescent="0.25">
      <c r="A11" s="26" t="s">
        <v>392</v>
      </c>
      <c r="B11" s="14">
        <f t="shared" si="0"/>
        <v>7</v>
      </c>
      <c r="C11" s="14">
        <f t="shared" si="1"/>
        <v>85</v>
      </c>
      <c r="D11" s="14">
        <f t="shared" si="2"/>
        <v>11.4</v>
      </c>
      <c r="E11" s="21">
        <f t="shared" si="3"/>
        <v>0.65333333333333343</v>
      </c>
      <c r="F11" s="25">
        <f t="shared" si="4"/>
        <v>0.83780121527777784</v>
      </c>
      <c r="H11" s="11" t="s">
        <v>10</v>
      </c>
      <c r="I11" s="14">
        <f t="shared" si="5"/>
        <v>6.84375</v>
      </c>
      <c r="J11" s="14">
        <f t="shared" si="6"/>
        <v>72.15625</v>
      </c>
      <c r="K11" s="14">
        <f t="shared" si="7"/>
        <v>8.28125</v>
      </c>
      <c r="L11" s="21">
        <f t="shared" si="8"/>
        <v>0.49687500000000001</v>
      </c>
      <c r="M11" s="25">
        <f t="shared" si="9"/>
        <v>0.63155035128973569</v>
      </c>
    </row>
    <row r="12" spans="1:13" x14ac:dyDescent="0.25">
      <c r="A12" s="11" t="s">
        <v>390</v>
      </c>
      <c r="B12" s="14">
        <f t="shared" si="0"/>
        <v>7</v>
      </c>
      <c r="C12" s="14">
        <f t="shared" si="1"/>
        <v>85</v>
      </c>
      <c r="D12" s="14">
        <f t="shared" si="2"/>
        <v>11</v>
      </c>
      <c r="E12" s="21">
        <f t="shared" si="3"/>
        <v>0.6</v>
      </c>
      <c r="F12" s="25">
        <f t="shared" si="4"/>
        <v>0.79608362268518518</v>
      </c>
      <c r="H12" s="11" t="s">
        <v>36</v>
      </c>
      <c r="I12" s="14">
        <f t="shared" si="5"/>
        <v>5.625</v>
      </c>
      <c r="J12" s="14">
        <f t="shared" si="6"/>
        <v>74.5</v>
      </c>
      <c r="K12" s="14">
        <f t="shared" si="7"/>
        <v>8.875</v>
      </c>
      <c r="L12" s="21">
        <f t="shared" si="8"/>
        <v>0.52500000000000002</v>
      </c>
      <c r="M12" s="25">
        <f t="shared" si="9"/>
        <v>0.61649399842739361</v>
      </c>
    </row>
    <row r="13" spans="1:13" x14ac:dyDescent="0.25">
      <c r="A13" s="11" t="s">
        <v>374</v>
      </c>
      <c r="B13" s="14">
        <f t="shared" si="0"/>
        <v>6.2</v>
      </c>
      <c r="C13" s="14">
        <f t="shared" si="1"/>
        <v>85</v>
      </c>
      <c r="D13" s="14">
        <f t="shared" si="2"/>
        <v>10.4</v>
      </c>
      <c r="E13" s="21">
        <f t="shared" si="3"/>
        <v>0.8</v>
      </c>
      <c r="F13" s="25">
        <f t="shared" si="4"/>
        <v>0.7685633555520035</v>
      </c>
      <c r="H13" s="11" t="s">
        <v>11</v>
      </c>
      <c r="I13" s="14">
        <f t="shared" si="5"/>
        <v>6.2631578947368425</v>
      </c>
      <c r="J13" s="14">
        <f t="shared" si="6"/>
        <v>73.94736842105263</v>
      </c>
      <c r="K13" s="14">
        <f t="shared" si="7"/>
        <v>8.3157894736842106</v>
      </c>
      <c r="L13" s="21">
        <f t="shared" si="8"/>
        <v>0.44210526315789472</v>
      </c>
      <c r="M13" s="25">
        <f t="shared" si="9"/>
        <v>0.59289753321821692</v>
      </c>
    </row>
    <row r="14" spans="1:13" x14ac:dyDescent="0.25">
      <c r="A14" s="11" t="s">
        <v>373</v>
      </c>
      <c r="B14" s="14">
        <f t="shared" si="0"/>
        <v>5</v>
      </c>
      <c r="C14" s="14">
        <f t="shared" si="1"/>
        <v>68</v>
      </c>
      <c r="D14" s="14">
        <f t="shared" si="2"/>
        <v>9.4</v>
      </c>
      <c r="E14" s="21">
        <f t="shared" si="3"/>
        <v>0.8</v>
      </c>
      <c r="F14" s="25">
        <f t="shared" si="4"/>
        <v>0.75105245952797095</v>
      </c>
      <c r="H14" s="11" t="s">
        <v>14</v>
      </c>
      <c r="I14" s="14">
        <f t="shared" si="5"/>
        <v>6.8571428571428568</v>
      </c>
      <c r="J14" s="14">
        <f t="shared" si="6"/>
        <v>85</v>
      </c>
      <c r="K14" s="14">
        <f t="shared" si="7"/>
        <v>8.7142857142857135</v>
      </c>
      <c r="L14" s="21">
        <f t="shared" si="8"/>
        <v>0.39047619047619048</v>
      </c>
      <c r="M14" s="25">
        <f t="shared" si="9"/>
        <v>0.58397178435364583</v>
      </c>
    </row>
    <row r="15" spans="1:13" x14ac:dyDescent="0.25">
      <c r="A15" s="11" t="s">
        <v>387</v>
      </c>
      <c r="B15" s="14">
        <f t="shared" si="0"/>
        <v>7</v>
      </c>
      <c r="C15" s="14">
        <f t="shared" si="1"/>
        <v>85</v>
      </c>
      <c r="D15" s="14">
        <f t="shared" si="2"/>
        <v>9.4</v>
      </c>
      <c r="E15" s="21">
        <f t="shared" si="3"/>
        <v>0.67999999999999994</v>
      </c>
      <c r="F15" s="25">
        <f t="shared" si="4"/>
        <v>0.71415769675925933</v>
      </c>
      <c r="H15" s="11" t="s">
        <v>33</v>
      </c>
      <c r="I15" s="14">
        <f t="shared" si="5"/>
        <v>6.125</v>
      </c>
      <c r="J15" s="14">
        <f t="shared" si="6"/>
        <v>74.5</v>
      </c>
      <c r="K15" s="14">
        <f t="shared" si="7"/>
        <v>8.625</v>
      </c>
      <c r="L15" s="21">
        <f t="shared" si="8"/>
        <v>0.33124999999999999</v>
      </c>
      <c r="M15" s="25">
        <f t="shared" si="9"/>
        <v>0.55946535801120123</v>
      </c>
    </row>
    <row r="16" spans="1:13" x14ac:dyDescent="0.25">
      <c r="A16" s="11" t="s">
        <v>385</v>
      </c>
      <c r="B16" s="14">
        <f t="shared" si="0"/>
        <v>6</v>
      </c>
      <c r="C16" s="14">
        <f t="shared" si="1"/>
        <v>85</v>
      </c>
      <c r="D16" s="14">
        <f t="shared" si="2"/>
        <v>10.199999999999999</v>
      </c>
      <c r="E16" s="21">
        <f t="shared" si="3"/>
        <v>0.48000000000000004</v>
      </c>
      <c r="F16" s="25">
        <f t="shared" si="4"/>
        <v>0.65162619297204438</v>
      </c>
      <c r="H16" s="11" t="s">
        <v>30</v>
      </c>
      <c r="I16" s="14">
        <f t="shared" si="5"/>
        <v>6.7777777777777777</v>
      </c>
      <c r="J16" s="14">
        <f t="shared" si="6"/>
        <v>48.666666666666664</v>
      </c>
      <c r="K16" s="14">
        <f t="shared" si="7"/>
        <v>5.7777777777777777</v>
      </c>
      <c r="L16" s="21">
        <f t="shared" si="8"/>
        <v>0.46666666666666667</v>
      </c>
      <c r="M16" s="25">
        <f t="shared" si="9"/>
        <v>0.54834630398065509</v>
      </c>
    </row>
    <row r="17" spans="1:14" x14ac:dyDescent="0.25">
      <c r="A17" s="11" t="s">
        <v>384</v>
      </c>
      <c r="B17" s="14">
        <f t="shared" si="0"/>
        <v>6.8</v>
      </c>
      <c r="C17" s="14">
        <f t="shared" si="1"/>
        <v>85</v>
      </c>
      <c r="D17" s="14">
        <f t="shared" si="2"/>
        <v>9</v>
      </c>
      <c r="E17" s="21">
        <f t="shared" si="3"/>
        <v>0.6</v>
      </c>
      <c r="F17" s="25">
        <f t="shared" si="4"/>
        <v>0.65148468790991909</v>
      </c>
      <c r="H17" s="11" t="s">
        <v>31</v>
      </c>
      <c r="I17" s="14">
        <f t="shared" si="5"/>
        <v>7</v>
      </c>
      <c r="J17" s="14">
        <f t="shared" si="6"/>
        <v>85</v>
      </c>
      <c r="K17" s="14">
        <f t="shared" si="7"/>
        <v>9</v>
      </c>
      <c r="L17" s="21">
        <f t="shared" si="8"/>
        <v>0.18611111111111109</v>
      </c>
      <c r="M17" s="25">
        <f t="shared" si="9"/>
        <v>0.53799768518518531</v>
      </c>
    </row>
    <row r="18" spans="1:14" x14ac:dyDescent="0.25">
      <c r="A18" s="11" t="s">
        <v>375</v>
      </c>
      <c r="B18" s="14">
        <f t="shared" si="0"/>
        <v>6.2</v>
      </c>
      <c r="C18" s="14">
        <f t="shared" si="1"/>
        <v>85</v>
      </c>
      <c r="D18" s="14">
        <f t="shared" si="2"/>
        <v>11</v>
      </c>
      <c r="E18" s="21">
        <f t="shared" si="3"/>
        <v>0.2</v>
      </c>
      <c r="F18" s="25">
        <f t="shared" si="4"/>
        <v>0.62212672360755916</v>
      </c>
      <c r="H18" s="11" t="s">
        <v>19</v>
      </c>
      <c r="I18" s="14">
        <f t="shared" si="5"/>
        <v>6</v>
      </c>
      <c r="J18" s="14">
        <f t="shared" si="6"/>
        <v>78</v>
      </c>
      <c r="K18" s="14">
        <f t="shared" si="7"/>
        <v>7.75</v>
      </c>
      <c r="L18" s="21">
        <f t="shared" si="8"/>
        <v>0.3125</v>
      </c>
      <c r="M18" s="25">
        <f t="shared" si="9"/>
        <v>0.5248025267400187</v>
      </c>
    </row>
    <row r="19" spans="1:14" x14ac:dyDescent="0.25">
      <c r="A19" s="11" t="s">
        <v>396</v>
      </c>
      <c r="B19" s="14">
        <f t="shared" si="0"/>
        <v>6.8</v>
      </c>
      <c r="C19" s="14">
        <f t="shared" si="1"/>
        <v>85</v>
      </c>
      <c r="D19" s="14">
        <f t="shared" si="2"/>
        <v>8.8000000000000007</v>
      </c>
      <c r="E19" s="21">
        <f t="shared" si="3"/>
        <v>0.34666666666666668</v>
      </c>
      <c r="F19" s="25">
        <f t="shared" si="4"/>
        <v>0.5700897226321413</v>
      </c>
      <c r="H19" s="11" t="s">
        <v>157</v>
      </c>
      <c r="I19" s="14">
        <f t="shared" si="5"/>
        <v>5.6956521739130439</v>
      </c>
      <c r="J19" s="14">
        <f t="shared" si="6"/>
        <v>57.652173913043477</v>
      </c>
      <c r="K19" s="14">
        <f t="shared" si="7"/>
        <v>7.2173913043478262</v>
      </c>
      <c r="L19" s="21">
        <f t="shared" si="8"/>
        <v>0.30434782608695649</v>
      </c>
      <c r="M19" s="25">
        <f t="shared" si="9"/>
        <v>0.49311673081117574</v>
      </c>
    </row>
    <row r="20" spans="1:14" x14ac:dyDescent="0.25">
      <c r="A20" s="11" t="s">
        <v>386</v>
      </c>
      <c r="B20" s="14">
        <f t="shared" si="0"/>
        <v>7</v>
      </c>
      <c r="C20" s="14">
        <f t="shared" si="1"/>
        <v>85</v>
      </c>
      <c r="D20" s="14">
        <f t="shared" si="2"/>
        <v>9.1999999999999993</v>
      </c>
      <c r="E20" s="21">
        <f t="shared" si="3"/>
        <v>0.22333333333333333</v>
      </c>
      <c r="F20" s="25">
        <f t="shared" si="4"/>
        <v>0.55856018518518524</v>
      </c>
      <c r="H20" s="11" t="s">
        <v>159</v>
      </c>
      <c r="I20" s="14">
        <f t="shared" si="5"/>
        <v>6.0909090909090908</v>
      </c>
      <c r="J20" s="14">
        <f t="shared" si="6"/>
        <v>69.181818181818187</v>
      </c>
      <c r="K20" s="14">
        <f t="shared" si="7"/>
        <v>6.6363636363636367</v>
      </c>
      <c r="L20" s="21">
        <f t="shared" si="8"/>
        <v>0.14545454545454545</v>
      </c>
      <c r="M20" s="25">
        <f t="shared" si="9"/>
        <v>0.42641610189240786</v>
      </c>
    </row>
    <row r="21" spans="1:14" x14ac:dyDescent="0.25">
      <c r="A21" s="11" t="s">
        <v>377</v>
      </c>
      <c r="B21" s="14">
        <f t="shared" si="0"/>
        <v>5.4</v>
      </c>
      <c r="C21" s="14">
        <f t="shared" si="1"/>
        <v>85</v>
      </c>
      <c r="D21" s="14">
        <f t="shared" si="2"/>
        <v>6.6</v>
      </c>
      <c r="E21" s="21">
        <f t="shared" si="3"/>
        <v>0.3</v>
      </c>
      <c r="F21" s="25">
        <f t="shared" si="4"/>
        <v>0.44968956047589331</v>
      </c>
      <c r="H21" s="11" t="s">
        <v>87</v>
      </c>
      <c r="I21" s="14">
        <f t="shared" si="5"/>
        <v>5</v>
      </c>
      <c r="J21" s="14">
        <f t="shared" si="6"/>
        <v>29</v>
      </c>
      <c r="K21" s="14">
        <f t="shared" si="7"/>
        <v>4</v>
      </c>
      <c r="L21" s="21">
        <f t="shared" si="8"/>
        <v>0.33333333333333331</v>
      </c>
      <c r="M21" s="25">
        <f t="shared" si="9"/>
        <v>0.37789863052533496</v>
      </c>
    </row>
    <row r="22" spans="1:14" x14ac:dyDescent="0.25">
      <c r="A22" s="26" t="s">
        <v>388</v>
      </c>
      <c r="B22" s="14">
        <f t="shared" si="0"/>
        <v>3</v>
      </c>
      <c r="C22" s="14">
        <f t="shared" si="1"/>
        <v>17.8</v>
      </c>
      <c r="D22" s="14">
        <f t="shared" si="2"/>
        <v>2.6</v>
      </c>
      <c r="E22" s="21">
        <f t="shared" si="3"/>
        <v>0</v>
      </c>
      <c r="F22" s="25">
        <f t="shared" si="4"/>
        <v>0.13051903470446163</v>
      </c>
      <c r="H22" s="11" t="s">
        <v>263</v>
      </c>
      <c r="I22" s="14">
        <f t="shared" si="5"/>
        <v>5.75</v>
      </c>
      <c r="J22" s="14">
        <f t="shared" si="6"/>
        <v>46.75</v>
      </c>
      <c r="K22" s="14">
        <f t="shared" si="7"/>
        <v>5.5</v>
      </c>
      <c r="L22" s="21">
        <f t="shared" si="8"/>
        <v>0</v>
      </c>
      <c r="M22" s="25">
        <f t="shared" si="9"/>
        <v>0.31545848076834138</v>
      </c>
    </row>
    <row r="23" spans="1:14" x14ac:dyDescent="0.25">
      <c r="F23" s="14"/>
      <c r="H23" s="26" t="s">
        <v>156</v>
      </c>
      <c r="I23" s="27">
        <f t="shared" si="5"/>
        <v>3.3333333333333335</v>
      </c>
      <c r="J23" s="27">
        <f t="shared" si="6"/>
        <v>0.66666666666666663</v>
      </c>
      <c r="K23" s="27">
        <f t="shared" si="7"/>
        <v>0.66666666666666663</v>
      </c>
      <c r="L23" s="21">
        <f t="shared" si="8"/>
        <v>0</v>
      </c>
      <c r="M23" s="28">
        <f t="shared" si="9"/>
        <v>0.13188510647556129</v>
      </c>
    </row>
    <row r="24" spans="1:14" ht="15" customHeight="1" x14ac:dyDescent="0.25">
      <c r="F24" s="20"/>
      <c r="I24" s="20"/>
      <c r="J24" s="20"/>
      <c r="K24" s="20"/>
      <c r="L24" s="20"/>
      <c r="M24" s="20"/>
    </row>
    <row r="25" spans="1:14" ht="15" customHeight="1" x14ac:dyDescent="0.25">
      <c r="F25" s="20"/>
      <c r="I25" s="20"/>
      <c r="J25" s="20"/>
      <c r="K25" s="20"/>
      <c r="L25" s="20"/>
      <c r="M25" s="20"/>
    </row>
    <row r="26" spans="1:14" ht="15" customHeight="1" x14ac:dyDescent="0.25">
      <c r="A26" s="23" t="s">
        <v>268</v>
      </c>
      <c r="B26" s="14" t="s">
        <v>25</v>
      </c>
      <c r="C26" s="14" t="s">
        <v>24</v>
      </c>
      <c r="D26" s="14" t="s">
        <v>23</v>
      </c>
      <c r="E26" s="21" t="s">
        <v>258</v>
      </c>
      <c r="F26" s="20"/>
      <c r="I26" s="20"/>
      <c r="J26" s="20"/>
      <c r="K26" s="20"/>
      <c r="L26" s="20"/>
      <c r="M26" s="20"/>
    </row>
    <row r="27" spans="1:14" ht="15" customHeight="1" x14ac:dyDescent="0.25">
      <c r="A27" s="73">
        <f>SUM(Table3[Power])</f>
        <v>1801332</v>
      </c>
      <c r="B27" s="74">
        <f>AVERAGE(Table3[Stars])</f>
        <v>6.1644736842105265</v>
      </c>
      <c r="C27" s="74">
        <f>AVERAGE(Table3[Level])</f>
        <v>69.065789473684205</v>
      </c>
      <c r="D27" s="74">
        <f>AVERAGE(Table3[Gear])</f>
        <v>8.0592105263157894</v>
      </c>
      <c r="E27" s="72">
        <f>AVERAGE(Table3[Abilities])/30</f>
        <v>0.46228070175438596</v>
      </c>
      <c r="F27" s="20"/>
      <c r="I27" s="20"/>
      <c r="J27" s="20"/>
      <c r="K27" s="20"/>
      <c r="L27" s="20"/>
      <c r="M27" s="20"/>
    </row>
    <row r="28" spans="1:14" ht="15" customHeight="1" x14ac:dyDescent="0.25">
      <c r="A28" s="73"/>
      <c r="B28" s="74"/>
      <c r="C28" s="74"/>
      <c r="D28" s="74"/>
      <c r="E28" s="72"/>
      <c r="F28" s="20"/>
      <c r="I28" s="20"/>
      <c r="J28" s="20"/>
      <c r="K28" s="20"/>
      <c r="L28" s="20"/>
      <c r="M28" s="20"/>
    </row>
    <row r="29" spans="1:14" ht="15" customHeight="1" x14ac:dyDescent="0.25">
      <c r="A29" s="68"/>
      <c r="B29" s="69"/>
      <c r="C29" s="69"/>
      <c r="D29" s="69"/>
      <c r="E29" s="70"/>
      <c r="F29" s="20"/>
      <c r="I29" s="20"/>
      <c r="J29" s="20"/>
      <c r="K29" s="20"/>
      <c r="L29" s="20"/>
      <c r="M29" s="20"/>
    </row>
    <row r="30" spans="1:14" ht="15" customHeight="1" x14ac:dyDescent="0.25">
      <c r="A30" s="68"/>
      <c r="B30" s="69"/>
      <c r="C30" s="69"/>
      <c r="D30" s="69"/>
      <c r="E30" s="70"/>
      <c r="F30" s="20"/>
      <c r="I30" s="20"/>
      <c r="J30" s="20"/>
      <c r="K30" s="20"/>
      <c r="L30" s="20"/>
      <c r="M30" s="20"/>
    </row>
    <row r="32" spans="1:14" x14ac:dyDescent="0.25">
      <c r="A32" s="18" t="s">
        <v>26</v>
      </c>
      <c r="B32" s="18" t="s">
        <v>358</v>
      </c>
      <c r="C32" s="18" t="s">
        <v>160</v>
      </c>
      <c r="D32" s="18" t="s">
        <v>27</v>
      </c>
      <c r="E32" s="18" t="s">
        <v>25</v>
      </c>
      <c r="F32" s="18" t="s">
        <v>24</v>
      </c>
      <c r="G32" s="18" t="s">
        <v>23</v>
      </c>
      <c r="H32" s="18" t="s">
        <v>359</v>
      </c>
      <c r="I32" s="18" t="s">
        <v>259</v>
      </c>
      <c r="J32" s="18" t="s">
        <v>258</v>
      </c>
      <c r="K32" s="18" t="s">
        <v>187</v>
      </c>
      <c r="L32" s="18" t="s">
        <v>171</v>
      </c>
      <c r="M32" s="29" t="s">
        <v>267</v>
      </c>
      <c r="N32" s="29" t="s">
        <v>357</v>
      </c>
    </row>
    <row r="33" spans="1:14" x14ac:dyDescent="0.25">
      <c r="A33" s="12" t="s">
        <v>60</v>
      </c>
      <c r="B33" s="19" t="s">
        <v>29</v>
      </c>
      <c r="C33" s="12" t="s">
        <v>201</v>
      </c>
      <c r="D33" s="12" t="s">
        <v>385</v>
      </c>
      <c r="E33" s="47">
        <v>7</v>
      </c>
      <c r="F33" s="47">
        <v>85</v>
      </c>
      <c r="G33" s="47">
        <v>11</v>
      </c>
      <c r="H33" s="47">
        <v>0</v>
      </c>
      <c r="I33" s="47">
        <v>1</v>
      </c>
      <c r="J33" s="47">
        <f>IFERROR((((((((Tables!$H$2/VLOOKUP(A33,Characters!$A$2:$F$1048576,5,FALSE))*(VLOOKUP(A33,Characters!$A$2:$F$1048576,5,FALSE)-H33))/6)*6)+((((Tables!$G$2/VLOOKUP(A33,Characters!$A$2:$F$1048576,6,FALSE))*(VLOOKUP(A33,Characters!$A$2:$F$1048576,6,FALSE)-I33))/24)*24)))/30)*(Tables!$K$5*100),(((Tables!$H$2/VLOOKUP(A33,Characters!$A$2:$F$1048576,5,FALSE))*(VLOOKUP(A33,Characters!$A$2:$F$1048576,5,FALSE)-H33))/6)*(Tables!$K$5*100))</f>
        <v>18</v>
      </c>
      <c r="K33" s="48">
        <f>VLOOKUP(E33,Tables!$E$1:$F$9,2,FALSE)+VLOOKUP(F33,Tables!$C:$D,2,FALSE)+VLOOKUP(G33,Tables!$A:$B,2,FALSE)+IFERROR((((((((Tables!$H$2/VLOOKUP(A33,Characters!$A$2:$F$1048576,5,FALSE))*(VLOOKUP(A33,Characters!$A$2:$F$1048576,5,FALSE)-H33))/6)*6)+((((Tables!$G$2/VLOOKUP(A33,Characters!$A$2:$F$1048576,6,FALSE))*(VLOOKUP(A33,Characters!$A$2:$F$1048576,6,FALSE)-I33))/24)*24)))/30)*(Tables!$K$5*100),(((Tables!$H$2/VLOOKUP(A33,Characters!$A$2:$F$1048576,5,FALSE))*(VLOOKUP(A33,Characters!$A$2:$F$1048576,5,FALSE)-H33))/6)*(Tables!$K$5*100))</f>
        <v>78.300202546296305</v>
      </c>
      <c r="L33" s="47" t="s">
        <v>360</v>
      </c>
      <c r="M33" s="49">
        <v>17269</v>
      </c>
      <c r="N33" s="50" t="s">
        <v>356</v>
      </c>
    </row>
    <row r="34" spans="1:14" x14ac:dyDescent="0.25">
      <c r="A34" s="12" t="s">
        <v>67</v>
      </c>
      <c r="B34" s="19" t="s">
        <v>28</v>
      </c>
      <c r="C34" s="12" t="s">
        <v>203</v>
      </c>
      <c r="D34" s="12" t="s">
        <v>393</v>
      </c>
      <c r="E34" s="47">
        <v>7</v>
      </c>
      <c r="F34" s="47">
        <v>85</v>
      </c>
      <c r="G34" s="47">
        <v>11</v>
      </c>
      <c r="H34" s="47">
        <v>0</v>
      </c>
      <c r="I34" s="47">
        <v>2</v>
      </c>
      <c r="J34" s="47">
        <f>IFERROR((((((((Tables!$H$2/VLOOKUP(A34,Characters!$A$2:$F$1048576,5,FALSE))*(VLOOKUP(A34,Characters!$A$2:$F$1048576,5,FALSE)-H34))/6)*6)+((((Tables!$G$2/VLOOKUP(A34,Characters!$A$2:$F$1048576,6,FALSE))*(VLOOKUP(A34,Characters!$A$2:$F$1048576,6,FALSE)-I34))/24)*24)))/30)*(Tables!$K$5*100),(((Tables!$H$2/VLOOKUP(A34,Characters!$A$2:$F$1048576,5,FALSE))*(VLOOKUP(A34,Characters!$A$2:$F$1048576,5,FALSE)-H34))/6)*(Tables!$K$5*100))</f>
        <v>6</v>
      </c>
      <c r="K34" s="48">
        <f>VLOOKUP(E34,Tables!$E$1:$F$9,2,FALSE)+VLOOKUP(F34,Tables!$C:$D,2,FALSE)+VLOOKUP(G34,Tables!$A:$B,2,FALSE)+IFERROR((((((((Tables!$H$2/VLOOKUP(A34,Characters!$A$2:$F$1048576,5,FALSE))*(VLOOKUP(A34,Characters!$A$2:$F$1048576,5,FALSE)-H34))/6)*6)+((((Tables!$G$2/VLOOKUP(A34,Characters!$A$2:$F$1048576,6,FALSE))*(VLOOKUP(A34,Characters!$A$2:$F$1048576,6,FALSE)-I34))/24)*24)))/30)*(Tables!$K$5*100),(((Tables!$H$2/VLOOKUP(A34,Characters!$A$2:$F$1048576,5,FALSE))*(VLOOKUP(A34,Characters!$A$2:$F$1048576,5,FALSE)-H34))/6)*(Tables!$K$5*100))</f>
        <v>66.300202546296305</v>
      </c>
      <c r="L34" s="47"/>
      <c r="M34" s="49">
        <v>16675</v>
      </c>
      <c r="N34" s="50" t="s">
        <v>356</v>
      </c>
    </row>
    <row r="35" spans="1:14" x14ac:dyDescent="0.25">
      <c r="A35" s="12" t="s">
        <v>59</v>
      </c>
      <c r="B35" s="19" t="s">
        <v>29</v>
      </c>
      <c r="C35" s="12" t="s">
        <v>33</v>
      </c>
      <c r="D35" s="12" t="s">
        <v>385</v>
      </c>
      <c r="E35" s="47">
        <v>7</v>
      </c>
      <c r="F35" s="47">
        <v>85</v>
      </c>
      <c r="G35" s="47">
        <v>10</v>
      </c>
      <c r="H35" s="47">
        <v>0</v>
      </c>
      <c r="I35" s="47">
        <v>1</v>
      </c>
      <c r="J35" s="47">
        <f>IFERROR((((((((Tables!$H$2/VLOOKUP(A35,Characters!$A$2:$F$1048576,5,FALSE))*(VLOOKUP(A35,Characters!$A$2:$F$1048576,5,FALSE)-H35))/6)*6)+((((Tables!$G$2/VLOOKUP(A35,Characters!$A$2:$F$1048576,6,FALSE))*(VLOOKUP(A35,Characters!$A$2:$F$1048576,6,FALSE)-I35))/24)*24)))/30)*(Tables!$K$5*100),(((Tables!$H$2/VLOOKUP(A35,Characters!$A$2:$F$1048576,5,FALSE))*(VLOOKUP(A35,Characters!$A$2:$F$1048576,5,FALSE)-H35))/6)*(Tables!$K$5*100))</f>
        <v>6</v>
      </c>
      <c r="K35" s="48">
        <f>VLOOKUP(E35,Tables!$E$1:$F$9,2,FALSE)+VLOOKUP(F35,Tables!$C:$D,2,FALSE)+VLOOKUP(G35,Tables!$A:$B,2,FALSE)+IFERROR((((((((Tables!$H$2/VLOOKUP(A35,Characters!$A$2:$F$1048576,5,FALSE))*(VLOOKUP(A35,Characters!$A$2:$F$1048576,5,FALSE)-H35))/6)*6)+((((Tables!$G$2/VLOOKUP(A35,Characters!$A$2:$F$1048576,6,FALSE))*(VLOOKUP(A35,Characters!$A$2:$F$1048576,6,FALSE)-I35))/24)*24)))/30)*(Tables!$K$5*100),(((Tables!$H$2/VLOOKUP(A35,Characters!$A$2:$F$1048576,5,FALSE))*(VLOOKUP(A35,Characters!$A$2:$F$1048576,5,FALSE)-H35))/6)*(Tables!$K$5*100))</f>
        <v>58.914351851851855</v>
      </c>
      <c r="L35" s="47"/>
      <c r="M35" s="49">
        <v>15174</v>
      </c>
      <c r="N35" s="50" t="s">
        <v>356</v>
      </c>
    </row>
    <row r="36" spans="1:14" x14ac:dyDescent="0.25">
      <c r="A36" s="12" t="s">
        <v>68</v>
      </c>
      <c r="B36" s="19" t="s">
        <v>28</v>
      </c>
      <c r="C36" s="12" t="s">
        <v>12</v>
      </c>
      <c r="D36" s="12" t="s">
        <v>393</v>
      </c>
      <c r="E36" s="47">
        <v>7</v>
      </c>
      <c r="F36" s="47">
        <v>85</v>
      </c>
      <c r="G36" s="47">
        <v>11</v>
      </c>
      <c r="H36" s="47">
        <v>0</v>
      </c>
      <c r="I36" s="47">
        <v>0</v>
      </c>
      <c r="J36" s="47">
        <f>IFERROR((((((((Tables!$H$2/VLOOKUP(A36,Characters!$A$2:$F$1048576,5,FALSE))*(VLOOKUP(A36,Characters!$A$2:$F$1048576,5,FALSE)-H36))/6)*6)+((((Tables!$G$2/VLOOKUP(A36,Characters!$A$2:$F$1048576,6,FALSE))*(VLOOKUP(A36,Characters!$A$2:$F$1048576,6,FALSE)-I36))/24)*24)))/30)*(Tables!$K$5*100),(((Tables!$H$2/VLOOKUP(A36,Characters!$A$2:$F$1048576,5,FALSE))*(VLOOKUP(A36,Characters!$A$2:$F$1048576,5,FALSE)-H36))/6)*(Tables!$K$5*100))</f>
        <v>30</v>
      </c>
      <c r="K36" s="48">
        <f>VLOOKUP(E36,Tables!$E$1:$F$9,2,FALSE)+VLOOKUP(F36,Tables!$C:$D,2,FALSE)+VLOOKUP(G36,Tables!$A:$B,2,FALSE)+IFERROR((((((((Tables!$H$2/VLOOKUP(A36,Characters!$A$2:$F$1048576,5,FALSE))*(VLOOKUP(A36,Characters!$A$2:$F$1048576,5,FALSE)-H36))/6)*6)+((((Tables!$G$2/VLOOKUP(A36,Characters!$A$2:$F$1048576,6,FALSE))*(VLOOKUP(A36,Characters!$A$2:$F$1048576,6,FALSE)-I36))/24)*24)))/30)*(Tables!$K$5*100),(((Tables!$H$2/VLOOKUP(A36,Characters!$A$2:$F$1048576,5,FALSE))*(VLOOKUP(A36,Characters!$A$2:$F$1048576,5,FALSE)-H36))/6)*(Tables!$K$5*100))</f>
        <v>90.300202546296305</v>
      </c>
      <c r="L36" s="47"/>
      <c r="M36" s="49">
        <v>15316</v>
      </c>
      <c r="N36" s="50" t="s">
        <v>356</v>
      </c>
    </row>
    <row r="37" spans="1:14" x14ac:dyDescent="0.25">
      <c r="A37" s="12" t="s">
        <v>167</v>
      </c>
      <c r="B37" s="19" t="s">
        <v>28</v>
      </c>
      <c r="C37" s="12" t="s">
        <v>12</v>
      </c>
      <c r="D37" s="12" t="s">
        <v>393</v>
      </c>
      <c r="E37" s="47">
        <v>7</v>
      </c>
      <c r="F37" s="47">
        <v>85</v>
      </c>
      <c r="G37" s="47">
        <v>11</v>
      </c>
      <c r="H37" s="47">
        <v>0</v>
      </c>
      <c r="I37" s="47">
        <v>0</v>
      </c>
      <c r="J37" s="47">
        <f>IFERROR((((((((Tables!$H$2/VLOOKUP(A37,Characters!$A$2:$F$1048576,5,FALSE))*(VLOOKUP(A37,Characters!$A$2:$F$1048576,5,FALSE)-H37))/6)*6)+((((Tables!$G$2/VLOOKUP(A37,Characters!$A$2:$F$1048576,6,FALSE))*(VLOOKUP(A37,Characters!$A$2:$F$1048576,6,FALSE)-I37))/24)*24)))/30)*(Tables!$K$5*100),(((Tables!$H$2/VLOOKUP(A37,Characters!$A$2:$F$1048576,5,FALSE))*(VLOOKUP(A37,Characters!$A$2:$F$1048576,5,FALSE)-H37))/6)*(Tables!$K$5*100))</f>
        <v>30</v>
      </c>
      <c r="K37" s="48">
        <f>VLOOKUP(E37,Tables!$E$1:$F$9,2,FALSE)+VLOOKUP(F37,Tables!$C:$D,2,FALSE)+VLOOKUP(G37,Tables!$A:$B,2,FALSE)+IFERROR((((((((Tables!$H$2/VLOOKUP(A37,Characters!$A$2:$F$1048576,5,FALSE))*(VLOOKUP(A37,Characters!$A$2:$F$1048576,5,FALSE)-H37))/6)*6)+((((Tables!$G$2/VLOOKUP(A37,Characters!$A$2:$F$1048576,6,FALSE))*(VLOOKUP(A37,Characters!$A$2:$F$1048576,6,FALSE)-I37))/24)*24)))/30)*(Tables!$K$5*100),(((Tables!$H$2/VLOOKUP(A37,Characters!$A$2:$F$1048576,5,FALSE))*(VLOOKUP(A37,Characters!$A$2:$F$1048576,5,FALSE)-H37))/6)*(Tables!$K$5*100))</f>
        <v>90.300202546296305</v>
      </c>
      <c r="L37" s="47"/>
      <c r="M37" s="49">
        <v>15705</v>
      </c>
      <c r="N37" s="50" t="s">
        <v>356</v>
      </c>
    </row>
    <row r="38" spans="1:14" x14ac:dyDescent="0.25">
      <c r="A38" s="12" t="s">
        <v>90</v>
      </c>
      <c r="B38" s="19" t="s">
        <v>28</v>
      </c>
      <c r="C38" s="12" t="s">
        <v>200</v>
      </c>
      <c r="D38" s="12"/>
      <c r="E38" s="47">
        <v>3</v>
      </c>
      <c r="F38" s="47">
        <v>85</v>
      </c>
      <c r="G38" s="47">
        <v>1</v>
      </c>
      <c r="H38" s="47">
        <v>4</v>
      </c>
      <c r="I38" s="47">
        <v>0</v>
      </c>
      <c r="J38" s="47">
        <f>IFERROR((((((((Tables!$H$2/VLOOKUP(A38,Characters!$A$2:$F$1048576,5,FALSE))*(VLOOKUP(A38,Characters!$A$2:$F$1048576,5,FALSE)-H38))/6)*6)+((((Tables!$G$2/VLOOKUP(A38,Characters!$A$2:$F$1048576,6,FALSE))*(VLOOKUP(A38,Characters!$A$2:$F$1048576,6,FALSE)-I38))/24)*24)))/30)*(Tables!$K$5*100),(((Tables!$H$2/VLOOKUP(A38,Characters!$A$2:$F$1048576,5,FALSE))*(VLOOKUP(A38,Characters!$A$2:$F$1048576,5,FALSE)-H38))/6)*(Tables!$K$5*100))</f>
        <v>0</v>
      </c>
      <c r="K38" s="48">
        <f>VLOOKUP(E38,Tables!$E$1:$F$9,2,FALSE)+VLOOKUP(F38,Tables!$C:$D,2,FALSE)+VLOOKUP(G38,Tables!$A:$B,2,FALSE)+IFERROR((((((((Tables!$H$2/VLOOKUP(A38,Characters!$A$2:$F$1048576,5,FALSE))*(VLOOKUP(A38,Characters!$A$2:$F$1048576,5,FALSE)-H38))/6)*6)+((((Tables!$G$2/VLOOKUP(A38,Characters!$A$2:$F$1048576,6,FALSE))*(VLOOKUP(A38,Characters!$A$2:$F$1048576,6,FALSE)-I38))/24)*24)))/30)*(Tables!$K$5*100),(((Tables!$H$2/VLOOKUP(A38,Characters!$A$2:$F$1048576,5,FALSE))*(VLOOKUP(A38,Characters!$A$2:$F$1048576,5,FALSE)-H38))/6)*(Tables!$K$5*100))</f>
        <v>16.563940507483203</v>
      </c>
      <c r="L38" s="47"/>
      <c r="M38" s="49">
        <v>3799</v>
      </c>
      <c r="N38" s="50"/>
    </row>
    <row r="39" spans="1:14" x14ac:dyDescent="0.25">
      <c r="A39" s="12" t="s">
        <v>91</v>
      </c>
      <c r="B39" s="19" t="s">
        <v>28</v>
      </c>
      <c r="C39" s="12" t="s">
        <v>10</v>
      </c>
      <c r="D39" s="12"/>
      <c r="E39" s="47">
        <v>7</v>
      </c>
      <c r="F39" s="47">
        <v>85</v>
      </c>
      <c r="G39" s="47">
        <v>9</v>
      </c>
      <c r="H39" s="47">
        <v>3</v>
      </c>
      <c r="I39" s="47">
        <v>0</v>
      </c>
      <c r="J39" s="47">
        <f>IFERROR((((((((Tables!$H$2/VLOOKUP(A39,Characters!$A$2:$F$1048576,5,FALSE))*(VLOOKUP(A39,Characters!$A$2:$F$1048576,5,FALSE)-H39))/6)*6)+((((Tables!$G$2/VLOOKUP(A39,Characters!$A$2:$F$1048576,6,FALSE))*(VLOOKUP(A39,Characters!$A$2:$F$1048576,6,FALSE)-I39))/24)*24)))/30)*(Tables!$K$5*100),(((Tables!$H$2/VLOOKUP(A39,Characters!$A$2:$F$1048576,5,FALSE))*(VLOOKUP(A39,Characters!$A$2:$F$1048576,5,FALSE)-H39))/6)*(Tables!$K$5*100))</f>
        <v>7.5</v>
      </c>
      <c r="K39" s="48">
        <f>VLOOKUP(E39,Tables!$E$1:$F$9,2,FALSE)+VLOOKUP(F39,Tables!$C:$D,2,FALSE)+VLOOKUP(G39,Tables!$A:$B,2,FALSE)+IFERROR((((((((Tables!$H$2/VLOOKUP(A39,Characters!$A$2:$F$1048576,5,FALSE))*(VLOOKUP(A39,Characters!$A$2:$F$1048576,5,FALSE)-H39))/6)*6)+((((Tables!$G$2/VLOOKUP(A39,Characters!$A$2:$F$1048576,6,FALSE))*(VLOOKUP(A39,Characters!$A$2:$F$1048576,6,FALSE)-I39))/24)*24)))/30)*(Tables!$K$5*100),(((Tables!$H$2/VLOOKUP(A39,Characters!$A$2:$F$1048576,5,FALSE))*(VLOOKUP(A39,Characters!$A$2:$F$1048576,5,FALSE)-H39))/6)*(Tables!$K$5*100))</f>
        <v>54.94140625</v>
      </c>
      <c r="L39" s="47" t="s">
        <v>174</v>
      </c>
      <c r="M39" s="49">
        <v>12402</v>
      </c>
      <c r="N39" s="50"/>
    </row>
    <row r="40" spans="1:14" x14ac:dyDescent="0.25">
      <c r="A40" s="12" t="s">
        <v>92</v>
      </c>
      <c r="B40" s="19" t="s">
        <v>28</v>
      </c>
      <c r="C40" s="12" t="s">
        <v>200</v>
      </c>
      <c r="D40" s="12"/>
      <c r="E40" s="47">
        <v>7</v>
      </c>
      <c r="F40" s="47">
        <v>85</v>
      </c>
      <c r="G40" s="47">
        <v>10</v>
      </c>
      <c r="H40" s="47">
        <v>0</v>
      </c>
      <c r="I40" s="47">
        <v>0</v>
      </c>
      <c r="J40" s="47">
        <f>IFERROR((((((((Tables!$H$2/VLOOKUP(A40,Characters!$A$2:$F$1048576,5,FALSE))*(VLOOKUP(A40,Characters!$A$2:$F$1048576,5,FALSE)-H40))/6)*6)+((((Tables!$G$2/VLOOKUP(A40,Characters!$A$2:$F$1048576,6,FALSE))*(VLOOKUP(A40,Characters!$A$2:$F$1048576,6,FALSE)-I40))/24)*24)))/30)*(Tables!$K$5*100),(((Tables!$H$2/VLOOKUP(A40,Characters!$A$2:$F$1048576,5,FALSE))*(VLOOKUP(A40,Characters!$A$2:$F$1048576,5,FALSE)-H40))/6)*(Tables!$K$5*100))</f>
        <v>30</v>
      </c>
      <c r="K40" s="48">
        <f>VLOOKUP(E40,Tables!$E$1:$F$9,2,FALSE)+VLOOKUP(F40,Tables!$C:$D,2,FALSE)+VLOOKUP(G40,Tables!$A:$B,2,FALSE)+IFERROR((((((((Tables!$H$2/VLOOKUP(A40,Characters!$A$2:$F$1048576,5,FALSE))*(VLOOKUP(A40,Characters!$A$2:$F$1048576,5,FALSE)-H40))/6)*6)+((((Tables!$G$2/VLOOKUP(A40,Characters!$A$2:$F$1048576,6,FALSE))*(VLOOKUP(A40,Characters!$A$2:$F$1048576,6,FALSE)-I40))/24)*24)))/30)*(Tables!$K$5*100),(((Tables!$H$2/VLOOKUP(A40,Characters!$A$2:$F$1048576,5,FALSE))*(VLOOKUP(A40,Characters!$A$2:$F$1048576,5,FALSE)-H40))/6)*(Tables!$K$5*100))</f>
        <v>82.914351851851848</v>
      </c>
      <c r="L40" s="47"/>
      <c r="M40" s="49">
        <v>13740</v>
      </c>
      <c r="N40" s="50"/>
    </row>
    <row r="41" spans="1:14" x14ac:dyDescent="0.25">
      <c r="A41" s="12" t="s">
        <v>93</v>
      </c>
      <c r="B41" s="19" t="s">
        <v>28</v>
      </c>
      <c r="C41" s="12" t="s">
        <v>10</v>
      </c>
      <c r="D41" s="12" t="s">
        <v>389</v>
      </c>
      <c r="E41" s="47">
        <v>7</v>
      </c>
      <c r="F41" s="47">
        <v>85</v>
      </c>
      <c r="G41" s="47">
        <v>11</v>
      </c>
      <c r="H41" s="47">
        <v>0</v>
      </c>
      <c r="I41" s="47">
        <v>0</v>
      </c>
      <c r="J41" s="47">
        <f>IFERROR((((((((Tables!$H$2/VLOOKUP(A41,Characters!$A$2:$F$1048576,5,FALSE))*(VLOOKUP(A41,Characters!$A$2:$F$1048576,5,FALSE)-H41))/6)*6)+((((Tables!$G$2/VLOOKUP(A41,Characters!$A$2:$F$1048576,6,FALSE))*(VLOOKUP(A41,Characters!$A$2:$F$1048576,6,FALSE)-I41))/24)*24)))/30)*(Tables!$K$5*100),(((Tables!$H$2/VLOOKUP(A41,Characters!$A$2:$F$1048576,5,FALSE))*(VLOOKUP(A41,Characters!$A$2:$F$1048576,5,FALSE)-H41))/6)*(Tables!$K$5*100))</f>
        <v>30</v>
      </c>
      <c r="K41" s="48">
        <f>VLOOKUP(E41,Tables!$E$1:$F$9,2,FALSE)+VLOOKUP(F41,Tables!$C:$D,2,FALSE)+VLOOKUP(G41,Tables!$A:$B,2,FALSE)+IFERROR((((((((Tables!$H$2/VLOOKUP(A41,Characters!$A$2:$F$1048576,5,FALSE))*(VLOOKUP(A41,Characters!$A$2:$F$1048576,5,FALSE)-H41))/6)*6)+((((Tables!$G$2/VLOOKUP(A41,Characters!$A$2:$F$1048576,6,FALSE))*(VLOOKUP(A41,Characters!$A$2:$F$1048576,6,FALSE)-I41))/24)*24)))/30)*(Tables!$K$5*100),(((Tables!$H$2/VLOOKUP(A41,Characters!$A$2:$F$1048576,5,FALSE))*(VLOOKUP(A41,Characters!$A$2:$F$1048576,5,FALSE)-H41))/6)*(Tables!$K$5*100))</f>
        <v>90.300202546296305</v>
      </c>
      <c r="L41" s="47" t="s">
        <v>360</v>
      </c>
      <c r="M41" s="49">
        <v>18309</v>
      </c>
      <c r="N41" s="50"/>
    </row>
    <row r="42" spans="1:14" x14ac:dyDescent="0.25">
      <c r="A42" s="12" t="s">
        <v>184</v>
      </c>
      <c r="B42" s="19" t="s">
        <v>28</v>
      </c>
      <c r="C42" s="12" t="s">
        <v>12</v>
      </c>
      <c r="D42" s="12"/>
      <c r="E42" s="47">
        <v>4</v>
      </c>
      <c r="F42" s="47">
        <v>1</v>
      </c>
      <c r="G42" s="47">
        <v>1</v>
      </c>
      <c r="H42" s="47">
        <v>3</v>
      </c>
      <c r="I42" s="47">
        <v>1</v>
      </c>
      <c r="J42" s="47">
        <f>IFERROR((((((((Tables!$H$2/VLOOKUP(A42,Characters!$A$2:$F$1048576,5,FALSE))*(VLOOKUP(A42,Characters!$A$2:$F$1048576,5,FALSE)-H42))/6)*6)+((((Tables!$G$2/VLOOKUP(A42,Characters!$A$2:$F$1048576,6,FALSE))*(VLOOKUP(A42,Characters!$A$2:$F$1048576,6,FALSE)-I42))/24)*24)))/30)*(Tables!$K$5*100),(((Tables!$H$2/VLOOKUP(A42,Characters!$A$2:$F$1048576,5,FALSE))*(VLOOKUP(A42,Characters!$A$2:$F$1048576,5,FALSE)-H42))/6)*(Tables!$K$5*100))</f>
        <v>0</v>
      </c>
      <c r="K42" s="48">
        <f>VLOOKUP(E42,Tables!$E$1:$F$9,2,FALSE)+VLOOKUP(F42,Tables!$C:$D,2,FALSE)+VLOOKUP(G42,Tables!$A:$B,2,FALSE)+IFERROR((((((((Tables!$H$2/VLOOKUP(A42,Characters!$A$2:$F$1048576,5,FALSE))*(VLOOKUP(A42,Characters!$A$2:$F$1048576,5,FALSE)-H42))/6)*6)+((((Tables!$G$2/VLOOKUP(A42,Characters!$A$2:$F$1048576,6,FALSE))*(VLOOKUP(A42,Characters!$A$2:$F$1048576,6,FALSE)-I42))/24)*24)))/30)*(Tables!$K$5*100),(((Tables!$H$2/VLOOKUP(A42,Characters!$A$2:$F$1048576,5,FALSE))*(VLOOKUP(A42,Characters!$A$2:$F$1048576,5,FALSE)-H42))/6)*(Tables!$K$5*100))</f>
        <v>15.227618652874323</v>
      </c>
      <c r="L42" s="47"/>
      <c r="M42" s="49">
        <v>1014</v>
      </c>
      <c r="N42" s="50"/>
    </row>
    <row r="43" spans="1:14" x14ac:dyDescent="0.25">
      <c r="A43" s="12" t="s">
        <v>94</v>
      </c>
      <c r="B43" s="19" t="s">
        <v>29</v>
      </c>
      <c r="C43" s="12" t="s">
        <v>198</v>
      </c>
      <c r="D43" s="12" t="s">
        <v>377</v>
      </c>
      <c r="E43" s="47">
        <v>4</v>
      </c>
      <c r="F43" s="47">
        <v>85</v>
      </c>
      <c r="G43" s="47">
        <v>1</v>
      </c>
      <c r="H43" s="47">
        <v>3</v>
      </c>
      <c r="I43" s="47">
        <v>0</v>
      </c>
      <c r="J43" s="47">
        <f>IFERROR((((((((Tables!$H$2/VLOOKUP(A43,Characters!$A$2:$F$1048576,5,FALSE))*(VLOOKUP(A43,Characters!$A$2:$F$1048576,5,FALSE)-H43))/6)*6)+((((Tables!$G$2/VLOOKUP(A43,Characters!$A$2:$F$1048576,6,FALSE))*(VLOOKUP(A43,Characters!$A$2:$F$1048576,6,FALSE)-I43))/24)*24)))/30)*(Tables!$K$5*100),(((Tables!$H$2/VLOOKUP(A43,Characters!$A$2:$F$1048576,5,FALSE))*(VLOOKUP(A43,Characters!$A$2:$F$1048576,5,FALSE)-H43))/6)*(Tables!$K$5*100))</f>
        <v>0</v>
      </c>
      <c r="K43" s="48">
        <f>VLOOKUP(E43,Tables!$E$1:$F$9,2,FALSE)+VLOOKUP(F43,Tables!$C:$D,2,FALSE)+VLOOKUP(G43,Tables!$A:$B,2,FALSE)+IFERROR((((((((Tables!$H$2/VLOOKUP(A43,Characters!$A$2:$F$1048576,5,FALSE))*(VLOOKUP(A43,Characters!$A$2:$F$1048576,5,FALSE)-H43))/6)*6)+((((Tables!$G$2/VLOOKUP(A43,Characters!$A$2:$F$1048576,6,FALSE))*(VLOOKUP(A43,Characters!$A$2:$F$1048576,6,FALSE)-I43))/24)*24)))/30)*(Tables!$K$5*100),(((Tables!$H$2/VLOOKUP(A43,Characters!$A$2:$F$1048576,5,FALSE))*(VLOOKUP(A43,Characters!$A$2:$F$1048576,5,FALSE)-H43))/6)*(Tables!$K$5*100))</f>
        <v>22.227618652874327</v>
      </c>
      <c r="L43" s="47"/>
      <c r="M43" s="49">
        <v>4137</v>
      </c>
      <c r="N43" s="50"/>
    </row>
    <row r="44" spans="1:14" x14ac:dyDescent="0.25">
      <c r="A44" s="12" t="s">
        <v>95</v>
      </c>
      <c r="B44" s="19" t="s">
        <v>28</v>
      </c>
      <c r="C44" s="12" t="s">
        <v>200</v>
      </c>
      <c r="D44" s="12" t="s">
        <v>395</v>
      </c>
      <c r="E44" s="47">
        <v>6</v>
      </c>
      <c r="F44" s="47">
        <v>85</v>
      </c>
      <c r="G44" s="47">
        <v>11</v>
      </c>
      <c r="H44" s="47">
        <v>0</v>
      </c>
      <c r="I44" s="47">
        <v>0</v>
      </c>
      <c r="J44" s="47">
        <f>IFERROR((((((((Tables!$H$2/VLOOKUP(A44,Characters!$A$2:$F$1048576,5,FALSE))*(VLOOKUP(A44,Characters!$A$2:$F$1048576,5,FALSE)-H44))/6)*6)+((((Tables!$G$2/VLOOKUP(A44,Characters!$A$2:$F$1048576,6,FALSE))*(VLOOKUP(A44,Characters!$A$2:$F$1048576,6,FALSE)-I44))/24)*24)))/30)*(Tables!$K$5*100),(((Tables!$H$2/VLOOKUP(A44,Characters!$A$2:$F$1048576,5,FALSE))*(VLOOKUP(A44,Characters!$A$2:$F$1048576,5,FALSE)-H44))/6)*(Tables!$K$5*100))</f>
        <v>30</v>
      </c>
      <c r="K44" s="48">
        <f>VLOOKUP(E44,Tables!$E$1:$F$9,2,FALSE)+VLOOKUP(F44,Tables!$C:$D,2,FALSE)+VLOOKUP(G44,Tables!$A:$B,2,FALSE)+IFERROR((((((((Tables!$H$2/VLOOKUP(A44,Characters!$A$2:$F$1048576,5,FALSE))*(VLOOKUP(A44,Characters!$A$2:$F$1048576,5,FALSE)-H44))/6)*6)+((((Tables!$G$2/VLOOKUP(A44,Characters!$A$2:$F$1048576,6,FALSE))*(VLOOKUP(A44,Characters!$A$2:$F$1048576,6,FALSE)-I44))/24)*24)))/30)*(Tables!$K$5*100),(((Tables!$H$2/VLOOKUP(A44,Characters!$A$2:$F$1048576,5,FALSE))*(VLOOKUP(A44,Characters!$A$2:$F$1048576,5,FALSE)-H44))/6)*(Tables!$K$5*100))</f>
        <v>85.735399510515094</v>
      </c>
      <c r="L44" s="47" t="s">
        <v>360</v>
      </c>
      <c r="M44" s="49">
        <v>16116</v>
      </c>
      <c r="N44" s="50"/>
    </row>
    <row r="45" spans="1:14" x14ac:dyDescent="0.25">
      <c r="A45" s="12" t="s">
        <v>96</v>
      </c>
      <c r="B45" s="19" t="s">
        <v>28</v>
      </c>
      <c r="C45" s="12" t="s">
        <v>202</v>
      </c>
      <c r="D45" s="12" t="s">
        <v>387</v>
      </c>
      <c r="E45" s="47">
        <v>7</v>
      </c>
      <c r="F45" s="47">
        <v>85</v>
      </c>
      <c r="G45" s="47">
        <v>11</v>
      </c>
      <c r="H45" s="47">
        <v>0</v>
      </c>
      <c r="I45" s="47">
        <v>0</v>
      </c>
      <c r="J45" s="47">
        <f>IFERROR((((((((Tables!$H$2/VLOOKUP(A45,Characters!$A$2:$F$1048576,5,FALSE))*(VLOOKUP(A45,Characters!$A$2:$F$1048576,5,FALSE)-H45))/6)*6)+((((Tables!$G$2/VLOOKUP(A45,Characters!$A$2:$F$1048576,6,FALSE))*(VLOOKUP(A45,Characters!$A$2:$F$1048576,6,FALSE)-I45))/24)*24)))/30)*(Tables!$K$5*100),(((Tables!$H$2/VLOOKUP(A45,Characters!$A$2:$F$1048576,5,FALSE))*(VLOOKUP(A45,Characters!$A$2:$F$1048576,5,FALSE)-H45))/6)*(Tables!$K$5*100))</f>
        <v>30</v>
      </c>
      <c r="K45" s="48">
        <f>VLOOKUP(E45,Tables!$E$1:$F$9,2,FALSE)+VLOOKUP(F45,Tables!$C:$D,2,FALSE)+VLOOKUP(G45,Tables!$A:$B,2,FALSE)+IFERROR((((((((Tables!$H$2/VLOOKUP(A45,Characters!$A$2:$F$1048576,5,FALSE))*(VLOOKUP(A45,Characters!$A$2:$F$1048576,5,FALSE)-H45))/6)*6)+((((Tables!$G$2/VLOOKUP(A45,Characters!$A$2:$F$1048576,6,FALSE))*(VLOOKUP(A45,Characters!$A$2:$F$1048576,6,FALSE)-I45))/24)*24)))/30)*(Tables!$K$5*100),(((Tables!$H$2/VLOOKUP(A45,Characters!$A$2:$F$1048576,5,FALSE))*(VLOOKUP(A45,Characters!$A$2:$F$1048576,5,FALSE)-H45))/6)*(Tables!$K$5*100))</f>
        <v>90.300202546296305</v>
      </c>
      <c r="L45" s="47" t="s">
        <v>361</v>
      </c>
      <c r="M45" s="49">
        <v>17071</v>
      </c>
      <c r="N45" s="50"/>
    </row>
    <row r="46" spans="1:14" x14ac:dyDescent="0.25">
      <c r="A46" s="12" t="s">
        <v>97</v>
      </c>
      <c r="B46" s="19" t="s">
        <v>28</v>
      </c>
      <c r="C46" s="12" t="s">
        <v>10</v>
      </c>
      <c r="D46" s="12" t="s">
        <v>389</v>
      </c>
      <c r="E46" s="47">
        <v>7</v>
      </c>
      <c r="F46" s="47">
        <v>85</v>
      </c>
      <c r="G46" s="47">
        <v>10</v>
      </c>
      <c r="H46" s="47">
        <v>0</v>
      </c>
      <c r="I46" s="47">
        <v>0</v>
      </c>
      <c r="J46" s="47">
        <f>IFERROR((((((((Tables!$H$2/VLOOKUP(A46,Characters!$A$2:$F$1048576,5,FALSE))*(VLOOKUP(A46,Characters!$A$2:$F$1048576,5,FALSE)-H46))/6)*6)+((((Tables!$G$2/VLOOKUP(A46,Characters!$A$2:$F$1048576,6,FALSE))*(VLOOKUP(A46,Characters!$A$2:$F$1048576,6,FALSE)-I46))/24)*24)))/30)*(Tables!$K$5*100),(((Tables!$H$2/VLOOKUP(A46,Characters!$A$2:$F$1048576,5,FALSE))*(VLOOKUP(A46,Characters!$A$2:$F$1048576,5,FALSE)-H46))/6)*(Tables!$K$5*100))</f>
        <v>30</v>
      </c>
      <c r="K46" s="48">
        <f>VLOOKUP(E46,Tables!$E$1:$F$9,2,FALSE)+VLOOKUP(F46,Tables!$C:$D,2,FALSE)+VLOOKUP(G46,Tables!$A:$B,2,FALSE)+IFERROR((((((((Tables!$H$2/VLOOKUP(A46,Characters!$A$2:$F$1048576,5,FALSE))*(VLOOKUP(A46,Characters!$A$2:$F$1048576,5,FALSE)-H46))/6)*6)+((((Tables!$G$2/VLOOKUP(A46,Characters!$A$2:$F$1048576,6,FALSE))*(VLOOKUP(A46,Characters!$A$2:$F$1048576,6,FALSE)-I46))/24)*24)))/30)*(Tables!$K$5*100),(((Tables!$H$2/VLOOKUP(A46,Characters!$A$2:$F$1048576,5,FALSE))*(VLOOKUP(A46,Characters!$A$2:$F$1048576,5,FALSE)-H46))/6)*(Tables!$K$5*100))</f>
        <v>82.914351851851848</v>
      </c>
      <c r="L46" s="47"/>
      <c r="M46" s="49">
        <v>15130</v>
      </c>
      <c r="N46" s="50"/>
    </row>
    <row r="47" spans="1:14" x14ac:dyDescent="0.25">
      <c r="A47" s="12" t="s">
        <v>3</v>
      </c>
      <c r="B47" s="19" t="s">
        <v>28</v>
      </c>
      <c r="C47" s="12" t="s">
        <v>202</v>
      </c>
      <c r="D47" s="12"/>
      <c r="E47" s="47">
        <v>7</v>
      </c>
      <c r="F47" s="47">
        <v>1</v>
      </c>
      <c r="G47" s="47">
        <v>1</v>
      </c>
      <c r="H47" s="47">
        <v>4</v>
      </c>
      <c r="I47" s="47">
        <v>0</v>
      </c>
      <c r="J47" s="47">
        <f>IFERROR((((((((Tables!$H$2/VLOOKUP(A47,Characters!$A$2:$F$1048576,5,FALSE))*(VLOOKUP(A47,Characters!$A$2:$F$1048576,5,FALSE)-H47))/6)*6)+((((Tables!$G$2/VLOOKUP(A47,Characters!$A$2:$F$1048576,6,FALSE))*(VLOOKUP(A47,Characters!$A$2:$F$1048576,6,FALSE)-I47))/24)*24)))/30)*(Tables!$K$5*100),(((Tables!$H$2/VLOOKUP(A47,Characters!$A$2:$F$1048576,5,FALSE))*(VLOOKUP(A47,Characters!$A$2:$F$1048576,5,FALSE)-H47))/6)*(Tables!$K$5*100))</f>
        <v>0</v>
      </c>
      <c r="K47" s="48">
        <f>VLOOKUP(E47,Tables!$E$1:$F$9,2,FALSE)+VLOOKUP(F47,Tables!$C:$D,2,FALSE)+VLOOKUP(G47,Tables!$A:$B,2,FALSE)+IFERROR((((((((Tables!$H$2/VLOOKUP(A47,Characters!$A$2:$F$1048576,5,FALSE))*(VLOOKUP(A47,Characters!$A$2:$F$1048576,5,FALSE)-H47))/6)*6)+((((Tables!$G$2/VLOOKUP(A47,Characters!$A$2:$F$1048576,6,FALSE))*(VLOOKUP(A47,Characters!$A$2:$F$1048576,6,FALSE)-I47))/24)*24)))/30)*(Tables!$K$5*100),(((Tables!$H$2/VLOOKUP(A47,Characters!$A$2:$F$1048576,5,FALSE))*(VLOOKUP(A47,Characters!$A$2:$F$1048576,5,FALSE)-H47))/6)*(Tables!$K$5*100))</f>
        <v>30.001591435185187</v>
      </c>
      <c r="L47" s="47"/>
      <c r="M47" s="49">
        <v>4656</v>
      </c>
      <c r="N47" s="50"/>
    </row>
    <row r="48" spans="1:14" x14ac:dyDescent="0.25">
      <c r="A48" s="12" t="s">
        <v>39</v>
      </c>
      <c r="B48" s="19" t="s">
        <v>29</v>
      </c>
      <c r="C48" s="12" t="s">
        <v>196</v>
      </c>
      <c r="D48" s="12" t="s">
        <v>375</v>
      </c>
      <c r="E48" s="47">
        <v>7</v>
      </c>
      <c r="F48" s="47">
        <v>85</v>
      </c>
      <c r="G48" s="47">
        <v>11</v>
      </c>
      <c r="H48" s="47">
        <v>0</v>
      </c>
      <c r="I48" s="47">
        <v>1</v>
      </c>
      <c r="J48" s="47">
        <f>IFERROR((((((((Tables!$H$2/VLOOKUP(A48,Characters!$A$2:$F$1048576,5,FALSE))*(VLOOKUP(A48,Characters!$A$2:$F$1048576,5,FALSE)-H48))/6)*6)+((((Tables!$G$2/VLOOKUP(A48,Characters!$A$2:$F$1048576,6,FALSE))*(VLOOKUP(A48,Characters!$A$2:$F$1048576,6,FALSE)-I48))/24)*24)))/30)*(Tables!$K$5*100),(((Tables!$H$2/VLOOKUP(A48,Characters!$A$2:$F$1048576,5,FALSE))*(VLOOKUP(A48,Characters!$A$2:$F$1048576,5,FALSE)-H48))/6)*(Tables!$K$5*100))</f>
        <v>6</v>
      </c>
      <c r="K48" s="48">
        <f>VLOOKUP(E48,Tables!$E$1:$F$9,2,FALSE)+VLOOKUP(F48,Tables!$C:$D,2,FALSE)+VLOOKUP(G48,Tables!$A:$B,2,FALSE)+IFERROR((((((((Tables!$H$2/VLOOKUP(A48,Characters!$A$2:$F$1048576,5,FALSE))*(VLOOKUP(A48,Characters!$A$2:$F$1048576,5,FALSE)-H48))/6)*6)+((((Tables!$G$2/VLOOKUP(A48,Characters!$A$2:$F$1048576,6,FALSE))*(VLOOKUP(A48,Characters!$A$2:$F$1048576,6,FALSE)-I48))/24)*24)))/30)*(Tables!$K$5*100),(((Tables!$H$2/VLOOKUP(A48,Characters!$A$2:$F$1048576,5,FALSE))*(VLOOKUP(A48,Characters!$A$2:$F$1048576,5,FALSE)-H48))/6)*(Tables!$K$5*100))</f>
        <v>66.300202546296305</v>
      </c>
      <c r="L48" s="47" t="s">
        <v>360</v>
      </c>
      <c r="M48" s="49">
        <v>17472</v>
      </c>
      <c r="N48" s="50"/>
    </row>
    <row r="49" spans="1:19" x14ac:dyDescent="0.25">
      <c r="A49" s="12" t="s">
        <v>98</v>
      </c>
      <c r="B49" s="19" t="s">
        <v>28</v>
      </c>
      <c r="C49" s="12" t="s">
        <v>202</v>
      </c>
      <c r="D49" s="12"/>
      <c r="E49" s="47">
        <v>7</v>
      </c>
      <c r="F49" s="47">
        <v>1</v>
      </c>
      <c r="G49" s="47">
        <v>1</v>
      </c>
      <c r="H49" s="47">
        <v>3</v>
      </c>
      <c r="I49" s="47">
        <v>1</v>
      </c>
      <c r="J49" s="47">
        <f>IFERROR((((((((Tables!$H$2/VLOOKUP(A49,Characters!$A$2:$F$1048576,5,FALSE))*(VLOOKUP(A49,Characters!$A$2:$F$1048576,5,FALSE)-H49))/6)*6)+((((Tables!$G$2/VLOOKUP(A49,Characters!$A$2:$F$1048576,6,FALSE))*(VLOOKUP(A49,Characters!$A$2:$F$1048576,6,FALSE)-I49))/24)*24)))/30)*(Tables!$K$5*100),(((Tables!$H$2/VLOOKUP(A49,Characters!$A$2:$F$1048576,5,FALSE))*(VLOOKUP(A49,Characters!$A$2:$F$1048576,5,FALSE)-H49))/6)*(Tables!$K$5*100))</f>
        <v>0</v>
      </c>
      <c r="K49" s="48">
        <f>VLOOKUP(E49,Tables!$E$1:$F$9,2,FALSE)+VLOOKUP(F49,Tables!$C:$D,2,FALSE)+VLOOKUP(G49,Tables!$A:$B,2,FALSE)+IFERROR((((((((Tables!$H$2/VLOOKUP(A49,Characters!$A$2:$F$1048576,5,FALSE))*(VLOOKUP(A49,Characters!$A$2:$F$1048576,5,FALSE)-H49))/6)*6)+((((Tables!$G$2/VLOOKUP(A49,Characters!$A$2:$F$1048576,6,FALSE))*(VLOOKUP(A49,Characters!$A$2:$F$1048576,6,FALSE)-I49))/24)*24)))/30)*(Tables!$K$5*100),(((Tables!$H$2/VLOOKUP(A49,Characters!$A$2:$F$1048576,5,FALSE))*(VLOOKUP(A49,Characters!$A$2:$F$1048576,5,FALSE)-H49))/6)*(Tables!$K$5*100))</f>
        <v>30.001591435185187</v>
      </c>
      <c r="L49" s="47"/>
      <c r="M49" s="49">
        <v>4656</v>
      </c>
      <c r="N49" s="50"/>
    </row>
    <row r="50" spans="1:19" x14ac:dyDescent="0.25">
      <c r="A50" s="12" t="s">
        <v>256</v>
      </c>
      <c r="B50" s="19" t="s">
        <v>29</v>
      </c>
      <c r="C50" s="12" t="s">
        <v>196</v>
      </c>
      <c r="D50" s="12" t="s">
        <v>375</v>
      </c>
      <c r="E50" s="47">
        <v>3</v>
      </c>
      <c r="F50" s="47">
        <v>85</v>
      </c>
      <c r="G50" s="47">
        <v>11</v>
      </c>
      <c r="H50" s="47">
        <v>0</v>
      </c>
      <c r="I50" s="47">
        <v>2</v>
      </c>
      <c r="J50" s="47">
        <f>IFERROR((((((((Tables!$H$2/VLOOKUP(A50,Characters!$A$2:$F$1048576,5,FALSE))*(VLOOKUP(A50,Characters!$A$2:$F$1048576,5,FALSE)-H50))/6)*6)+((((Tables!$G$2/VLOOKUP(A50,Characters!$A$2:$F$1048576,6,FALSE))*(VLOOKUP(A50,Characters!$A$2:$F$1048576,6,FALSE)-I50))/24)*24)))/30)*(Tables!$K$5*100),(((Tables!$H$2/VLOOKUP(A50,Characters!$A$2:$F$1048576,5,FALSE))*(VLOOKUP(A50,Characters!$A$2:$F$1048576,5,FALSE)-H50))/6)*(Tables!$K$5*100))</f>
        <v>6</v>
      </c>
      <c r="K50" s="48">
        <f>VLOOKUP(E50,Tables!$E$1:$F$9,2,FALSE)+VLOOKUP(F50,Tables!$C:$D,2,FALSE)+VLOOKUP(G50,Tables!$A:$B,2,FALSE)+IFERROR((((((((Tables!$H$2/VLOOKUP(A50,Characters!$A$2:$F$1048576,5,FALSE))*(VLOOKUP(A50,Characters!$A$2:$F$1048576,5,FALSE)-H50))/6)*6)+((((Tables!$G$2/VLOOKUP(A50,Characters!$A$2:$F$1048576,6,FALSE))*(VLOOKUP(A50,Characters!$A$2:$F$1048576,6,FALSE)-I50))/24)*24)))/30)*(Tables!$K$5*100),(((Tables!$H$2/VLOOKUP(A50,Characters!$A$2:$F$1048576,5,FALSE))*(VLOOKUP(A50,Characters!$A$2:$F$1048576,5,FALSE)-H50))/6)*(Tables!$K$5*100))</f>
        <v>45.862551618594317</v>
      </c>
      <c r="L50" s="47" t="s">
        <v>360</v>
      </c>
      <c r="M50" s="49">
        <v>13480</v>
      </c>
      <c r="N50" s="50"/>
    </row>
    <row r="51" spans="1:19" x14ac:dyDescent="0.25">
      <c r="A51" s="12" t="s">
        <v>38</v>
      </c>
      <c r="B51" s="19" t="s">
        <v>29</v>
      </c>
      <c r="C51" s="12" t="s">
        <v>196</v>
      </c>
      <c r="D51" s="12"/>
      <c r="E51" s="47">
        <v>7</v>
      </c>
      <c r="F51" s="47">
        <v>85</v>
      </c>
      <c r="G51" s="47">
        <v>11</v>
      </c>
      <c r="H51" s="47">
        <v>0</v>
      </c>
      <c r="I51" s="47">
        <v>0</v>
      </c>
      <c r="J51" s="47">
        <f>IFERROR((((((((Tables!$H$2/VLOOKUP(A51,Characters!$A$2:$F$1048576,5,FALSE))*(VLOOKUP(A51,Characters!$A$2:$F$1048576,5,FALSE)-H51))/6)*6)+((((Tables!$G$2/VLOOKUP(A51,Characters!$A$2:$F$1048576,6,FALSE))*(VLOOKUP(A51,Characters!$A$2:$F$1048576,6,FALSE)-I51))/24)*24)))/30)*(Tables!$K$5*100),(((Tables!$H$2/VLOOKUP(A51,Characters!$A$2:$F$1048576,5,FALSE))*(VLOOKUP(A51,Characters!$A$2:$F$1048576,5,FALSE)-H51))/6)*(Tables!$K$5*100))</f>
        <v>30</v>
      </c>
      <c r="K51" s="48">
        <f>VLOOKUP(E51,Tables!$E$1:$F$9,2,FALSE)+VLOOKUP(F51,Tables!$C:$D,2,FALSE)+VLOOKUP(G51,Tables!$A:$B,2,FALSE)+IFERROR((((((((Tables!$H$2/VLOOKUP(A51,Characters!$A$2:$F$1048576,5,FALSE))*(VLOOKUP(A51,Characters!$A$2:$F$1048576,5,FALSE)-H51))/6)*6)+((((Tables!$G$2/VLOOKUP(A51,Characters!$A$2:$F$1048576,6,FALSE))*(VLOOKUP(A51,Characters!$A$2:$F$1048576,6,FALSE)-I51))/24)*24)))/30)*(Tables!$K$5*100),(((Tables!$H$2/VLOOKUP(A51,Characters!$A$2:$F$1048576,5,FALSE))*(VLOOKUP(A51,Characters!$A$2:$F$1048576,5,FALSE)-H51))/6)*(Tables!$K$5*100))</f>
        <v>90.300202546296305</v>
      </c>
      <c r="L51" s="47"/>
      <c r="M51" s="49">
        <v>15903</v>
      </c>
      <c r="N51" s="50"/>
    </row>
    <row r="52" spans="1:19" x14ac:dyDescent="0.25">
      <c r="A52" s="12" t="s">
        <v>163</v>
      </c>
      <c r="B52" s="19" t="s">
        <v>28</v>
      </c>
      <c r="C52" s="12" t="s">
        <v>204</v>
      </c>
      <c r="D52" s="12"/>
      <c r="E52" s="47">
        <v>7</v>
      </c>
      <c r="F52" s="47">
        <v>85</v>
      </c>
      <c r="G52" s="47">
        <v>8</v>
      </c>
      <c r="H52" s="47">
        <v>0</v>
      </c>
      <c r="I52" s="47">
        <v>1</v>
      </c>
      <c r="J52" s="47">
        <f>IFERROR((((((((Tables!$H$2/VLOOKUP(A52,Characters!$A$2:$F$1048576,5,FALSE))*(VLOOKUP(A52,Characters!$A$2:$F$1048576,5,FALSE)-H52))/6)*6)+((((Tables!$G$2/VLOOKUP(A52,Characters!$A$2:$F$1048576,6,FALSE))*(VLOOKUP(A52,Characters!$A$2:$F$1048576,6,FALSE)-I52))/24)*24)))/30)*(Tables!$K$5*100),(((Tables!$H$2/VLOOKUP(A52,Characters!$A$2:$F$1048576,5,FALSE))*(VLOOKUP(A52,Characters!$A$2:$F$1048576,5,FALSE)-H52))/6)*(Tables!$K$5*100))</f>
        <v>6</v>
      </c>
      <c r="K52" s="48">
        <f>VLOOKUP(E52,Tables!$E$1:$F$9,2,FALSE)+VLOOKUP(F52,Tables!$C:$D,2,FALSE)+VLOOKUP(G52,Tables!$A:$B,2,FALSE)+IFERROR((((((((Tables!$H$2/VLOOKUP(A52,Characters!$A$2:$F$1048576,5,FALSE))*(VLOOKUP(A52,Characters!$A$2:$F$1048576,5,FALSE)-H52))/6)*6)+((((Tables!$G$2/VLOOKUP(A52,Characters!$A$2:$F$1048576,6,FALSE))*(VLOOKUP(A52,Characters!$A$2:$F$1048576,6,FALSE)-I52))/24)*24)))/30)*(Tables!$K$5*100),(((Tables!$H$2/VLOOKUP(A52,Characters!$A$2:$F$1048576,5,FALSE))*(VLOOKUP(A52,Characters!$A$2:$F$1048576,5,FALSE)-H52))/6)*(Tables!$K$5*100))</f>
        <v>49.518518518518519</v>
      </c>
      <c r="L52" s="47" t="s">
        <v>361</v>
      </c>
      <c r="M52" s="49">
        <v>13423</v>
      </c>
      <c r="N52" s="50"/>
    </row>
    <row r="53" spans="1:19" x14ac:dyDescent="0.25">
      <c r="A53" s="12" t="s">
        <v>45</v>
      </c>
      <c r="B53" s="19" t="s">
        <v>29</v>
      </c>
      <c r="C53" s="12" t="s">
        <v>36</v>
      </c>
      <c r="D53" s="12" t="s">
        <v>381</v>
      </c>
      <c r="E53" s="47">
        <v>7</v>
      </c>
      <c r="F53" s="47">
        <v>85</v>
      </c>
      <c r="G53" s="47">
        <v>11</v>
      </c>
      <c r="H53" s="47">
        <v>0</v>
      </c>
      <c r="I53" s="47">
        <v>1</v>
      </c>
      <c r="J53" s="47">
        <f>IFERROR((((((((Tables!$H$2/VLOOKUP(A53,Characters!$A$2:$F$1048576,5,FALSE))*(VLOOKUP(A53,Characters!$A$2:$F$1048576,5,FALSE)-H53))/6)*6)+((((Tables!$G$2/VLOOKUP(A53,Characters!$A$2:$F$1048576,6,FALSE))*(VLOOKUP(A53,Characters!$A$2:$F$1048576,6,FALSE)-I53))/24)*24)))/30)*(Tables!$K$5*100),(((Tables!$H$2/VLOOKUP(A53,Characters!$A$2:$F$1048576,5,FALSE))*(VLOOKUP(A53,Characters!$A$2:$F$1048576,5,FALSE)-H53))/6)*(Tables!$K$5*100))</f>
        <v>6</v>
      </c>
      <c r="K53" s="48">
        <f>VLOOKUP(E53,Tables!$E$1:$F$9,2,FALSE)+VLOOKUP(F53,Tables!$C:$D,2,FALSE)+VLOOKUP(G53,Tables!$A:$B,2,FALSE)+IFERROR((((((((Tables!$H$2/VLOOKUP(A53,Characters!$A$2:$F$1048576,5,FALSE))*(VLOOKUP(A53,Characters!$A$2:$F$1048576,5,FALSE)-H53))/6)*6)+((((Tables!$G$2/VLOOKUP(A53,Characters!$A$2:$F$1048576,6,FALSE))*(VLOOKUP(A53,Characters!$A$2:$F$1048576,6,FALSE)-I53))/24)*24)))/30)*(Tables!$K$5*100),(((Tables!$H$2/VLOOKUP(A53,Characters!$A$2:$F$1048576,5,FALSE))*(VLOOKUP(A53,Characters!$A$2:$F$1048576,5,FALSE)-H53))/6)*(Tables!$K$5*100))</f>
        <v>66.300202546296305</v>
      </c>
      <c r="L53" s="47"/>
      <c r="M53" s="49">
        <v>15639</v>
      </c>
      <c r="N53" s="50"/>
    </row>
    <row r="54" spans="1:19" x14ac:dyDescent="0.25">
      <c r="A54" s="12" t="s">
        <v>99</v>
      </c>
      <c r="B54" s="19" t="s">
        <v>28</v>
      </c>
      <c r="C54" s="12" t="s">
        <v>202</v>
      </c>
      <c r="D54" s="12" t="s">
        <v>387</v>
      </c>
      <c r="E54" s="47">
        <v>7</v>
      </c>
      <c r="F54" s="47">
        <v>85</v>
      </c>
      <c r="G54" s="47">
        <v>8</v>
      </c>
      <c r="H54" s="47">
        <v>0</v>
      </c>
      <c r="I54" s="47">
        <v>1</v>
      </c>
      <c r="J54" s="47">
        <f>IFERROR((((((((Tables!$H$2/VLOOKUP(A54,Characters!$A$2:$F$1048576,5,FALSE))*(VLOOKUP(A54,Characters!$A$2:$F$1048576,5,FALSE)-H54))/6)*6)+((((Tables!$G$2/VLOOKUP(A54,Characters!$A$2:$F$1048576,6,FALSE))*(VLOOKUP(A54,Characters!$A$2:$F$1048576,6,FALSE)-I54))/24)*24)))/30)*(Tables!$K$5*100),(((Tables!$H$2/VLOOKUP(A54,Characters!$A$2:$F$1048576,5,FALSE))*(VLOOKUP(A54,Characters!$A$2:$F$1048576,5,FALSE)-H54))/6)*(Tables!$K$5*100))</f>
        <v>6</v>
      </c>
      <c r="K54" s="48">
        <f>VLOOKUP(E54,Tables!$E$1:$F$9,2,FALSE)+VLOOKUP(F54,Tables!$C:$D,2,FALSE)+VLOOKUP(G54,Tables!$A:$B,2,FALSE)+IFERROR((((((((Tables!$H$2/VLOOKUP(A54,Characters!$A$2:$F$1048576,5,FALSE))*(VLOOKUP(A54,Characters!$A$2:$F$1048576,5,FALSE)-H54))/6)*6)+((((Tables!$G$2/VLOOKUP(A54,Characters!$A$2:$F$1048576,6,FALSE))*(VLOOKUP(A54,Characters!$A$2:$F$1048576,6,FALSE)-I54))/24)*24)))/30)*(Tables!$K$5*100),(((Tables!$H$2/VLOOKUP(A54,Characters!$A$2:$F$1048576,5,FALSE))*(VLOOKUP(A54,Characters!$A$2:$F$1048576,5,FALSE)-H54))/6)*(Tables!$K$5*100))</f>
        <v>49.518518518518519</v>
      </c>
      <c r="L54" s="47" t="s">
        <v>361</v>
      </c>
      <c r="M54" s="49">
        <v>13423</v>
      </c>
      <c r="N54" s="50"/>
    </row>
    <row r="55" spans="1:19" x14ac:dyDescent="0.25">
      <c r="A55" s="12" t="s">
        <v>75</v>
      </c>
      <c r="B55" s="19" t="s">
        <v>28</v>
      </c>
      <c r="C55" s="12" t="s">
        <v>197</v>
      </c>
      <c r="D55" s="12" t="s">
        <v>376</v>
      </c>
      <c r="E55" s="47">
        <v>7</v>
      </c>
      <c r="F55" s="47">
        <v>85</v>
      </c>
      <c r="G55" s="47">
        <v>11</v>
      </c>
      <c r="H55" s="47">
        <v>0</v>
      </c>
      <c r="I55" s="47">
        <v>0</v>
      </c>
      <c r="J55" s="47">
        <f>IFERROR((((((((Tables!$H$2/VLOOKUP(A55,Characters!$A$2:$F$1048576,5,FALSE))*(VLOOKUP(A55,Characters!$A$2:$F$1048576,5,FALSE)-H55))/6)*6)+((((Tables!$G$2/VLOOKUP(A55,Characters!$A$2:$F$1048576,6,FALSE))*(VLOOKUP(A55,Characters!$A$2:$F$1048576,6,FALSE)-I55))/24)*24)))/30)*(Tables!$K$5*100),(((Tables!$H$2/VLOOKUP(A55,Characters!$A$2:$F$1048576,5,FALSE))*(VLOOKUP(A55,Characters!$A$2:$F$1048576,5,FALSE)-H55))/6)*(Tables!$K$5*100))</f>
        <v>30</v>
      </c>
      <c r="K55" s="48">
        <f>VLOOKUP(E55,Tables!$E$1:$F$9,2,FALSE)+VLOOKUP(F55,Tables!$C:$D,2,FALSE)+VLOOKUP(G55,Tables!$A:$B,2,FALSE)+IFERROR((((((((Tables!$H$2/VLOOKUP(A55,Characters!$A$2:$F$1048576,5,FALSE))*(VLOOKUP(A55,Characters!$A$2:$F$1048576,5,FALSE)-H55))/6)*6)+((((Tables!$G$2/VLOOKUP(A55,Characters!$A$2:$F$1048576,6,FALSE))*(VLOOKUP(A55,Characters!$A$2:$F$1048576,6,FALSE)-I55))/24)*24)))/30)*(Tables!$K$5*100),(((Tables!$H$2/VLOOKUP(A55,Characters!$A$2:$F$1048576,5,FALSE))*(VLOOKUP(A55,Characters!$A$2:$F$1048576,5,FALSE)-H55))/6)*(Tables!$K$5*100))</f>
        <v>90.300202546296305</v>
      </c>
      <c r="L55" s="47"/>
      <c r="M55" s="49">
        <v>18507</v>
      </c>
      <c r="N55" s="50"/>
    </row>
    <row r="56" spans="1:19" x14ac:dyDescent="0.25">
      <c r="A56" s="12" t="s">
        <v>100</v>
      </c>
      <c r="B56" s="19" t="s">
        <v>28</v>
      </c>
      <c r="C56" s="12" t="s">
        <v>14</v>
      </c>
      <c r="D56" s="12" t="s">
        <v>396</v>
      </c>
      <c r="E56" s="47">
        <v>7</v>
      </c>
      <c r="F56" s="47">
        <v>85</v>
      </c>
      <c r="G56" s="47">
        <v>9</v>
      </c>
      <c r="H56" s="47">
        <v>2</v>
      </c>
      <c r="I56" s="47">
        <v>1</v>
      </c>
      <c r="J56" s="47">
        <f>IFERROR((((((((Tables!$H$2/VLOOKUP(A56,Characters!$A$2:$F$1048576,5,FALSE))*(VLOOKUP(A56,Characters!$A$2:$F$1048576,5,FALSE)-H56))/6)*6)+((((Tables!$G$2/VLOOKUP(A56,Characters!$A$2:$F$1048576,6,FALSE))*(VLOOKUP(A56,Characters!$A$2:$F$1048576,6,FALSE)-I56))/24)*24)))/30)*(Tables!$K$5*100),(((Tables!$H$2/VLOOKUP(A56,Characters!$A$2:$F$1048576,5,FALSE))*(VLOOKUP(A56,Characters!$A$2:$F$1048576,5,FALSE)-H56))/6)*(Tables!$K$5*100))</f>
        <v>2</v>
      </c>
      <c r="K56" s="48">
        <f>VLOOKUP(E56,Tables!$E$1:$F$9,2,FALSE)+VLOOKUP(F56,Tables!$C:$D,2,FALSE)+VLOOKUP(G56,Tables!$A:$B,2,FALSE)+IFERROR((((((((Tables!$H$2/VLOOKUP(A56,Characters!$A$2:$F$1048576,5,FALSE))*(VLOOKUP(A56,Characters!$A$2:$F$1048576,5,FALSE)-H56))/6)*6)+((((Tables!$G$2/VLOOKUP(A56,Characters!$A$2:$F$1048576,6,FALSE))*(VLOOKUP(A56,Characters!$A$2:$F$1048576,6,FALSE)-I56))/24)*24)))/30)*(Tables!$K$5*100),(((Tables!$H$2/VLOOKUP(A56,Characters!$A$2:$F$1048576,5,FALSE))*(VLOOKUP(A56,Characters!$A$2:$F$1048576,5,FALSE)-H56))/6)*(Tables!$K$5*100))</f>
        <v>49.44140625</v>
      </c>
      <c r="L56" s="47"/>
      <c r="M56" s="49">
        <v>13510</v>
      </c>
      <c r="N56" s="50"/>
    </row>
    <row r="57" spans="1:19" x14ac:dyDescent="0.25">
      <c r="A57" s="12" t="s">
        <v>101</v>
      </c>
      <c r="B57" s="19" t="s">
        <v>28</v>
      </c>
      <c r="C57" s="12" t="s">
        <v>83</v>
      </c>
      <c r="D57" s="12" t="s">
        <v>384</v>
      </c>
      <c r="E57" s="47">
        <v>7</v>
      </c>
      <c r="F57" s="47">
        <v>85</v>
      </c>
      <c r="G57" s="47">
        <v>10</v>
      </c>
      <c r="H57" s="47">
        <v>0</v>
      </c>
      <c r="I57" s="47">
        <v>0</v>
      </c>
      <c r="J57" s="47">
        <f>IFERROR((((((((Tables!$H$2/VLOOKUP(A57,Characters!$A$2:$F$1048576,5,FALSE))*(VLOOKUP(A57,Characters!$A$2:$F$1048576,5,FALSE)-H57))/6)*6)+((((Tables!$G$2/VLOOKUP(A57,Characters!$A$2:$F$1048576,6,FALSE))*(VLOOKUP(A57,Characters!$A$2:$F$1048576,6,FALSE)-I57))/24)*24)))/30)*(Tables!$K$5*100),(((Tables!$H$2/VLOOKUP(A57,Characters!$A$2:$F$1048576,5,FALSE))*(VLOOKUP(A57,Characters!$A$2:$F$1048576,5,FALSE)-H57))/6)*(Tables!$K$5*100))</f>
        <v>30</v>
      </c>
      <c r="K57" s="48">
        <f>VLOOKUP(E57,Tables!$E$1:$F$9,2,FALSE)+VLOOKUP(F57,Tables!$C:$D,2,FALSE)+VLOOKUP(G57,Tables!$A:$B,2,FALSE)+IFERROR((((((((Tables!$H$2/VLOOKUP(A57,Characters!$A$2:$F$1048576,5,FALSE))*(VLOOKUP(A57,Characters!$A$2:$F$1048576,5,FALSE)-H57))/6)*6)+((((Tables!$G$2/VLOOKUP(A57,Characters!$A$2:$F$1048576,6,FALSE))*(VLOOKUP(A57,Characters!$A$2:$F$1048576,6,FALSE)-I57))/24)*24)))/30)*(Tables!$K$5*100),(((Tables!$H$2/VLOOKUP(A57,Characters!$A$2:$F$1048576,5,FALSE))*(VLOOKUP(A57,Characters!$A$2:$F$1048576,5,FALSE)-H57))/6)*(Tables!$K$5*100))</f>
        <v>82.914351851851848</v>
      </c>
      <c r="L57" s="47"/>
      <c r="M57" s="49">
        <v>13740</v>
      </c>
      <c r="N57" s="50"/>
    </row>
    <row r="58" spans="1:19" x14ac:dyDescent="0.25">
      <c r="A58" s="12" t="s">
        <v>102</v>
      </c>
      <c r="B58" s="19" t="s">
        <v>28</v>
      </c>
      <c r="C58" s="12" t="s">
        <v>202</v>
      </c>
      <c r="D58" s="12" t="s">
        <v>387</v>
      </c>
      <c r="E58" s="47">
        <v>7</v>
      </c>
      <c r="F58" s="47">
        <v>85</v>
      </c>
      <c r="G58" s="47">
        <v>11</v>
      </c>
      <c r="H58" s="47">
        <v>0</v>
      </c>
      <c r="I58" s="47">
        <v>0</v>
      </c>
      <c r="J58" s="47">
        <f>IFERROR((((((((Tables!$H$2/VLOOKUP(A58,Characters!$A$2:$F$1048576,5,FALSE))*(VLOOKUP(A58,Characters!$A$2:$F$1048576,5,FALSE)-H58))/6)*6)+((((Tables!$G$2/VLOOKUP(A58,Characters!$A$2:$F$1048576,6,FALSE))*(VLOOKUP(A58,Characters!$A$2:$F$1048576,6,FALSE)-I58))/24)*24)))/30)*(Tables!$K$5*100),(((Tables!$H$2/VLOOKUP(A58,Characters!$A$2:$F$1048576,5,FALSE))*(VLOOKUP(A58,Characters!$A$2:$F$1048576,5,FALSE)-H58))/6)*(Tables!$K$5*100))</f>
        <v>30</v>
      </c>
      <c r="K58" s="48">
        <f>VLOOKUP(E58,Tables!$E$1:$F$9,2,FALSE)+VLOOKUP(F58,Tables!$C:$D,2,FALSE)+VLOOKUP(G58,Tables!$A:$B,2,FALSE)+IFERROR((((((((Tables!$H$2/VLOOKUP(A58,Characters!$A$2:$F$1048576,5,FALSE))*(VLOOKUP(A58,Characters!$A$2:$F$1048576,5,FALSE)-H58))/6)*6)+((((Tables!$G$2/VLOOKUP(A58,Characters!$A$2:$F$1048576,6,FALSE))*(VLOOKUP(A58,Characters!$A$2:$F$1048576,6,FALSE)-I58))/24)*24)))/30)*(Tables!$K$5*100),(((Tables!$H$2/VLOOKUP(A58,Characters!$A$2:$F$1048576,5,FALSE))*(VLOOKUP(A58,Characters!$A$2:$F$1048576,5,FALSE)-H58))/6)*(Tables!$K$5*100))</f>
        <v>90.300202546296305</v>
      </c>
      <c r="L58" s="47" t="s">
        <v>361</v>
      </c>
      <c r="M58" s="49">
        <v>16411</v>
      </c>
      <c r="N58" s="50"/>
    </row>
    <row r="59" spans="1:19" x14ac:dyDescent="0.25">
      <c r="A59" s="12" t="s">
        <v>76</v>
      </c>
      <c r="B59" s="19" t="s">
        <v>28</v>
      </c>
      <c r="C59" s="12" t="s">
        <v>205</v>
      </c>
      <c r="D59" s="12" t="s">
        <v>386</v>
      </c>
      <c r="E59" s="47">
        <v>7</v>
      </c>
      <c r="F59" s="47">
        <v>85</v>
      </c>
      <c r="G59" s="47">
        <v>10</v>
      </c>
      <c r="H59" s="47">
        <v>3</v>
      </c>
      <c r="I59" s="47">
        <v>0</v>
      </c>
      <c r="J59" s="47">
        <f>IFERROR((((((((Tables!$H$2/VLOOKUP(A59,Characters!$A$2:$F$1048576,5,FALSE))*(VLOOKUP(A59,Characters!$A$2:$F$1048576,5,FALSE)-H59))/6)*6)+((((Tables!$G$2/VLOOKUP(A59,Characters!$A$2:$F$1048576,6,FALSE))*(VLOOKUP(A59,Characters!$A$2:$F$1048576,6,FALSE)-I59))/24)*24)))/30)*(Tables!$K$5*100),(((Tables!$H$2/VLOOKUP(A59,Characters!$A$2:$F$1048576,5,FALSE))*(VLOOKUP(A59,Characters!$A$2:$F$1048576,5,FALSE)-H59))/6)*(Tables!$K$5*100))</f>
        <v>7.5</v>
      </c>
      <c r="K59" s="48">
        <f>VLOOKUP(E59,Tables!$E$1:$F$9,2,FALSE)+VLOOKUP(F59,Tables!$C:$D,2,FALSE)+VLOOKUP(G59,Tables!$A:$B,2,FALSE)+IFERROR((((((((Tables!$H$2/VLOOKUP(A59,Characters!$A$2:$F$1048576,5,FALSE))*(VLOOKUP(A59,Characters!$A$2:$F$1048576,5,FALSE)-H59))/6)*6)+((((Tables!$G$2/VLOOKUP(A59,Characters!$A$2:$F$1048576,6,FALSE))*(VLOOKUP(A59,Characters!$A$2:$F$1048576,6,FALSE)-I59))/24)*24)))/30)*(Tables!$K$5*100),(((Tables!$H$2/VLOOKUP(A59,Characters!$A$2:$F$1048576,5,FALSE))*(VLOOKUP(A59,Characters!$A$2:$F$1048576,5,FALSE)-H59))/6)*(Tables!$K$5*100))</f>
        <v>60.414351851851855</v>
      </c>
      <c r="L59" s="47" t="s">
        <v>361</v>
      </c>
      <c r="M59" s="49">
        <v>13143</v>
      </c>
      <c r="N59" s="50"/>
      <c r="Q59" s="71" t="str">
        <f ca="1">DATE(2018,8,14)-TODAY()&amp;" Days"</f>
        <v>55 Days</v>
      </c>
      <c r="R59" s="71"/>
      <c r="S59" s="71"/>
    </row>
    <row r="60" spans="1:19" x14ac:dyDescent="0.25">
      <c r="A60" s="12" t="s">
        <v>103</v>
      </c>
      <c r="B60" s="19" t="s">
        <v>28</v>
      </c>
      <c r="C60" s="12" t="s">
        <v>197</v>
      </c>
      <c r="D60" s="12" t="s">
        <v>376</v>
      </c>
      <c r="E60" s="47">
        <v>7</v>
      </c>
      <c r="F60" s="47">
        <v>85</v>
      </c>
      <c r="G60" s="47">
        <v>11</v>
      </c>
      <c r="H60" s="47">
        <v>0</v>
      </c>
      <c r="I60" s="47">
        <v>0</v>
      </c>
      <c r="J60" s="47">
        <f>IFERROR((((((((Tables!$H$2/VLOOKUP(A60,Characters!$A$2:$F$1048576,5,FALSE))*(VLOOKUP(A60,Characters!$A$2:$F$1048576,5,FALSE)-H60))/6)*6)+((((Tables!$G$2/VLOOKUP(A60,Characters!$A$2:$F$1048576,6,FALSE))*(VLOOKUP(A60,Characters!$A$2:$F$1048576,6,FALSE)-I60))/24)*24)))/30)*(Tables!$K$5*100),(((Tables!$H$2/VLOOKUP(A60,Characters!$A$2:$F$1048576,5,FALSE))*(VLOOKUP(A60,Characters!$A$2:$F$1048576,5,FALSE)-H60))/6)*(Tables!$K$5*100))</f>
        <v>30</v>
      </c>
      <c r="K60" s="48">
        <f>VLOOKUP(E60,Tables!$E$1:$F$9,2,FALSE)+VLOOKUP(F60,Tables!$C:$D,2,FALSE)+VLOOKUP(G60,Tables!$A:$B,2,FALSE)+IFERROR((((((((Tables!$H$2/VLOOKUP(A60,Characters!$A$2:$F$1048576,5,FALSE))*(VLOOKUP(A60,Characters!$A$2:$F$1048576,5,FALSE)-H60))/6)*6)+((((Tables!$G$2/VLOOKUP(A60,Characters!$A$2:$F$1048576,6,FALSE))*(VLOOKUP(A60,Characters!$A$2:$F$1048576,6,FALSE)-I60))/24)*24)))/30)*(Tables!$K$5*100),(((Tables!$H$2/VLOOKUP(A60,Characters!$A$2:$F$1048576,5,FALSE))*(VLOOKUP(A60,Characters!$A$2:$F$1048576,5,FALSE)-H60))/6)*(Tables!$K$5*100))</f>
        <v>90.300202546296305</v>
      </c>
      <c r="L60" s="47"/>
      <c r="M60" s="49">
        <v>15922</v>
      </c>
      <c r="N60" s="50"/>
      <c r="Q60" s="71"/>
      <c r="R60" s="71"/>
      <c r="S60" s="71"/>
    </row>
    <row r="61" spans="1:19" x14ac:dyDescent="0.25">
      <c r="A61" s="12" t="s">
        <v>104</v>
      </c>
      <c r="B61" s="19" t="s">
        <v>28</v>
      </c>
      <c r="C61" s="12" t="s">
        <v>212</v>
      </c>
      <c r="D61" s="12"/>
      <c r="E61" s="47">
        <v>6</v>
      </c>
      <c r="F61" s="47">
        <v>65</v>
      </c>
      <c r="G61" s="47">
        <v>8</v>
      </c>
      <c r="H61" s="47">
        <v>3</v>
      </c>
      <c r="I61" s="47">
        <v>0</v>
      </c>
      <c r="J61" s="47">
        <f>IFERROR((((((((Tables!$H$2/VLOOKUP(A61,Characters!$A$2:$F$1048576,5,FALSE))*(VLOOKUP(A61,Characters!$A$2:$F$1048576,5,FALSE)-H61))/6)*6)+((((Tables!$G$2/VLOOKUP(A61,Characters!$A$2:$F$1048576,6,FALSE))*(VLOOKUP(A61,Characters!$A$2:$F$1048576,6,FALSE)-I61))/24)*24)))/30)*(Tables!$K$5*100),(((Tables!$H$2/VLOOKUP(A61,Characters!$A$2:$F$1048576,5,FALSE))*(VLOOKUP(A61,Characters!$A$2:$F$1048576,5,FALSE)-H61))/6)*(Tables!$K$5*100))</f>
        <v>24</v>
      </c>
      <c r="K61" s="48">
        <f>VLOOKUP(E61,Tables!$E$1:$F$9,2,FALSE)+VLOOKUP(F61,Tables!$C:$D,2,FALSE)+VLOOKUP(G61,Tables!$A:$B,2,FALSE)+IFERROR((((((((Tables!$H$2/VLOOKUP(A61,Characters!$A$2:$F$1048576,5,FALSE))*(VLOOKUP(A61,Characters!$A$2:$F$1048576,5,FALSE)-H61))/6)*6)+((((Tables!$G$2/VLOOKUP(A61,Characters!$A$2:$F$1048576,6,FALSE))*(VLOOKUP(A61,Characters!$A$2:$F$1048576,6,FALSE)-I61))/24)*24)))/30)*(Tables!$K$5*100),(((Tables!$H$2/VLOOKUP(A61,Characters!$A$2:$F$1048576,5,FALSE))*(VLOOKUP(A61,Characters!$A$2:$F$1048576,5,FALSE)-H61))/6)*(Tables!$K$5*100))</f>
        <v>62.133866233937255</v>
      </c>
      <c r="L61" s="47"/>
      <c r="M61" s="49">
        <v>7513</v>
      </c>
      <c r="N61" s="50"/>
      <c r="Q61" s="71"/>
      <c r="R61" s="71"/>
      <c r="S61" s="71"/>
    </row>
    <row r="62" spans="1:19" x14ac:dyDescent="0.25">
      <c r="A62" s="12" t="s">
        <v>53</v>
      </c>
      <c r="B62" s="19" t="s">
        <v>29</v>
      </c>
      <c r="C62" s="12" t="s">
        <v>206</v>
      </c>
      <c r="D62" s="12" t="s">
        <v>383</v>
      </c>
      <c r="E62" s="47">
        <v>7</v>
      </c>
      <c r="F62" s="47">
        <v>85</v>
      </c>
      <c r="G62" s="47">
        <v>12</v>
      </c>
      <c r="H62" s="47">
        <v>0</v>
      </c>
      <c r="I62" s="47">
        <v>0</v>
      </c>
      <c r="J62" s="47">
        <f>IFERROR((((((((Tables!$H$2/VLOOKUP(A62,Characters!$A$2:$F$1048576,5,FALSE))*(VLOOKUP(A62,Characters!$A$2:$F$1048576,5,FALSE)-H62))/6)*6)+((((Tables!$G$2/VLOOKUP(A62,Characters!$A$2:$F$1048576,6,FALSE))*(VLOOKUP(A62,Characters!$A$2:$F$1048576,6,FALSE)-I62))/24)*24)))/30)*(Tables!$K$5*100),(((Tables!$H$2/VLOOKUP(A62,Characters!$A$2:$F$1048576,5,FALSE))*(VLOOKUP(A62,Characters!$A$2:$F$1048576,5,FALSE)-H62))/6)*(Tables!$K$5*100))</f>
        <v>30</v>
      </c>
      <c r="K62" s="48">
        <f>VLOOKUP(E62,Tables!$E$1:$F$9,2,FALSE)+VLOOKUP(F62,Tables!$C:$D,2,FALSE)+VLOOKUP(G62,Tables!$A:$B,2,FALSE)+IFERROR((((((((Tables!$H$2/VLOOKUP(A62,Characters!$A$2:$F$1048576,5,FALSE))*(VLOOKUP(A62,Characters!$A$2:$F$1048576,5,FALSE)-H62))/6)*6)+((((Tables!$G$2/VLOOKUP(A62,Characters!$A$2:$F$1048576,6,FALSE))*(VLOOKUP(A62,Characters!$A$2:$F$1048576,6,FALSE)-I62))/24)*24)))/30)*(Tables!$K$5*100),(((Tables!$H$2/VLOOKUP(A62,Characters!$A$2:$F$1048576,5,FALSE))*(VLOOKUP(A62,Characters!$A$2:$F$1048576,5,FALSE)-H62))/6)*(Tables!$K$5*100))</f>
        <v>100</v>
      </c>
      <c r="L62" s="47" t="s">
        <v>175</v>
      </c>
      <c r="M62" s="49">
        <v>17103</v>
      </c>
      <c r="N62" s="50"/>
      <c r="Q62" s="71"/>
      <c r="R62" s="71"/>
      <c r="S62" s="71"/>
    </row>
    <row r="63" spans="1:19" x14ac:dyDescent="0.25">
      <c r="A63" s="12" t="s">
        <v>61</v>
      </c>
      <c r="B63" s="19" t="s">
        <v>28</v>
      </c>
      <c r="C63" s="12" t="s">
        <v>10</v>
      </c>
      <c r="D63" s="12" t="s">
        <v>390</v>
      </c>
      <c r="E63" s="47">
        <v>7</v>
      </c>
      <c r="F63" s="47">
        <v>85</v>
      </c>
      <c r="G63" s="47">
        <v>12</v>
      </c>
      <c r="H63" s="47">
        <v>0</v>
      </c>
      <c r="I63" s="47">
        <v>0</v>
      </c>
      <c r="J63" s="47">
        <f>IFERROR((((((((Tables!$H$2/VLOOKUP(A63,Characters!$A$2:$F$1048576,5,FALSE))*(VLOOKUP(A63,Characters!$A$2:$F$1048576,5,FALSE)-H63))/6)*6)+((((Tables!$G$2/VLOOKUP(A63,Characters!$A$2:$F$1048576,6,FALSE))*(VLOOKUP(A63,Characters!$A$2:$F$1048576,6,FALSE)-I63))/24)*24)))/30)*(Tables!$K$5*100),(((Tables!$H$2/VLOOKUP(A63,Characters!$A$2:$F$1048576,5,FALSE))*(VLOOKUP(A63,Characters!$A$2:$F$1048576,5,FALSE)-H63))/6)*(Tables!$K$5*100))</f>
        <v>30</v>
      </c>
      <c r="K63" s="48">
        <f>VLOOKUP(E63,Tables!$E$1:$F$9,2,FALSE)+VLOOKUP(F63,Tables!$C:$D,2,FALSE)+VLOOKUP(G63,Tables!$A:$B,2,FALSE)+IFERROR((((((((Tables!$H$2/VLOOKUP(A63,Characters!$A$2:$F$1048576,5,FALSE))*(VLOOKUP(A63,Characters!$A$2:$F$1048576,5,FALSE)-H63))/6)*6)+((((Tables!$G$2/VLOOKUP(A63,Characters!$A$2:$F$1048576,6,FALSE))*(VLOOKUP(A63,Characters!$A$2:$F$1048576,6,FALSE)-I63))/24)*24)))/30)*(Tables!$K$5*100),(((Tables!$H$2/VLOOKUP(A63,Characters!$A$2:$F$1048576,5,FALSE))*(VLOOKUP(A63,Characters!$A$2:$F$1048576,5,FALSE)-H63))/6)*(Tables!$K$5*100))</f>
        <v>100</v>
      </c>
      <c r="L63" s="47" t="s">
        <v>175</v>
      </c>
      <c r="M63" s="49">
        <v>23484</v>
      </c>
      <c r="N63" s="50"/>
    </row>
    <row r="64" spans="1:19" x14ac:dyDescent="0.25">
      <c r="A64" s="12" t="s">
        <v>105</v>
      </c>
      <c r="B64" s="19" t="s">
        <v>28</v>
      </c>
      <c r="C64" s="12" t="s">
        <v>158</v>
      </c>
      <c r="D64" s="12"/>
      <c r="E64" s="47">
        <v>7</v>
      </c>
      <c r="F64" s="47">
        <v>20</v>
      </c>
      <c r="G64" s="47">
        <v>3</v>
      </c>
      <c r="H64" s="47">
        <v>3</v>
      </c>
      <c r="I64" s="47">
        <v>0</v>
      </c>
      <c r="J64" s="47">
        <f>IFERROR((((((((Tables!$H$2/VLOOKUP(A64,Characters!$A$2:$F$1048576,5,FALSE))*(VLOOKUP(A64,Characters!$A$2:$F$1048576,5,FALSE)-H64))/6)*6)+((((Tables!$G$2/VLOOKUP(A64,Characters!$A$2:$F$1048576,6,FALSE))*(VLOOKUP(A64,Characters!$A$2:$F$1048576,6,FALSE)-I64))/24)*24)))/30)*(Tables!$K$5*100),(((Tables!$H$2/VLOOKUP(A64,Characters!$A$2:$F$1048576,5,FALSE))*(VLOOKUP(A64,Characters!$A$2:$F$1048576,5,FALSE)-H64))/6)*(Tables!$K$5*100))</f>
        <v>0</v>
      </c>
      <c r="K64" s="48">
        <f>VLOOKUP(E64,Tables!$E$1:$F$9,2,FALSE)+VLOOKUP(F64,Tables!$C:$D,2,FALSE)+VLOOKUP(G64,Tables!$A:$B,2,FALSE)+IFERROR((((((((Tables!$H$2/VLOOKUP(A64,Characters!$A$2:$F$1048576,5,FALSE))*(VLOOKUP(A64,Characters!$A$2:$F$1048576,5,FALSE)-H64))/6)*6)+((((Tables!$G$2/VLOOKUP(A64,Characters!$A$2:$F$1048576,6,FALSE))*(VLOOKUP(A64,Characters!$A$2:$F$1048576,6,FALSE)-I64))/24)*24)))/30)*(Tables!$K$5*100),(((Tables!$H$2/VLOOKUP(A64,Characters!$A$2:$F$1048576,5,FALSE))*(VLOOKUP(A64,Characters!$A$2:$F$1048576,5,FALSE)-H64))/6)*(Tables!$K$5*100))</f>
        <v>33.31178130486586</v>
      </c>
      <c r="L64" s="47"/>
      <c r="M64" s="49">
        <v>5302</v>
      </c>
      <c r="N64" s="50"/>
    </row>
    <row r="65" spans="1:14" x14ac:dyDescent="0.25">
      <c r="A65" s="12" t="s">
        <v>106</v>
      </c>
      <c r="B65" s="19" t="s">
        <v>29</v>
      </c>
      <c r="C65" s="12" t="s">
        <v>207</v>
      </c>
      <c r="D65" s="12"/>
      <c r="E65" s="47">
        <v>7</v>
      </c>
      <c r="F65" s="47">
        <v>85</v>
      </c>
      <c r="G65" s="47">
        <v>9</v>
      </c>
      <c r="H65" s="47">
        <v>3</v>
      </c>
      <c r="I65" s="47">
        <v>1</v>
      </c>
      <c r="J65" s="47">
        <f>IFERROR((((((((Tables!$H$2/VLOOKUP(A65,Characters!$A$2:$F$1048576,5,FALSE))*(VLOOKUP(A65,Characters!$A$2:$F$1048576,5,FALSE)-H65))/6)*6)+((((Tables!$G$2/VLOOKUP(A65,Characters!$A$2:$F$1048576,6,FALSE))*(VLOOKUP(A65,Characters!$A$2:$F$1048576,6,FALSE)-I65))/24)*24)))/30)*(Tables!$K$5*100),(((Tables!$H$2/VLOOKUP(A65,Characters!$A$2:$F$1048576,5,FALSE))*(VLOOKUP(A65,Characters!$A$2:$F$1048576,5,FALSE)-H65))/6)*(Tables!$K$5*100))</f>
        <v>0</v>
      </c>
      <c r="K65" s="48">
        <f>VLOOKUP(E65,Tables!$E$1:$F$9,2,FALSE)+VLOOKUP(F65,Tables!$C:$D,2,FALSE)+VLOOKUP(G65,Tables!$A:$B,2,FALSE)+IFERROR((((((((Tables!$H$2/VLOOKUP(A65,Characters!$A$2:$F$1048576,5,FALSE))*(VLOOKUP(A65,Characters!$A$2:$F$1048576,5,FALSE)-H65))/6)*6)+((((Tables!$G$2/VLOOKUP(A65,Characters!$A$2:$F$1048576,6,FALSE))*(VLOOKUP(A65,Characters!$A$2:$F$1048576,6,FALSE)-I65))/24)*24)))/30)*(Tables!$K$5*100),(((Tables!$H$2/VLOOKUP(A65,Characters!$A$2:$F$1048576,5,FALSE))*(VLOOKUP(A65,Characters!$A$2:$F$1048576,5,FALSE)-H65))/6)*(Tables!$K$5*100))</f>
        <v>47.44140625</v>
      </c>
      <c r="L65" s="47" t="s">
        <v>360</v>
      </c>
      <c r="M65" s="49">
        <v>12363</v>
      </c>
      <c r="N65" s="50"/>
    </row>
    <row r="66" spans="1:14" x14ac:dyDescent="0.25">
      <c r="A66" s="12" t="s">
        <v>77</v>
      </c>
      <c r="B66" s="19" t="s">
        <v>28</v>
      </c>
      <c r="C66" s="12" t="s">
        <v>197</v>
      </c>
      <c r="D66" s="12" t="s">
        <v>376</v>
      </c>
      <c r="E66" s="47">
        <v>7</v>
      </c>
      <c r="F66" s="47">
        <v>85</v>
      </c>
      <c r="G66" s="47">
        <v>11</v>
      </c>
      <c r="H66" s="47">
        <v>0</v>
      </c>
      <c r="I66" s="47">
        <v>0</v>
      </c>
      <c r="J66" s="47">
        <f>IFERROR((((((((Tables!$H$2/VLOOKUP(A66,Characters!$A$2:$F$1048576,5,FALSE))*(VLOOKUP(A66,Characters!$A$2:$F$1048576,5,FALSE)-H66))/6)*6)+((((Tables!$G$2/VLOOKUP(A66,Characters!$A$2:$F$1048576,6,FALSE))*(VLOOKUP(A66,Characters!$A$2:$F$1048576,6,FALSE)-I66))/24)*24)))/30)*(Tables!$K$5*100),(((Tables!$H$2/VLOOKUP(A66,Characters!$A$2:$F$1048576,5,FALSE))*(VLOOKUP(A66,Characters!$A$2:$F$1048576,5,FALSE)-H66))/6)*(Tables!$K$5*100))</f>
        <v>30</v>
      </c>
      <c r="K66" s="48">
        <f>VLOOKUP(E66,Tables!$E$1:$F$9,2,FALSE)+VLOOKUP(F66,Tables!$C:$D,2,FALSE)+VLOOKUP(G66,Tables!$A:$B,2,FALSE)+IFERROR((((((((Tables!$H$2/VLOOKUP(A66,Characters!$A$2:$F$1048576,5,FALSE))*(VLOOKUP(A66,Characters!$A$2:$F$1048576,5,FALSE)-H66))/6)*6)+((((Tables!$G$2/VLOOKUP(A66,Characters!$A$2:$F$1048576,6,FALSE))*(VLOOKUP(A66,Characters!$A$2:$F$1048576,6,FALSE)-I66))/24)*24)))/30)*(Tables!$K$5*100),(((Tables!$H$2/VLOOKUP(A66,Characters!$A$2:$F$1048576,5,FALSE))*(VLOOKUP(A66,Characters!$A$2:$F$1048576,5,FALSE)-H66))/6)*(Tables!$K$5*100))</f>
        <v>90.300202546296305</v>
      </c>
      <c r="L66" s="47"/>
      <c r="M66" s="49">
        <v>16299</v>
      </c>
      <c r="N66" s="50"/>
    </row>
    <row r="67" spans="1:14" x14ac:dyDescent="0.25">
      <c r="A67" s="12" t="s">
        <v>78</v>
      </c>
      <c r="B67" s="19" t="s">
        <v>28</v>
      </c>
      <c r="C67" s="12" t="s">
        <v>197</v>
      </c>
      <c r="D67" s="12" t="s">
        <v>376</v>
      </c>
      <c r="E67" s="47">
        <v>7</v>
      </c>
      <c r="F67" s="47">
        <v>85</v>
      </c>
      <c r="G67" s="47">
        <v>11</v>
      </c>
      <c r="H67" s="47">
        <v>0</v>
      </c>
      <c r="I67" s="47">
        <v>0</v>
      </c>
      <c r="J67" s="47">
        <f>IFERROR((((((((Tables!$H$2/VLOOKUP(A67,Characters!$A$2:$F$1048576,5,FALSE))*(VLOOKUP(A67,Characters!$A$2:$F$1048576,5,FALSE)-H67))/6)*6)+((((Tables!$G$2/VLOOKUP(A67,Characters!$A$2:$F$1048576,6,FALSE))*(VLOOKUP(A67,Characters!$A$2:$F$1048576,6,FALSE)-I67))/24)*24)))/30)*(Tables!$K$5*100),(((Tables!$H$2/VLOOKUP(A67,Characters!$A$2:$F$1048576,5,FALSE))*(VLOOKUP(A67,Characters!$A$2:$F$1048576,5,FALSE)-H67))/6)*(Tables!$K$5*100))</f>
        <v>30</v>
      </c>
      <c r="K67" s="48">
        <f>VLOOKUP(E67,Tables!$E$1:$F$9,2,FALSE)+VLOOKUP(F67,Tables!$C:$D,2,FALSE)+VLOOKUP(G67,Tables!$A:$B,2,FALSE)+IFERROR((((((((Tables!$H$2/VLOOKUP(A67,Characters!$A$2:$F$1048576,5,FALSE))*(VLOOKUP(A67,Characters!$A$2:$F$1048576,5,FALSE)-H67))/6)*6)+((((Tables!$G$2/VLOOKUP(A67,Characters!$A$2:$F$1048576,6,FALSE))*(VLOOKUP(A67,Characters!$A$2:$F$1048576,6,FALSE)-I67))/24)*24)))/30)*(Tables!$K$5*100),(((Tables!$H$2/VLOOKUP(A67,Characters!$A$2:$F$1048576,5,FALSE))*(VLOOKUP(A67,Characters!$A$2:$F$1048576,5,FALSE)-H67))/6)*(Tables!$K$5*100))</f>
        <v>90.300202546296305</v>
      </c>
      <c r="L67" s="47"/>
      <c r="M67" s="49">
        <v>16299</v>
      </c>
      <c r="N67" s="50"/>
    </row>
    <row r="68" spans="1:14" x14ac:dyDescent="0.25">
      <c r="A68" s="12" t="s">
        <v>79</v>
      </c>
      <c r="B68" s="19" t="s">
        <v>28</v>
      </c>
      <c r="C68" s="12" t="s">
        <v>197</v>
      </c>
      <c r="D68" s="12" t="s">
        <v>376</v>
      </c>
      <c r="E68" s="47">
        <v>7</v>
      </c>
      <c r="F68" s="47">
        <v>85</v>
      </c>
      <c r="G68" s="47">
        <v>12</v>
      </c>
      <c r="H68" s="47">
        <v>0</v>
      </c>
      <c r="I68" s="47">
        <v>0</v>
      </c>
      <c r="J68" s="47">
        <f>IFERROR((((((((Tables!$H$2/VLOOKUP(A68,Characters!$A$2:$F$1048576,5,FALSE))*(VLOOKUP(A68,Characters!$A$2:$F$1048576,5,FALSE)-H68))/6)*6)+((((Tables!$G$2/VLOOKUP(A68,Characters!$A$2:$F$1048576,6,FALSE))*(VLOOKUP(A68,Characters!$A$2:$F$1048576,6,FALSE)-I68))/24)*24)))/30)*(Tables!$K$5*100),(((Tables!$H$2/VLOOKUP(A68,Characters!$A$2:$F$1048576,5,FALSE))*(VLOOKUP(A68,Characters!$A$2:$F$1048576,5,FALSE)-H68))/6)*(Tables!$K$5*100))</f>
        <v>30</v>
      </c>
      <c r="K68" s="48">
        <f>VLOOKUP(E68,Tables!$E$1:$F$9,2,FALSE)+VLOOKUP(F68,Tables!$C:$D,2,FALSE)+VLOOKUP(G68,Tables!$A:$B,2,FALSE)+IFERROR((((((((Tables!$H$2/VLOOKUP(A68,Characters!$A$2:$F$1048576,5,FALSE))*(VLOOKUP(A68,Characters!$A$2:$F$1048576,5,FALSE)-H68))/6)*6)+((((Tables!$G$2/VLOOKUP(A68,Characters!$A$2:$F$1048576,6,FALSE))*(VLOOKUP(A68,Characters!$A$2:$F$1048576,6,FALSE)-I68))/24)*24)))/30)*(Tables!$K$5*100),(((Tables!$H$2/VLOOKUP(A68,Characters!$A$2:$F$1048576,5,FALSE))*(VLOOKUP(A68,Characters!$A$2:$F$1048576,5,FALSE)-H68))/6)*(Tables!$K$5*100))</f>
        <v>100</v>
      </c>
      <c r="L68" s="47" t="s">
        <v>175</v>
      </c>
      <c r="M68" s="49">
        <v>17103</v>
      </c>
      <c r="N68" s="50"/>
    </row>
    <row r="69" spans="1:14" x14ac:dyDescent="0.25">
      <c r="A69" s="12" t="s">
        <v>69</v>
      </c>
      <c r="B69" s="19" t="s">
        <v>29</v>
      </c>
      <c r="C69" s="12" t="s">
        <v>22</v>
      </c>
      <c r="D69" s="12" t="s">
        <v>374</v>
      </c>
      <c r="E69" s="47">
        <v>7</v>
      </c>
      <c r="F69" s="47">
        <v>85</v>
      </c>
      <c r="G69" s="47">
        <v>11</v>
      </c>
      <c r="H69" s="47">
        <v>0</v>
      </c>
      <c r="I69" s="47">
        <v>0</v>
      </c>
      <c r="J69" s="47">
        <f>IFERROR((((((((Tables!$H$2/VLOOKUP(A69,Characters!$A$2:$F$1048576,5,FALSE))*(VLOOKUP(A69,Characters!$A$2:$F$1048576,5,FALSE)-H69))/6)*6)+((((Tables!$G$2/VLOOKUP(A69,Characters!$A$2:$F$1048576,6,FALSE))*(VLOOKUP(A69,Characters!$A$2:$F$1048576,6,FALSE)-I69))/24)*24)))/30)*(Tables!$K$5*100),(((Tables!$H$2/VLOOKUP(A69,Characters!$A$2:$F$1048576,5,FALSE))*(VLOOKUP(A69,Characters!$A$2:$F$1048576,5,FALSE)-H69))/6)*(Tables!$K$5*100))</f>
        <v>30</v>
      </c>
      <c r="K69" s="48">
        <f>VLOOKUP(E69,Tables!$E$1:$F$9,2,FALSE)+VLOOKUP(F69,Tables!$C:$D,2,FALSE)+VLOOKUP(G69,Tables!$A:$B,2,FALSE)+IFERROR((((((((Tables!$H$2/VLOOKUP(A69,Characters!$A$2:$F$1048576,5,FALSE))*(VLOOKUP(A69,Characters!$A$2:$F$1048576,5,FALSE)-H69))/6)*6)+((((Tables!$G$2/VLOOKUP(A69,Characters!$A$2:$F$1048576,6,FALSE))*(VLOOKUP(A69,Characters!$A$2:$F$1048576,6,FALSE)-I69))/24)*24)))/30)*(Tables!$K$5*100),(((Tables!$H$2/VLOOKUP(A69,Characters!$A$2:$F$1048576,5,FALSE))*(VLOOKUP(A69,Characters!$A$2:$F$1048576,5,FALSE)-H69))/6)*(Tables!$K$5*100))</f>
        <v>90.300202546296305</v>
      </c>
      <c r="L69" s="47" t="s">
        <v>360</v>
      </c>
      <c r="M69" s="49">
        <v>18111</v>
      </c>
      <c r="N69" s="50"/>
    </row>
    <row r="70" spans="1:14" x14ac:dyDescent="0.25">
      <c r="A70" s="12" t="s">
        <v>107</v>
      </c>
      <c r="B70" s="19" t="s">
        <v>29</v>
      </c>
      <c r="C70" s="12" t="s">
        <v>22</v>
      </c>
      <c r="D70" s="12" t="s">
        <v>373</v>
      </c>
      <c r="E70" s="47">
        <v>7</v>
      </c>
      <c r="F70" s="47">
        <v>85</v>
      </c>
      <c r="G70" s="47">
        <v>12</v>
      </c>
      <c r="H70" s="47">
        <v>0</v>
      </c>
      <c r="I70" s="47">
        <v>0</v>
      </c>
      <c r="J70" s="47">
        <f>IFERROR((((((((Tables!$H$2/VLOOKUP(A70,Characters!$A$2:$F$1048576,5,FALSE))*(VLOOKUP(A70,Characters!$A$2:$F$1048576,5,FALSE)-H70))/6)*6)+((((Tables!$G$2/VLOOKUP(A70,Characters!$A$2:$F$1048576,6,FALSE))*(VLOOKUP(A70,Characters!$A$2:$F$1048576,6,FALSE)-I70))/24)*24)))/30)*(Tables!$K$5*100),(((Tables!$H$2/VLOOKUP(A70,Characters!$A$2:$F$1048576,5,FALSE))*(VLOOKUP(A70,Characters!$A$2:$F$1048576,5,FALSE)-H70))/6)*(Tables!$K$5*100))</f>
        <v>30</v>
      </c>
      <c r="K70" s="48">
        <f>VLOOKUP(E70,Tables!$E$1:$F$9,2,FALSE)+VLOOKUP(F70,Tables!$C:$D,2,FALSE)+VLOOKUP(G70,Tables!$A:$B,2,FALSE)+IFERROR((((((((Tables!$H$2/VLOOKUP(A70,Characters!$A$2:$F$1048576,5,FALSE))*(VLOOKUP(A70,Characters!$A$2:$F$1048576,5,FALSE)-H70))/6)*6)+((((Tables!$G$2/VLOOKUP(A70,Characters!$A$2:$F$1048576,6,FALSE))*(VLOOKUP(A70,Characters!$A$2:$F$1048576,6,FALSE)-I70))/24)*24)))/30)*(Tables!$K$5*100),(((Tables!$H$2/VLOOKUP(A70,Characters!$A$2:$F$1048576,5,FALSE))*(VLOOKUP(A70,Characters!$A$2:$F$1048576,5,FALSE)-H70))/6)*(Tables!$K$5*100))</f>
        <v>100</v>
      </c>
      <c r="L70" s="47" t="s">
        <v>175</v>
      </c>
      <c r="M70" s="49">
        <v>20083</v>
      </c>
      <c r="N70" s="50"/>
    </row>
    <row r="71" spans="1:14" x14ac:dyDescent="0.25">
      <c r="A71" s="12" t="s">
        <v>70</v>
      </c>
      <c r="B71" s="19" t="s">
        <v>29</v>
      </c>
      <c r="C71" s="12" t="s">
        <v>22</v>
      </c>
      <c r="D71" s="12"/>
      <c r="E71" s="47">
        <v>7</v>
      </c>
      <c r="F71" s="47">
        <v>85</v>
      </c>
      <c r="G71" s="47">
        <v>11</v>
      </c>
      <c r="H71" s="47">
        <v>1</v>
      </c>
      <c r="I71" s="47">
        <v>0</v>
      </c>
      <c r="J71" s="47">
        <f>IFERROR((((((((Tables!$H$2/VLOOKUP(A71,Characters!$A$2:$F$1048576,5,FALSE))*(VLOOKUP(A71,Characters!$A$2:$F$1048576,5,FALSE)-H71))/6)*6)+((((Tables!$G$2/VLOOKUP(A71,Characters!$A$2:$F$1048576,6,FALSE))*(VLOOKUP(A71,Characters!$A$2:$F$1048576,6,FALSE)-I71))/24)*24)))/30)*(Tables!$K$5*100),(((Tables!$H$2/VLOOKUP(A71,Characters!$A$2:$F$1048576,5,FALSE))*(VLOOKUP(A71,Characters!$A$2:$F$1048576,5,FALSE)-H71))/6)*(Tables!$K$5*100))</f>
        <v>28</v>
      </c>
      <c r="K71" s="48">
        <f>VLOOKUP(E71,Tables!$E$1:$F$9,2,FALSE)+VLOOKUP(F71,Tables!$C:$D,2,FALSE)+VLOOKUP(G71,Tables!$A:$B,2,FALSE)+IFERROR((((((((Tables!$H$2/VLOOKUP(A71,Characters!$A$2:$F$1048576,5,FALSE))*(VLOOKUP(A71,Characters!$A$2:$F$1048576,5,FALSE)-H71))/6)*6)+((((Tables!$G$2/VLOOKUP(A71,Characters!$A$2:$F$1048576,6,FALSE))*(VLOOKUP(A71,Characters!$A$2:$F$1048576,6,FALSE)-I71))/24)*24)))/30)*(Tables!$K$5*100),(((Tables!$H$2/VLOOKUP(A71,Characters!$A$2:$F$1048576,5,FALSE))*(VLOOKUP(A71,Characters!$A$2:$F$1048576,5,FALSE)-H71))/6)*(Tables!$K$5*100))</f>
        <v>88.300202546296305</v>
      </c>
      <c r="L71" s="47"/>
      <c r="M71" s="49">
        <v>15693</v>
      </c>
      <c r="N71" s="50"/>
    </row>
    <row r="72" spans="1:14" x14ac:dyDescent="0.25">
      <c r="A72" s="12" t="s">
        <v>193</v>
      </c>
      <c r="B72" s="19" t="s">
        <v>29</v>
      </c>
      <c r="C72" s="12" t="s">
        <v>22</v>
      </c>
      <c r="D72" s="12" t="s">
        <v>373</v>
      </c>
      <c r="E72" s="47">
        <v>4</v>
      </c>
      <c r="F72" s="47">
        <v>85</v>
      </c>
      <c r="G72" s="47">
        <v>11</v>
      </c>
      <c r="H72" s="47">
        <v>0</v>
      </c>
      <c r="I72" s="47">
        <v>0</v>
      </c>
      <c r="J72" s="47">
        <f>IFERROR((((((((Tables!$H$2/VLOOKUP(A72,Characters!$A$2:$F$1048576,5,FALSE))*(VLOOKUP(A72,Characters!$A$2:$F$1048576,5,FALSE)-H72))/6)*6)+((((Tables!$G$2/VLOOKUP(A72,Characters!$A$2:$F$1048576,6,FALSE))*(VLOOKUP(A72,Characters!$A$2:$F$1048576,6,FALSE)-I72))/24)*24)))/30)*(Tables!$K$5*100),(((Tables!$H$2/VLOOKUP(A72,Characters!$A$2:$F$1048576,5,FALSE))*(VLOOKUP(A72,Characters!$A$2:$F$1048576,5,FALSE)-H72))/6)*(Tables!$K$5*100))</f>
        <v>30</v>
      </c>
      <c r="K72" s="48">
        <f>VLOOKUP(E72,Tables!$E$1:$F$9,2,FALSE)+VLOOKUP(F72,Tables!$C:$D,2,FALSE)+VLOOKUP(G72,Tables!$A:$B,2,FALSE)+IFERROR((((((((Tables!$H$2/VLOOKUP(A72,Characters!$A$2:$F$1048576,5,FALSE))*(VLOOKUP(A72,Characters!$A$2:$F$1048576,5,FALSE)-H72))/6)*6)+((((Tables!$G$2/VLOOKUP(A72,Characters!$A$2:$F$1048576,6,FALSE))*(VLOOKUP(A72,Characters!$A$2:$F$1048576,6,FALSE)-I72))/24)*24)))/30)*(Tables!$K$5*100),(((Tables!$H$2/VLOOKUP(A72,Characters!$A$2:$F$1048576,5,FALSE))*(VLOOKUP(A72,Characters!$A$2:$F$1048576,5,FALSE)-H72))/6)*(Tables!$K$5*100))</f>
        <v>75.526229763985441</v>
      </c>
      <c r="L72" s="47" t="s">
        <v>360</v>
      </c>
      <c r="M72" s="49">
        <v>15649</v>
      </c>
      <c r="N72" s="50"/>
    </row>
    <row r="73" spans="1:14" x14ac:dyDescent="0.25">
      <c r="A73" s="12" t="s">
        <v>194</v>
      </c>
      <c r="B73" s="19" t="s">
        <v>29</v>
      </c>
      <c r="C73" s="12" t="s">
        <v>22</v>
      </c>
      <c r="D73" s="12" t="s">
        <v>373</v>
      </c>
      <c r="E73" s="47">
        <v>0</v>
      </c>
      <c r="F73" s="47">
        <v>0</v>
      </c>
      <c r="G73" s="47">
        <v>0</v>
      </c>
      <c r="H73" s="47">
        <v>3</v>
      </c>
      <c r="I73" s="47">
        <v>2</v>
      </c>
      <c r="J73" s="47">
        <f>IFERROR((((((((Tables!$H$2/VLOOKUP(A73,Characters!$A$2:$F$1048576,5,FALSE))*(VLOOKUP(A73,Characters!$A$2:$F$1048576,5,FALSE)-H73))/6)*6)+((((Tables!$G$2/VLOOKUP(A73,Characters!$A$2:$F$1048576,6,FALSE))*(VLOOKUP(A73,Characters!$A$2:$F$1048576,6,FALSE)-I73))/24)*24)))/30)*(Tables!$K$5*100),(((Tables!$H$2/VLOOKUP(A73,Characters!$A$2:$F$1048576,5,FALSE))*(VLOOKUP(A73,Characters!$A$2:$F$1048576,5,FALSE)-H73))/6)*(Tables!$K$5*100))</f>
        <v>0</v>
      </c>
      <c r="K73" s="48">
        <f>VLOOKUP(E73,Tables!$E$1:$F$9,2,FALSE)+VLOOKUP(F73,Tables!$C:$D,2,FALSE)+VLOOKUP(G73,Tables!$A:$B,2,FALSE)+IFERROR((((((((Tables!$H$2/VLOOKUP(A73,Characters!$A$2:$F$1048576,5,FALSE))*(VLOOKUP(A73,Characters!$A$2:$F$1048576,5,FALSE)-H73))/6)*6)+((((Tables!$G$2/VLOOKUP(A73,Characters!$A$2:$F$1048576,6,FALSE))*(VLOOKUP(A73,Characters!$A$2:$F$1048576,6,FALSE)-I73))/24)*24)))/30)*(Tables!$K$5*100),(((Tables!$H$2/VLOOKUP(A73,Characters!$A$2:$F$1048576,5,FALSE))*(VLOOKUP(A73,Characters!$A$2:$F$1048576,5,FALSE)-H73))/6)*(Tables!$K$5*100))</f>
        <v>0</v>
      </c>
      <c r="L73" s="47" t="s">
        <v>223</v>
      </c>
      <c r="M73" s="49">
        <v>0</v>
      </c>
      <c r="N73" s="50"/>
    </row>
    <row r="74" spans="1:14" x14ac:dyDescent="0.25">
      <c r="A74" s="12" t="s">
        <v>40</v>
      </c>
      <c r="B74" s="19" t="s">
        <v>29</v>
      </c>
      <c r="C74" s="12" t="s">
        <v>208</v>
      </c>
      <c r="D74" s="12" t="s">
        <v>380</v>
      </c>
      <c r="E74" s="47">
        <v>7</v>
      </c>
      <c r="F74" s="47">
        <v>85</v>
      </c>
      <c r="G74" s="47">
        <v>12</v>
      </c>
      <c r="H74" s="47">
        <v>0</v>
      </c>
      <c r="I74" s="47">
        <v>0</v>
      </c>
      <c r="J74" s="47">
        <f>IFERROR((((((((Tables!$H$2/VLOOKUP(A74,Characters!$A$2:$F$1048576,5,FALSE))*(VLOOKUP(A74,Characters!$A$2:$F$1048576,5,FALSE)-H74))/6)*6)+((((Tables!$G$2/VLOOKUP(A74,Characters!$A$2:$F$1048576,6,FALSE))*(VLOOKUP(A74,Characters!$A$2:$F$1048576,6,FALSE)-I74))/24)*24)))/30)*(Tables!$K$5*100),(((Tables!$H$2/VLOOKUP(A74,Characters!$A$2:$F$1048576,5,FALSE))*(VLOOKUP(A74,Characters!$A$2:$F$1048576,5,FALSE)-H74))/6)*(Tables!$K$5*100))</f>
        <v>30</v>
      </c>
      <c r="K74" s="48">
        <f>VLOOKUP(E74,Tables!$E$1:$F$9,2,FALSE)+VLOOKUP(F74,Tables!$C:$D,2,FALSE)+VLOOKUP(G74,Tables!$A:$B,2,FALSE)+IFERROR((((((((Tables!$H$2/VLOOKUP(A74,Characters!$A$2:$F$1048576,5,FALSE))*(VLOOKUP(A74,Characters!$A$2:$F$1048576,5,FALSE)-H74))/6)*6)+((((Tables!$G$2/VLOOKUP(A74,Characters!$A$2:$F$1048576,6,FALSE))*(VLOOKUP(A74,Characters!$A$2:$F$1048576,6,FALSE)-I74))/24)*24)))/30)*(Tables!$K$5*100),(((Tables!$H$2/VLOOKUP(A74,Characters!$A$2:$F$1048576,5,FALSE))*(VLOOKUP(A74,Characters!$A$2:$F$1048576,5,FALSE)-H74))/6)*(Tables!$K$5*100))</f>
        <v>100</v>
      </c>
      <c r="L74" s="47" t="s">
        <v>175</v>
      </c>
      <c r="M74" s="49">
        <v>22279</v>
      </c>
      <c r="N74" s="50"/>
    </row>
    <row r="75" spans="1:14" x14ac:dyDescent="0.25">
      <c r="A75" s="12" t="s">
        <v>80</v>
      </c>
      <c r="B75" s="19" t="s">
        <v>28</v>
      </c>
      <c r="C75" s="12" t="s">
        <v>83</v>
      </c>
      <c r="D75" s="12" t="s">
        <v>384</v>
      </c>
      <c r="E75" s="47">
        <v>7</v>
      </c>
      <c r="F75" s="47">
        <v>85</v>
      </c>
      <c r="G75" s="47">
        <v>10</v>
      </c>
      <c r="H75" s="47">
        <v>0</v>
      </c>
      <c r="I75" s="47">
        <v>0</v>
      </c>
      <c r="J75" s="47">
        <f>IFERROR((((((((Tables!$H$2/VLOOKUP(A75,Characters!$A$2:$F$1048576,5,FALSE))*(VLOOKUP(A75,Characters!$A$2:$F$1048576,5,FALSE)-H75))/6)*6)+((((Tables!$G$2/VLOOKUP(A75,Characters!$A$2:$F$1048576,6,FALSE))*(VLOOKUP(A75,Characters!$A$2:$F$1048576,6,FALSE)-I75))/24)*24)))/30)*(Tables!$K$5*100),(((Tables!$H$2/VLOOKUP(A75,Characters!$A$2:$F$1048576,5,FALSE))*(VLOOKUP(A75,Characters!$A$2:$F$1048576,5,FALSE)-H75))/6)*(Tables!$K$5*100))</f>
        <v>30</v>
      </c>
      <c r="K75" s="48">
        <f>VLOOKUP(E75,Tables!$E$1:$F$9,2,FALSE)+VLOOKUP(F75,Tables!$C:$D,2,FALSE)+VLOOKUP(G75,Tables!$A:$B,2,FALSE)+IFERROR((((((((Tables!$H$2/VLOOKUP(A75,Characters!$A$2:$F$1048576,5,FALSE))*(VLOOKUP(A75,Characters!$A$2:$F$1048576,5,FALSE)-H75))/6)*6)+((((Tables!$G$2/VLOOKUP(A75,Characters!$A$2:$F$1048576,6,FALSE))*(VLOOKUP(A75,Characters!$A$2:$F$1048576,6,FALSE)-I75))/24)*24)))/30)*(Tables!$K$5*100),(((Tables!$H$2/VLOOKUP(A75,Characters!$A$2:$F$1048576,5,FALSE))*(VLOOKUP(A75,Characters!$A$2:$F$1048576,5,FALSE)-H75))/6)*(Tables!$K$5*100))</f>
        <v>82.914351851851848</v>
      </c>
      <c r="L75" s="47"/>
      <c r="M75" s="49">
        <v>15141</v>
      </c>
      <c r="N75" s="50"/>
    </row>
    <row r="76" spans="1:14" x14ac:dyDescent="0.25">
      <c r="A76" s="12" t="s">
        <v>50</v>
      </c>
      <c r="B76" s="19" t="s">
        <v>29</v>
      </c>
      <c r="C76" s="12" t="s">
        <v>206</v>
      </c>
      <c r="D76" s="12" t="s">
        <v>382</v>
      </c>
      <c r="E76" s="47">
        <v>7</v>
      </c>
      <c r="F76" s="47">
        <v>85</v>
      </c>
      <c r="G76" s="47">
        <v>11</v>
      </c>
      <c r="H76" s="47">
        <v>0</v>
      </c>
      <c r="I76" s="47">
        <v>0</v>
      </c>
      <c r="J76" s="47">
        <f>IFERROR((((((((Tables!$H$2/VLOOKUP(A76,Characters!$A$2:$F$1048576,5,FALSE))*(VLOOKUP(A76,Characters!$A$2:$F$1048576,5,FALSE)-H76))/6)*6)+((((Tables!$G$2/VLOOKUP(A76,Characters!$A$2:$F$1048576,6,FALSE))*(VLOOKUP(A76,Characters!$A$2:$F$1048576,6,FALSE)-I76))/24)*24)))/30)*(Tables!$K$5*100),(((Tables!$H$2/VLOOKUP(A76,Characters!$A$2:$F$1048576,5,FALSE))*(VLOOKUP(A76,Characters!$A$2:$F$1048576,5,FALSE)-H76))/6)*(Tables!$K$5*100))</f>
        <v>30</v>
      </c>
      <c r="K76" s="48">
        <f>VLOOKUP(E76,Tables!$E$1:$F$9,2,FALSE)+VLOOKUP(F76,Tables!$C:$D,2,FALSE)+VLOOKUP(G76,Tables!$A:$B,2,FALSE)+IFERROR((((((((Tables!$H$2/VLOOKUP(A76,Characters!$A$2:$F$1048576,5,FALSE))*(VLOOKUP(A76,Characters!$A$2:$F$1048576,5,FALSE)-H76))/6)*6)+((((Tables!$G$2/VLOOKUP(A76,Characters!$A$2:$F$1048576,6,FALSE))*(VLOOKUP(A76,Characters!$A$2:$F$1048576,6,FALSE)-I76))/24)*24)))/30)*(Tables!$K$5*100),(((Tables!$H$2/VLOOKUP(A76,Characters!$A$2:$F$1048576,5,FALSE))*(VLOOKUP(A76,Characters!$A$2:$F$1048576,5,FALSE)-H76))/6)*(Tables!$K$5*100))</f>
        <v>90.300202546296305</v>
      </c>
      <c r="L76" s="47"/>
      <c r="M76" s="49">
        <v>16101</v>
      </c>
      <c r="N76" s="50"/>
    </row>
    <row r="77" spans="1:14" x14ac:dyDescent="0.25">
      <c r="A77" s="12" t="s">
        <v>17</v>
      </c>
      <c r="B77" s="19" t="s">
        <v>29</v>
      </c>
      <c r="C77" s="12" t="s">
        <v>196</v>
      </c>
      <c r="D77" s="12" t="s">
        <v>375</v>
      </c>
      <c r="E77" s="47">
        <v>7</v>
      </c>
      <c r="F77" s="47">
        <v>85</v>
      </c>
      <c r="G77" s="47">
        <v>11</v>
      </c>
      <c r="H77" s="47">
        <v>0</v>
      </c>
      <c r="I77" s="47">
        <v>1</v>
      </c>
      <c r="J77" s="47">
        <f>IFERROR((((((((Tables!$H$2/VLOOKUP(A77,Characters!$A$2:$F$1048576,5,FALSE))*(VLOOKUP(A77,Characters!$A$2:$F$1048576,5,FALSE)-H77))/6)*6)+((((Tables!$G$2/VLOOKUP(A77,Characters!$A$2:$F$1048576,6,FALSE))*(VLOOKUP(A77,Characters!$A$2:$F$1048576,6,FALSE)-I77))/24)*24)))/30)*(Tables!$K$5*100),(((Tables!$H$2/VLOOKUP(A77,Characters!$A$2:$F$1048576,5,FALSE))*(VLOOKUP(A77,Characters!$A$2:$F$1048576,5,FALSE)-H77))/6)*(Tables!$K$5*100))</f>
        <v>6</v>
      </c>
      <c r="K77" s="48">
        <f>VLOOKUP(E77,Tables!$E$1:$F$9,2,FALSE)+VLOOKUP(F77,Tables!$C:$D,2,FALSE)+VLOOKUP(G77,Tables!$A:$B,2,FALSE)+IFERROR((((((((Tables!$H$2/VLOOKUP(A77,Characters!$A$2:$F$1048576,5,FALSE))*(VLOOKUP(A77,Characters!$A$2:$F$1048576,5,FALSE)-H77))/6)*6)+((((Tables!$G$2/VLOOKUP(A77,Characters!$A$2:$F$1048576,6,FALSE))*(VLOOKUP(A77,Characters!$A$2:$F$1048576,6,FALSE)-I77))/24)*24)))/30)*(Tables!$K$5*100),(((Tables!$H$2/VLOOKUP(A77,Characters!$A$2:$F$1048576,5,FALSE))*(VLOOKUP(A77,Characters!$A$2:$F$1048576,5,FALSE)-H77))/6)*(Tables!$K$5*100))</f>
        <v>66.300202546296305</v>
      </c>
      <c r="L77" s="47" t="s">
        <v>360</v>
      </c>
      <c r="M77" s="49">
        <v>17670</v>
      </c>
      <c r="N77" s="50"/>
    </row>
    <row r="78" spans="1:14" x14ac:dyDescent="0.25">
      <c r="A78" s="12" t="s">
        <v>108</v>
      </c>
      <c r="B78" s="19" t="s">
        <v>29</v>
      </c>
      <c r="C78" s="12" t="s">
        <v>20</v>
      </c>
      <c r="D78" s="12"/>
      <c r="E78" s="47">
        <v>5</v>
      </c>
      <c r="F78" s="47">
        <v>85</v>
      </c>
      <c r="G78" s="47">
        <v>8</v>
      </c>
      <c r="H78" s="47">
        <v>4</v>
      </c>
      <c r="I78" s="47">
        <v>1</v>
      </c>
      <c r="J78" s="47">
        <f>IFERROR((((((((Tables!$H$2/VLOOKUP(A78,Characters!$A$2:$F$1048576,5,FALSE))*(VLOOKUP(A78,Characters!$A$2:$F$1048576,5,FALSE)-H78))/6)*6)+((((Tables!$G$2/VLOOKUP(A78,Characters!$A$2:$F$1048576,6,FALSE))*(VLOOKUP(A78,Characters!$A$2:$F$1048576,6,FALSE)-I78))/24)*24)))/30)*(Tables!$K$5*100),(((Tables!$H$2/VLOOKUP(A78,Characters!$A$2:$F$1048576,5,FALSE))*(VLOOKUP(A78,Characters!$A$2:$F$1048576,5,FALSE)-H78))/6)*(Tables!$K$5*100))</f>
        <v>0</v>
      </c>
      <c r="K78" s="48">
        <f>VLOOKUP(E78,Tables!$E$1:$F$9,2,FALSE)+VLOOKUP(F78,Tables!$C:$D,2,FALSE)+VLOOKUP(G78,Tables!$A:$B,2,FALSE)+IFERROR((((((((Tables!$H$2/VLOOKUP(A78,Characters!$A$2:$F$1048576,5,FALSE))*(VLOOKUP(A78,Characters!$A$2:$F$1048576,5,FALSE)-H78))/6)*6)+((((Tables!$G$2/VLOOKUP(A78,Characters!$A$2:$F$1048576,6,FALSE))*(VLOOKUP(A78,Characters!$A$2:$F$1048576,6,FALSE)-I78))/24)*24)))/30)*(Tables!$K$5*100),(((Tables!$H$2/VLOOKUP(A78,Characters!$A$2:$F$1048576,5,FALSE))*(VLOOKUP(A78,Characters!$A$2:$F$1048576,5,FALSE)-H78))/6)*(Tables!$K$5*100))</f>
        <v>34.040729274790593</v>
      </c>
      <c r="L78" s="47"/>
      <c r="M78" s="49">
        <v>9153</v>
      </c>
      <c r="N78" s="50"/>
    </row>
    <row r="79" spans="1:14" x14ac:dyDescent="0.25">
      <c r="A79" s="12" t="s">
        <v>109</v>
      </c>
      <c r="B79" s="19" t="s">
        <v>28</v>
      </c>
      <c r="C79" s="12" t="s">
        <v>200</v>
      </c>
      <c r="D79" s="12"/>
      <c r="E79" s="47">
        <v>7</v>
      </c>
      <c r="F79" s="47">
        <v>70</v>
      </c>
      <c r="G79" s="47">
        <v>8</v>
      </c>
      <c r="H79" s="47">
        <v>4</v>
      </c>
      <c r="I79" s="47">
        <v>0</v>
      </c>
      <c r="J79" s="47">
        <f>IFERROR((((((((Tables!$H$2/VLOOKUP(A79,Characters!$A$2:$F$1048576,5,FALSE))*(VLOOKUP(A79,Characters!$A$2:$F$1048576,5,FALSE)-H79))/6)*6)+((((Tables!$G$2/VLOOKUP(A79,Characters!$A$2:$F$1048576,6,FALSE))*(VLOOKUP(A79,Characters!$A$2:$F$1048576,6,FALSE)-I79))/24)*24)))/30)*(Tables!$K$5*100),(((Tables!$H$2/VLOOKUP(A79,Characters!$A$2:$F$1048576,5,FALSE))*(VLOOKUP(A79,Characters!$A$2:$F$1048576,5,FALSE)-H79))/6)*(Tables!$K$5*100))</f>
        <v>0</v>
      </c>
      <c r="K79" s="48">
        <f>VLOOKUP(E79,Tables!$E$1:$F$9,2,FALSE)+VLOOKUP(F79,Tables!$C:$D,2,FALSE)+VLOOKUP(G79,Tables!$A:$B,2,FALSE)+IFERROR((((((((Tables!$H$2/VLOOKUP(A79,Characters!$A$2:$F$1048576,5,FALSE))*(VLOOKUP(A79,Characters!$A$2:$F$1048576,5,FALSE)-H79))/6)*6)+((((Tables!$G$2/VLOOKUP(A79,Characters!$A$2:$F$1048576,6,FALSE))*(VLOOKUP(A79,Characters!$A$2:$F$1048576,6,FALSE)-I79))/24)*24)))/30)*(Tables!$K$5*100),(((Tables!$H$2/VLOOKUP(A79,Characters!$A$2:$F$1048576,5,FALSE))*(VLOOKUP(A79,Characters!$A$2:$F$1048576,5,FALSE)-H79))/6)*(Tables!$K$5*100))</f>
        <v>42.920049720147851</v>
      </c>
      <c r="L79" s="47"/>
      <c r="M79" s="49">
        <v>10732</v>
      </c>
      <c r="N79" s="50"/>
    </row>
    <row r="80" spans="1:14" x14ac:dyDescent="0.25">
      <c r="A80" s="12" t="s">
        <v>43</v>
      </c>
      <c r="B80" s="19" t="s">
        <v>29</v>
      </c>
      <c r="C80" s="12" t="s">
        <v>208</v>
      </c>
      <c r="D80" s="12" t="s">
        <v>380</v>
      </c>
      <c r="E80" s="47">
        <v>7</v>
      </c>
      <c r="F80" s="47">
        <v>85</v>
      </c>
      <c r="G80" s="47">
        <v>12</v>
      </c>
      <c r="H80" s="47">
        <v>0</v>
      </c>
      <c r="I80" s="47">
        <v>0</v>
      </c>
      <c r="J80" s="47">
        <f>IFERROR((((((((Tables!$H$2/VLOOKUP(A80,Characters!$A$2:$F$1048576,5,FALSE))*(VLOOKUP(A80,Characters!$A$2:$F$1048576,5,FALSE)-H80))/6)*6)+((((Tables!$G$2/VLOOKUP(A80,Characters!$A$2:$F$1048576,6,FALSE))*(VLOOKUP(A80,Characters!$A$2:$F$1048576,6,FALSE)-I80))/24)*24)))/30)*(Tables!$K$5*100),(((Tables!$H$2/VLOOKUP(A80,Characters!$A$2:$F$1048576,5,FALSE))*(VLOOKUP(A80,Characters!$A$2:$F$1048576,5,FALSE)-H80))/6)*(Tables!$K$5*100))</f>
        <v>30</v>
      </c>
      <c r="K80" s="48">
        <f>VLOOKUP(E80,Tables!$E$1:$F$9,2,FALSE)+VLOOKUP(F80,Tables!$C:$D,2,FALSE)+VLOOKUP(G80,Tables!$A:$B,2,FALSE)+IFERROR((((((((Tables!$H$2/VLOOKUP(A80,Characters!$A$2:$F$1048576,5,FALSE))*(VLOOKUP(A80,Characters!$A$2:$F$1048576,5,FALSE)-H80))/6)*6)+((((Tables!$G$2/VLOOKUP(A80,Characters!$A$2:$F$1048576,6,FALSE))*(VLOOKUP(A80,Characters!$A$2:$F$1048576,6,FALSE)-I80))/24)*24)))/30)*(Tables!$K$5*100),(((Tables!$H$2/VLOOKUP(A80,Characters!$A$2:$F$1048576,5,FALSE))*(VLOOKUP(A80,Characters!$A$2:$F$1048576,5,FALSE)-H80))/6)*(Tables!$K$5*100))</f>
        <v>100</v>
      </c>
      <c r="L80" s="47" t="s">
        <v>175</v>
      </c>
      <c r="M80" s="49">
        <v>22843</v>
      </c>
      <c r="N80" s="50"/>
    </row>
    <row r="81" spans="1:14" x14ac:dyDescent="0.25">
      <c r="A81" s="26" t="s">
        <v>276</v>
      </c>
      <c r="B81" s="31" t="s">
        <v>28</v>
      </c>
      <c r="C81" s="26" t="s">
        <v>157</v>
      </c>
      <c r="D81" s="26" t="s">
        <v>388</v>
      </c>
      <c r="E81" s="50">
        <v>3</v>
      </c>
      <c r="F81" s="50">
        <v>85</v>
      </c>
      <c r="G81" s="50">
        <v>9</v>
      </c>
      <c r="H81" s="50">
        <v>3</v>
      </c>
      <c r="I81" s="50">
        <v>1</v>
      </c>
      <c r="J81" s="51">
        <f>IFERROR((((((((Tables!$H$2/VLOOKUP(A81,Characters!$A$2:$F$1048576,5,FALSE))*(VLOOKUP(A81,Characters!$A$2:$F$1048576,5,FALSE)-H81))/6)*6)+((((Tables!$G$2/VLOOKUP(A81,Characters!$A$2:$F$1048576,6,FALSE))*(VLOOKUP(A81,Characters!$A$2:$F$1048576,6,FALSE)-I81))/24)*24)))/30)*(Tables!$K$5*100),(((Tables!$H$2/VLOOKUP(A81,Characters!$A$2:$F$1048576,5,FALSE))*(VLOOKUP(A81,Characters!$A$2:$F$1048576,5,FALSE)-H81))/6)*(Tables!$K$5*100))</f>
        <v>0</v>
      </c>
      <c r="K81" s="52">
        <f>VLOOKUP(E81,Tables!$E$1:$F$9,2,FALSE)+VLOOKUP(F81,Tables!$C:$D,2,FALSE)+VLOOKUP(G81,Tables!$A:$B,2,FALSE)+IFERROR((((((((Tables!$H$2/VLOOKUP(A81,Characters!$A$2:$F$1048576,5,FALSE))*(VLOOKUP(A81,Characters!$A$2:$F$1048576,5,FALSE)-H81))/6)*6)+((((Tables!$G$2/VLOOKUP(A81,Characters!$A$2:$F$1048576,6,FALSE))*(VLOOKUP(A81,Characters!$A$2:$F$1048576,6,FALSE)-I81))/24)*24)))/30)*(Tables!$K$5*100),(((Tables!$H$2/VLOOKUP(A81,Characters!$A$2:$F$1048576,5,FALSE))*(VLOOKUP(A81,Characters!$A$2:$F$1048576,5,FALSE)-H81))/6)*(Tables!$K$5*100))</f>
        <v>27.003755322298016</v>
      </c>
      <c r="L81" s="50" t="s">
        <v>357</v>
      </c>
      <c r="M81" s="49">
        <v>9463</v>
      </c>
      <c r="N81" s="50"/>
    </row>
    <row r="82" spans="1:14" x14ac:dyDescent="0.25">
      <c r="A82" s="12" t="s">
        <v>44</v>
      </c>
      <c r="B82" s="19" t="s">
        <v>28</v>
      </c>
      <c r="C82" s="12" t="s">
        <v>14</v>
      </c>
      <c r="D82" s="12" t="s">
        <v>396</v>
      </c>
      <c r="E82" s="47">
        <v>7</v>
      </c>
      <c r="F82" s="47">
        <v>85</v>
      </c>
      <c r="G82" s="47">
        <v>10</v>
      </c>
      <c r="H82" s="47">
        <v>1</v>
      </c>
      <c r="I82" s="47">
        <v>0</v>
      </c>
      <c r="J82" s="47">
        <f>IFERROR((((((((Tables!$H$2/VLOOKUP(A82,Characters!$A$2:$F$1048576,5,FALSE))*(VLOOKUP(A82,Characters!$A$2:$F$1048576,5,FALSE)-H82))/6)*6)+((((Tables!$G$2/VLOOKUP(A82,Characters!$A$2:$F$1048576,6,FALSE))*(VLOOKUP(A82,Characters!$A$2:$F$1048576,6,FALSE)-I82))/24)*24)))/30)*(Tables!$K$5*100),(((Tables!$H$2/VLOOKUP(A82,Characters!$A$2:$F$1048576,5,FALSE))*(VLOOKUP(A82,Characters!$A$2:$F$1048576,5,FALSE)-H82))/6)*(Tables!$K$5*100))</f>
        <v>20</v>
      </c>
      <c r="K82" s="48">
        <f>VLOOKUP(E82,Tables!$E$1:$F$9,2,FALSE)+VLOOKUP(F82,Tables!$C:$D,2,FALSE)+VLOOKUP(G82,Tables!$A:$B,2,FALSE)+IFERROR((((((((Tables!$H$2/VLOOKUP(A82,Characters!$A$2:$F$1048576,5,FALSE))*(VLOOKUP(A82,Characters!$A$2:$F$1048576,5,FALSE)-H82))/6)*6)+((((Tables!$G$2/VLOOKUP(A82,Characters!$A$2:$F$1048576,6,FALSE))*(VLOOKUP(A82,Characters!$A$2:$F$1048576,6,FALSE)-I82))/24)*24)))/30)*(Tables!$K$5*100),(((Tables!$H$2/VLOOKUP(A82,Characters!$A$2:$F$1048576,5,FALSE))*(VLOOKUP(A82,Characters!$A$2:$F$1048576,5,FALSE)-H82))/6)*(Tables!$K$5*100))</f>
        <v>72.914351851851848</v>
      </c>
      <c r="L82" s="47"/>
      <c r="M82" s="49">
        <v>14212</v>
      </c>
      <c r="N82" s="50"/>
    </row>
    <row r="83" spans="1:14" x14ac:dyDescent="0.25">
      <c r="A83" s="12" t="s">
        <v>110</v>
      </c>
      <c r="B83" s="19" t="s">
        <v>28</v>
      </c>
      <c r="C83" s="12" t="s">
        <v>14</v>
      </c>
      <c r="D83" s="12" t="s">
        <v>396</v>
      </c>
      <c r="E83" s="47">
        <v>7</v>
      </c>
      <c r="F83" s="47">
        <v>85</v>
      </c>
      <c r="G83" s="47">
        <v>10</v>
      </c>
      <c r="H83" s="47">
        <v>0</v>
      </c>
      <c r="I83" s="47">
        <v>0</v>
      </c>
      <c r="J83" s="47">
        <f>IFERROR((((((((Tables!$H$2/VLOOKUP(A83,Characters!$A$2:$F$1048576,5,FALSE))*(VLOOKUP(A83,Characters!$A$2:$F$1048576,5,FALSE)-H83))/6)*6)+((((Tables!$G$2/VLOOKUP(A83,Characters!$A$2:$F$1048576,6,FALSE))*(VLOOKUP(A83,Characters!$A$2:$F$1048576,6,FALSE)-I83))/24)*24)))/30)*(Tables!$K$5*100),(((Tables!$H$2/VLOOKUP(A83,Characters!$A$2:$F$1048576,5,FALSE))*(VLOOKUP(A83,Characters!$A$2:$F$1048576,5,FALSE)-H83))/6)*(Tables!$K$5*100))</f>
        <v>30</v>
      </c>
      <c r="K83" s="48">
        <f>VLOOKUP(E83,Tables!$E$1:$F$9,2,FALSE)+VLOOKUP(F83,Tables!$C:$D,2,FALSE)+VLOOKUP(G83,Tables!$A:$B,2,FALSE)+IFERROR((((((((Tables!$H$2/VLOOKUP(A83,Characters!$A$2:$F$1048576,5,FALSE))*(VLOOKUP(A83,Characters!$A$2:$F$1048576,5,FALSE)-H83))/6)*6)+((((Tables!$G$2/VLOOKUP(A83,Characters!$A$2:$F$1048576,6,FALSE))*(VLOOKUP(A83,Characters!$A$2:$F$1048576,6,FALSE)-I83))/24)*24)))/30)*(Tables!$K$5*100),(((Tables!$H$2/VLOOKUP(A83,Characters!$A$2:$F$1048576,5,FALSE))*(VLOOKUP(A83,Characters!$A$2:$F$1048576,5,FALSE)-H83))/6)*(Tables!$K$5*100))</f>
        <v>82.914351851851848</v>
      </c>
      <c r="L83" s="47"/>
      <c r="M83" s="49">
        <v>14179</v>
      </c>
      <c r="N83" s="50"/>
    </row>
    <row r="84" spans="1:14" x14ac:dyDescent="0.25">
      <c r="A84" s="12" t="s">
        <v>111</v>
      </c>
      <c r="B84" s="19" t="s">
        <v>28</v>
      </c>
      <c r="C84" s="12" t="s">
        <v>209</v>
      </c>
      <c r="D84" s="12" t="s">
        <v>386</v>
      </c>
      <c r="E84" s="47">
        <v>7</v>
      </c>
      <c r="F84" s="47">
        <v>85</v>
      </c>
      <c r="G84" s="47">
        <v>10</v>
      </c>
      <c r="H84" s="47">
        <v>3</v>
      </c>
      <c r="I84" s="47">
        <v>1</v>
      </c>
      <c r="J84" s="47">
        <f>IFERROR((((((((Tables!$H$2/VLOOKUP(A84,Characters!$A$2:$F$1048576,5,FALSE))*(VLOOKUP(A84,Characters!$A$2:$F$1048576,5,FALSE)-H84))/6)*6)+((((Tables!$G$2/VLOOKUP(A84,Characters!$A$2:$F$1048576,6,FALSE))*(VLOOKUP(A84,Characters!$A$2:$F$1048576,6,FALSE)-I84))/24)*24)))/30)*(Tables!$K$5*100),(((Tables!$H$2/VLOOKUP(A84,Characters!$A$2:$F$1048576,5,FALSE))*(VLOOKUP(A84,Characters!$A$2:$F$1048576,5,FALSE)-H84))/6)*(Tables!$K$5*100))</f>
        <v>0</v>
      </c>
      <c r="K84" s="48">
        <f>VLOOKUP(E84,Tables!$E$1:$F$9,2,FALSE)+VLOOKUP(F84,Tables!$C:$D,2,FALSE)+VLOOKUP(G84,Tables!$A:$B,2,FALSE)+IFERROR((((((((Tables!$H$2/VLOOKUP(A84,Characters!$A$2:$F$1048576,5,FALSE))*(VLOOKUP(A84,Characters!$A$2:$F$1048576,5,FALSE)-H84))/6)*6)+((((Tables!$G$2/VLOOKUP(A84,Characters!$A$2:$F$1048576,6,FALSE))*(VLOOKUP(A84,Characters!$A$2:$F$1048576,6,FALSE)-I84))/24)*24)))/30)*(Tables!$K$5*100),(((Tables!$H$2/VLOOKUP(A84,Characters!$A$2:$F$1048576,5,FALSE))*(VLOOKUP(A84,Characters!$A$2:$F$1048576,5,FALSE)-H84))/6)*(Tables!$K$5*100))</f>
        <v>52.914351851851855</v>
      </c>
      <c r="L84" s="47" t="s">
        <v>360</v>
      </c>
      <c r="M84" s="49">
        <v>14190</v>
      </c>
      <c r="N84" s="50"/>
    </row>
    <row r="85" spans="1:14" x14ac:dyDescent="0.25">
      <c r="A85" s="12" t="s">
        <v>13</v>
      </c>
      <c r="B85" s="19" t="s">
        <v>28</v>
      </c>
      <c r="C85" s="12" t="s">
        <v>12</v>
      </c>
      <c r="D85" s="12" t="s">
        <v>391</v>
      </c>
      <c r="E85" s="47">
        <v>7</v>
      </c>
      <c r="F85" s="47">
        <v>85</v>
      </c>
      <c r="G85" s="47">
        <v>11</v>
      </c>
      <c r="H85" s="47">
        <v>0</v>
      </c>
      <c r="I85" s="47">
        <v>0</v>
      </c>
      <c r="J85" s="47">
        <f>IFERROR((((((((Tables!$H$2/VLOOKUP(A85,Characters!$A$2:$F$1048576,5,FALSE))*(VLOOKUP(A85,Characters!$A$2:$F$1048576,5,FALSE)-H85))/6)*6)+((((Tables!$G$2/VLOOKUP(A85,Characters!$A$2:$F$1048576,6,FALSE))*(VLOOKUP(A85,Characters!$A$2:$F$1048576,6,FALSE)-I85))/24)*24)))/30)*(Tables!$K$5*100),(((Tables!$H$2/VLOOKUP(A85,Characters!$A$2:$F$1048576,5,FALSE))*(VLOOKUP(A85,Characters!$A$2:$F$1048576,5,FALSE)-H85))/6)*(Tables!$K$5*100))</f>
        <v>30</v>
      </c>
      <c r="K85" s="48">
        <f>VLOOKUP(E85,Tables!$E$1:$F$9,2,FALSE)+VLOOKUP(F85,Tables!$C:$D,2,FALSE)+VLOOKUP(G85,Tables!$A:$B,2,FALSE)+IFERROR((((((((Tables!$H$2/VLOOKUP(A85,Characters!$A$2:$F$1048576,5,FALSE))*(VLOOKUP(A85,Characters!$A$2:$F$1048576,5,FALSE)-H85))/6)*6)+((((Tables!$G$2/VLOOKUP(A85,Characters!$A$2:$F$1048576,6,FALSE))*(VLOOKUP(A85,Characters!$A$2:$F$1048576,6,FALSE)-I85))/24)*24)))/30)*(Tables!$K$5*100),(((Tables!$H$2/VLOOKUP(A85,Characters!$A$2:$F$1048576,5,FALSE))*(VLOOKUP(A85,Characters!$A$2:$F$1048576,5,FALSE)-H85))/6)*(Tables!$K$5*100))</f>
        <v>90.300202546296305</v>
      </c>
      <c r="L85" s="47"/>
      <c r="M85" s="49">
        <v>18309</v>
      </c>
      <c r="N85" s="50"/>
    </row>
    <row r="86" spans="1:14" x14ac:dyDescent="0.25">
      <c r="A86" s="12" t="s">
        <v>180</v>
      </c>
      <c r="B86" s="19" t="s">
        <v>29</v>
      </c>
      <c r="C86" s="12" t="s">
        <v>36</v>
      </c>
      <c r="D86" s="12"/>
      <c r="E86" s="47">
        <v>3</v>
      </c>
      <c r="F86" s="47">
        <v>1</v>
      </c>
      <c r="G86" s="47">
        <v>1</v>
      </c>
      <c r="H86" s="47">
        <v>3</v>
      </c>
      <c r="I86" s="47">
        <v>0</v>
      </c>
      <c r="J86" s="47">
        <f>IFERROR((((((((Tables!$H$2/VLOOKUP(A86,Characters!$A$2:$F$1048576,5,FALSE))*(VLOOKUP(A86,Characters!$A$2:$F$1048576,5,FALSE)-H86))/6)*6)+((((Tables!$G$2/VLOOKUP(A86,Characters!$A$2:$F$1048576,6,FALSE))*(VLOOKUP(A86,Characters!$A$2:$F$1048576,6,FALSE)-I86))/24)*24)))/30)*(Tables!$K$5*100),(((Tables!$H$2/VLOOKUP(A86,Characters!$A$2:$F$1048576,5,FALSE))*(VLOOKUP(A86,Characters!$A$2:$F$1048576,5,FALSE)-H86))/6)*(Tables!$K$5*100))</f>
        <v>0</v>
      </c>
      <c r="K86" s="48">
        <f>VLOOKUP(E86,Tables!$E$1:$F$9,2,FALSE)+VLOOKUP(F86,Tables!$C:$D,2,FALSE)+VLOOKUP(G86,Tables!$A:$B,2,FALSE)+IFERROR((((((((Tables!$H$2/VLOOKUP(A86,Characters!$A$2:$F$1048576,5,FALSE))*(VLOOKUP(A86,Characters!$A$2:$F$1048576,5,FALSE)-H86))/6)*6)+((((Tables!$G$2/VLOOKUP(A86,Characters!$A$2:$F$1048576,6,FALSE))*(VLOOKUP(A86,Characters!$A$2:$F$1048576,6,FALSE)-I86))/24)*24)))/30)*(Tables!$K$5*100),(((Tables!$H$2/VLOOKUP(A86,Characters!$A$2:$F$1048576,5,FALSE))*(VLOOKUP(A86,Characters!$A$2:$F$1048576,5,FALSE)-H86))/6)*(Tables!$K$5*100))</f>
        <v>9.5639405074832009</v>
      </c>
      <c r="L86" s="47"/>
      <c r="M86" s="49">
        <v>676</v>
      </c>
      <c r="N86" s="50"/>
    </row>
    <row r="87" spans="1:14" x14ac:dyDescent="0.25">
      <c r="A87" s="12" t="s">
        <v>48</v>
      </c>
      <c r="B87" s="19" t="s">
        <v>29</v>
      </c>
      <c r="C87" s="12" t="s">
        <v>36</v>
      </c>
      <c r="D87" s="12" t="s">
        <v>381</v>
      </c>
      <c r="E87" s="47">
        <v>7</v>
      </c>
      <c r="F87" s="47">
        <v>85</v>
      </c>
      <c r="G87" s="47">
        <v>11</v>
      </c>
      <c r="H87" s="47">
        <v>0</v>
      </c>
      <c r="I87" s="47">
        <v>0</v>
      </c>
      <c r="J87" s="47">
        <f>IFERROR((((((((Tables!$H$2/VLOOKUP(A87,Characters!$A$2:$F$1048576,5,FALSE))*(VLOOKUP(A87,Characters!$A$2:$F$1048576,5,FALSE)-H87))/6)*6)+((((Tables!$G$2/VLOOKUP(A87,Characters!$A$2:$F$1048576,6,FALSE))*(VLOOKUP(A87,Characters!$A$2:$F$1048576,6,FALSE)-I87))/24)*24)))/30)*(Tables!$K$5*100),(((Tables!$H$2/VLOOKUP(A87,Characters!$A$2:$F$1048576,5,FALSE))*(VLOOKUP(A87,Characters!$A$2:$F$1048576,5,FALSE)-H87))/6)*(Tables!$K$5*100))</f>
        <v>30</v>
      </c>
      <c r="K87" s="48">
        <f>VLOOKUP(E87,Tables!$E$1:$F$9,2,FALSE)+VLOOKUP(F87,Tables!$C:$D,2,FALSE)+VLOOKUP(G87,Tables!$A:$B,2,FALSE)+IFERROR((((((((Tables!$H$2/VLOOKUP(A87,Characters!$A$2:$F$1048576,5,FALSE))*(VLOOKUP(A87,Characters!$A$2:$F$1048576,5,FALSE)-H87))/6)*6)+((((Tables!$G$2/VLOOKUP(A87,Characters!$A$2:$F$1048576,6,FALSE))*(VLOOKUP(A87,Characters!$A$2:$F$1048576,6,FALSE)-I87))/24)*24)))/30)*(Tables!$K$5*100),(((Tables!$H$2/VLOOKUP(A87,Characters!$A$2:$F$1048576,5,FALSE))*(VLOOKUP(A87,Characters!$A$2:$F$1048576,5,FALSE)-H87))/6)*(Tables!$K$5*100))</f>
        <v>90.300202546296305</v>
      </c>
      <c r="L87" s="47"/>
      <c r="M87" s="49">
        <v>15328</v>
      </c>
      <c r="N87" s="50"/>
    </row>
    <row r="88" spans="1:14" x14ac:dyDescent="0.25">
      <c r="A88" s="12" t="s">
        <v>155</v>
      </c>
      <c r="B88" s="19" t="s">
        <v>29</v>
      </c>
      <c r="C88" s="12" t="s">
        <v>36</v>
      </c>
      <c r="D88" s="12"/>
      <c r="E88" s="47">
        <v>3</v>
      </c>
      <c r="F88" s="47">
        <v>85</v>
      </c>
      <c r="G88" s="47">
        <v>7</v>
      </c>
      <c r="H88" s="47">
        <v>3</v>
      </c>
      <c r="I88" s="47">
        <v>0</v>
      </c>
      <c r="J88" s="47">
        <f>IFERROR((((((((Tables!$H$2/VLOOKUP(A88,Characters!$A$2:$F$1048576,5,FALSE))*(VLOOKUP(A88,Characters!$A$2:$F$1048576,5,FALSE)-H88))/6)*6)+((((Tables!$G$2/VLOOKUP(A88,Characters!$A$2:$F$1048576,6,FALSE))*(VLOOKUP(A88,Characters!$A$2:$F$1048576,6,FALSE)-I88))/24)*24)))/30)*(Tables!$K$5*100),(((Tables!$H$2/VLOOKUP(A88,Characters!$A$2:$F$1048576,5,FALSE))*(VLOOKUP(A88,Characters!$A$2:$F$1048576,5,FALSE)-H88))/6)*(Tables!$K$5*100))</f>
        <v>0</v>
      </c>
      <c r="K88" s="48">
        <f>VLOOKUP(E88,Tables!$E$1:$F$9,2,FALSE)+VLOOKUP(F88,Tables!$C:$D,2,FALSE)+VLOOKUP(G88,Tables!$A:$B,2,FALSE)+IFERROR((((((((Tables!$H$2/VLOOKUP(A88,Characters!$A$2:$F$1048576,5,FALSE))*(VLOOKUP(A88,Characters!$A$2:$F$1048576,5,FALSE)-H88))/6)*6)+((((Tables!$G$2/VLOOKUP(A88,Characters!$A$2:$F$1048576,6,FALSE))*(VLOOKUP(A88,Characters!$A$2:$F$1048576,6,FALSE)-I88))/24)*24)))/30)*(Tables!$K$5*100),(((Tables!$H$2/VLOOKUP(A88,Characters!$A$2:$F$1048576,5,FALSE))*(VLOOKUP(A88,Characters!$A$2:$F$1048576,5,FALSE)-H88))/6)*(Tables!$K$5*100))</f>
        <v>20.383384951927646</v>
      </c>
      <c r="L88" s="47"/>
      <c r="M88" s="49">
        <v>6457</v>
      </c>
      <c r="N88" s="50"/>
    </row>
    <row r="89" spans="1:14" x14ac:dyDescent="0.25">
      <c r="A89" s="12" t="s">
        <v>47</v>
      </c>
      <c r="B89" s="19" t="s">
        <v>29</v>
      </c>
      <c r="C89" s="12" t="s">
        <v>36</v>
      </c>
      <c r="D89" s="12" t="s">
        <v>381</v>
      </c>
      <c r="E89" s="47">
        <v>7</v>
      </c>
      <c r="F89" s="47">
        <v>85</v>
      </c>
      <c r="G89" s="47">
        <v>11</v>
      </c>
      <c r="H89" s="47">
        <v>0</v>
      </c>
      <c r="I89" s="47">
        <v>0</v>
      </c>
      <c r="J89" s="47">
        <f>IFERROR((((((((Tables!$H$2/VLOOKUP(A89,Characters!$A$2:$F$1048576,5,FALSE))*(VLOOKUP(A89,Characters!$A$2:$F$1048576,5,FALSE)-H89))/6)*6)+((((Tables!$G$2/VLOOKUP(A89,Characters!$A$2:$F$1048576,6,FALSE))*(VLOOKUP(A89,Characters!$A$2:$F$1048576,6,FALSE)-I89))/24)*24)))/30)*(Tables!$K$5*100),(((Tables!$H$2/VLOOKUP(A89,Characters!$A$2:$F$1048576,5,FALSE))*(VLOOKUP(A89,Characters!$A$2:$F$1048576,5,FALSE)-H89))/6)*(Tables!$K$5*100))</f>
        <v>30</v>
      </c>
      <c r="K89" s="48">
        <f>VLOOKUP(E89,Tables!$E$1:$F$9,2,FALSE)+VLOOKUP(F89,Tables!$C:$D,2,FALSE)+VLOOKUP(G89,Tables!$A:$B,2,FALSE)+IFERROR((((((((Tables!$H$2/VLOOKUP(A89,Characters!$A$2:$F$1048576,5,FALSE))*(VLOOKUP(A89,Characters!$A$2:$F$1048576,5,FALSE)-H89))/6)*6)+((((Tables!$G$2/VLOOKUP(A89,Characters!$A$2:$F$1048576,6,FALSE))*(VLOOKUP(A89,Characters!$A$2:$F$1048576,6,FALSE)-I89))/24)*24)))/30)*(Tables!$K$5*100),(((Tables!$H$2/VLOOKUP(A89,Characters!$A$2:$F$1048576,5,FALSE))*(VLOOKUP(A89,Characters!$A$2:$F$1048576,5,FALSE)-H89))/6)*(Tables!$K$5*100))</f>
        <v>90.300202546296305</v>
      </c>
      <c r="L89" s="47"/>
      <c r="M89" s="49">
        <v>15316</v>
      </c>
      <c r="N89" s="50"/>
    </row>
    <row r="90" spans="1:14" x14ac:dyDescent="0.25">
      <c r="A90" s="12" t="s">
        <v>112</v>
      </c>
      <c r="B90" s="19" t="s">
        <v>29</v>
      </c>
      <c r="C90" s="12" t="s">
        <v>36</v>
      </c>
      <c r="D90" s="12" t="s">
        <v>381</v>
      </c>
      <c r="E90" s="47">
        <v>7</v>
      </c>
      <c r="F90" s="47">
        <v>85</v>
      </c>
      <c r="G90" s="47">
        <v>11</v>
      </c>
      <c r="H90" s="47">
        <v>0</v>
      </c>
      <c r="I90" s="47">
        <v>0</v>
      </c>
      <c r="J90" s="47">
        <f>IFERROR((((((((Tables!$H$2/VLOOKUP(A90,Characters!$A$2:$F$1048576,5,FALSE))*(VLOOKUP(A90,Characters!$A$2:$F$1048576,5,FALSE)-H90))/6)*6)+((((Tables!$G$2/VLOOKUP(A90,Characters!$A$2:$F$1048576,6,FALSE))*(VLOOKUP(A90,Characters!$A$2:$F$1048576,6,FALSE)-I90))/24)*24)))/30)*(Tables!$K$5*100),(((Tables!$H$2/VLOOKUP(A90,Characters!$A$2:$F$1048576,5,FALSE))*(VLOOKUP(A90,Characters!$A$2:$F$1048576,5,FALSE)-H90))/6)*(Tables!$K$5*100))</f>
        <v>30</v>
      </c>
      <c r="K90" s="48">
        <f>VLOOKUP(E90,Tables!$E$1:$F$9,2,FALSE)+VLOOKUP(F90,Tables!$C:$D,2,FALSE)+VLOOKUP(G90,Tables!$A:$B,2,FALSE)+IFERROR((((((((Tables!$H$2/VLOOKUP(A90,Characters!$A$2:$F$1048576,5,FALSE))*(VLOOKUP(A90,Characters!$A$2:$F$1048576,5,FALSE)-H90))/6)*6)+((((Tables!$G$2/VLOOKUP(A90,Characters!$A$2:$F$1048576,6,FALSE))*(VLOOKUP(A90,Characters!$A$2:$F$1048576,6,FALSE)-I90))/24)*24)))/30)*(Tables!$K$5*100),(((Tables!$H$2/VLOOKUP(A90,Characters!$A$2:$F$1048576,5,FALSE))*(VLOOKUP(A90,Characters!$A$2:$F$1048576,5,FALSE)-H90))/6)*(Tables!$K$5*100))</f>
        <v>90.300202546296305</v>
      </c>
      <c r="L90" s="47"/>
      <c r="M90" s="49">
        <v>15118</v>
      </c>
      <c r="N90" s="50"/>
    </row>
    <row r="91" spans="1:14" x14ac:dyDescent="0.25">
      <c r="A91" s="12" t="s">
        <v>113</v>
      </c>
      <c r="B91" s="19" t="s">
        <v>29</v>
      </c>
      <c r="C91" s="12" t="s">
        <v>157</v>
      </c>
      <c r="D91" s="12"/>
      <c r="E91" s="47">
        <v>6</v>
      </c>
      <c r="F91" s="47">
        <v>1</v>
      </c>
      <c r="G91" s="47">
        <v>1</v>
      </c>
      <c r="H91" s="47">
        <v>3</v>
      </c>
      <c r="I91" s="47">
        <v>0</v>
      </c>
      <c r="J91" s="47">
        <f>IFERROR((((((((Tables!$H$2/VLOOKUP(A91,Characters!$A$2:$F$1048576,5,FALSE))*(VLOOKUP(A91,Characters!$A$2:$F$1048576,5,FALSE)-H91))/6)*6)+((((Tables!$G$2/VLOOKUP(A91,Characters!$A$2:$F$1048576,6,FALSE))*(VLOOKUP(A91,Characters!$A$2:$F$1048576,6,FALSE)-I91))/24)*24)))/30)*(Tables!$K$5*100),(((Tables!$H$2/VLOOKUP(A91,Characters!$A$2:$F$1048576,5,FALSE))*(VLOOKUP(A91,Characters!$A$2:$F$1048576,5,FALSE)-H91))/6)*(Tables!$K$5*100))</f>
        <v>0</v>
      </c>
      <c r="K91" s="48">
        <f>VLOOKUP(E91,Tables!$E$1:$F$9,2,FALSE)+VLOOKUP(F91,Tables!$C:$D,2,FALSE)+VLOOKUP(G91,Tables!$A:$B,2,FALSE)+IFERROR((((((((Tables!$H$2/VLOOKUP(A91,Characters!$A$2:$F$1048576,5,FALSE))*(VLOOKUP(A91,Characters!$A$2:$F$1048576,5,FALSE)-H91))/6)*6)+((((Tables!$G$2/VLOOKUP(A91,Characters!$A$2:$F$1048576,6,FALSE))*(VLOOKUP(A91,Characters!$A$2:$F$1048576,6,FALSE)-I91))/24)*24)))/30)*(Tables!$K$5*100),(((Tables!$H$2/VLOOKUP(A91,Characters!$A$2:$F$1048576,5,FALSE))*(VLOOKUP(A91,Characters!$A$2:$F$1048576,5,FALSE)-H91))/6)*(Tables!$K$5*100))</f>
        <v>25.436788399403977</v>
      </c>
      <c r="L91" s="47"/>
      <c r="M91" s="49">
        <v>2661</v>
      </c>
      <c r="N91" s="50"/>
    </row>
    <row r="92" spans="1:14" x14ac:dyDescent="0.25">
      <c r="A92" s="12" t="s">
        <v>114</v>
      </c>
      <c r="B92" s="19" t="s">
        <v>29</v>
      </c>
      <c r="C92" s="12" t="s">
        <v>20</v>
      </c>
      <c r="D92" s="12"/>
      <c r="E92" s="47">
        <v>5</v>
      </c>
      <c r="F92" s="47">
        <v>50</v>
      </c>
      <c r="G92" s="47">
        <v>1</v>
      </c>
      <c r="H92" s="47">
        <v>3</v>
      </c>
      <c r="I92" s="47">
        <v>0</v>
      </c>
      <c r="J92" s="47">
        <f>IFERROR((((((((Tables!$H$2/VLOOKUP(A92,Characters!$A$2:$F$1048576,5,FALSE))*(VLOOKUP(A92,Characters!$A$2:$F$1048576,5,FALSE)-H92))/6)*6)+((((Tables!$G$2/VLOOKUP(A92,Characters!$A$2:$F$1048576,6,FALSE))*(VLOOKUP(A92,Characters!$A$2:$F$1048576,6,FALSE)-I92))/24)*24)))/30)*(Tables!$K$5*100),(((Tables!$H$2/VLOOKUP(A92,Characters!$A$2:$F$1048576,5,FALSE))*(VLOOKUP(A92,Characters!$A$2:$F$1048576,5,FALSE)-H92))/6)*(Tables!$K$5*100))</f>
        <v>24</v>
      </c>
      <c r="K92" s="48">
        <f>VLOOKUP(E92,Tables!$E$1:$F$9,2,FALSE)+VLOOKUP(F92,Tables!$C:$D,2,FALSE)+VLOOKUP(G92,Tables!$A:$B,2,FALSE)+IFERROR((((((((Tables!$H$2/VLOOKUP(A92,Characters!$A$2:$F$1048576,5,FALSE))*(VLOOKUP(A92,Characters!$A$2:$F$1048576,5,FALSE)-H92))/6)*6)+((((Tables!$G$2/VLOOKUP(A92,Characters!$A$2:$F$1048576,6,FALSE))*(VLOOKUP(A92,Characters!$A$2:$F$1048576,6,FALSE)-I92))/24)*24)))/30)*(Tables!$K$5*100),(((Tables!$H$2/VLOOKUP(A92,Characters!$A$2:$F$1048576,5,FALSE))*(VLOOKUP(A92,Characters!$A$2:$F$1048576,5,FALSE)-H92))/6)*(Tables!$K$5*100))</f>
        <v>49.951509178085267</v>
      </c>
      <c r="L92" s="47"/>
      <c r="M92" s="49">
        <v>2400</v>
      </c>
      <c r="N92" s="50"/>
    </row>
    <row r="93" spans="1:14" x14ac:dyDescent="0.25">
      <c r="A93" s="12" t="s">
        <v>81</v>
      </c>
      <c r="B93" s="19" t="s">
        <v>28</v>
      </c>
      <c r="C93" s="12" t="s">
        <v>210</v>
      </c>
      <c r="D93" s="12" t="s">
        <v>386</v>
      </c>
      <c r="E93" s="47">
        <v>7</v>
      </c>
      <c r="F93" s="47">
        <v>85</v>
      </c>
      <c r="G93" s="47">
        <v>8</v>
      </c>
      <c r="H93" s="47">
        <v>3</v>
      </c>
      <c r="I93" s="47">
        <v>0</v>
      </c>
      <c r="J93" s="47">
        <f>IFERROR((((((((Tables!$H$2/VLOOKUP(A93,Characters!$A$2:$F$1048576,5,FALSE))*(VLOOKUP(A93,Characters!$A$2:$F$1048576,5,FALSE)-H93))/6)*6)+((((Tables!$G$2/VLOOKUP(A93,Characters!$A$2:$F$1048576,6,FALSE))*(VLOOKUP(A93,Characters!$A$2:$F$1048576,6,FALSE)-I93))/24)*24)))/30)*(Tables!$K$5*100),(((Tables!$H$2/VLOOKUP(A93,Characters!$A$2:$F$1048576,5,FALSE))*(VLOOKUP(A93,Characters!$A$2:$F$1048576,5,FALSE)-H93))/6)*(Tables!$K$5*100))</f>
        <v>24</v>
      </c>
      <c r="K93" s="48">
        <f>VLOOKUP(E93,Tables!$E$1:$F$9,2,FALSE)+VLOOKUP(F93,Tables!$C:$D,2,FALSE)+VLOOKUP(G93,Tables!$A:$B,2,FALSE)+IFERROR((((((((Tables!$H$2/VLOOKUP(A93,Characters!$A$2:$F$1048576,5,FALSE))*(VLOOKUP(A93,Characters!$A$2:$F$1048576,5,FALSE)-H93))/6)*6)+((((Tables!$G$2/VLOOKUP(A93,Characters!$A$2:$F$1048576,6,FALSE))*(VLOOKUP(A93,Characters!$A$2:$F$1048576,6,FALSE)-I93))/24)*24)))/30)*(Tables!$K$5*100),(((Tables!$H$2/VLOOKUP(A93,Characters!$A$2:$F$1048576,5,FALSE))*(VLOOKUP(A93,Characters!$A$2:$F$1048576,5,FALSE)-H93))/6)*(Tables!$K$5*100))</f>
        <v>67.518518518518519</v>
      </c>
      <c r="L93" s="47" t="s">
        <v>361</v>
      </c>
      <c r="M93" s="49">
        <v>11592</v>
      </c>
      <c r="N93" s="50"/>
    </row>
    <row r="94" spans="1:14" x14ac:dyDescent="0.25">
      <c r="A94" s="12" t="s">
        <v>115</v>
      </c>
      <c r="B94" s="19" t="s">
        <v>29</v>
      </c>
      <c r="C94" s="12" t="s">
        <v>198</v>
      </c>
      <c r="D94" s="12" t="s">
        <v>377</v>
      </c>
      <c r="E94" s="47">
        <v>5</v>
      </c>
      <c r="F94" s="47">
        <v>85</v>
      </c>
      <c r="G94" s="47">
        <v>5</v>
      </c>
      <c r="H94" s="47">
        <v>3</v>
      </c>
      <c r="I94" s="47">
        <v>0</v>
      </c>
      <c r="J94" s="47">
        <f>IFERROR((((((((Tables!$H$2/VLOOKUP(A94,Characters!$A$2:$F$1048576,5,FALSE))*(VLOOKUP(A94,Characters!$A$2:$F$1048576,5,FALSE)-H94))/6)*6)+((((Tables!$G$2/VLOOKUP(A94,Characters!$A$2:$F$1048576,6,FALSE))*(VLOOKUP(A94,Characters!$A$2:$F$1048576,6,FALSE)-I94))/24)*24)))/30)*(Tables!$K$5*100),(((Tables!$H$2/VLOOKUP(A94,Characters!$A$2:$F$1048576,5,FALSE))*(VLOOKUP(A94,Characters!$A$2:$F$1048576,5,FALSE)-H94))/6)*(Tables!$K$5*100))</f>
        <v>0</v>
      </c>
      <c r="K94" s="48">
        <f>VLOOKUP(E94,Tables!$E$1:$F$9,2,FALSE)+VLOOKUP(F94,Tables!$C:$D,2,FALSE)+VLOOKUP(G94,Tables!$A:$B,2,FALSE)+IFERROR((((((((Tables!$H$2/VLOOKUP(A94,Characters!$A$2:$F$1048576,5,FALSE))*(VLOOKUP(A94,Characters!$A$2:$F$1048576,5,FALSE)-H94))/6)*6)+((((Tables!$G$2/VLOOKUP(A94,Characters!$A$2:$F$1048576,6,FALSE))*(VLOOKUP(A94,Characters!$A$2:$F$1048576,6,FALSE)-I94))/24)*24)))/30)*(Tables!$K$5*100),(((Tables!$H$2/VLOOKUP(A94,Characters!$A$2:$F$1048576,5,FALSE))*(VLOOKUP(A94,Characters!$A$2:$F$1048576,5,FALSE)-H94))/6)*(Tables!$K$5*100))</f>
        <v>28.516857747012811</v>
      </c>
      <c r="L94" s="47"/>
      <c r="M94" s="49">
        <v>7213</v>
      </c>
      <c r="N94" s="50"/>
    </row>
    <row r="95" spans="1:14" x14ac:dyDescent="0.25">
      <c r="A95" s="12" t="s">
        <v>56</v>
      </c>
      <c r="B95" s="19" t="s">
        <v>28</v>
      </c>
      <c r="C95" s="12" t="s">
        <v>200</v>
      </c>
      <c r="D95" s="12" t="s">
        <v>395</v>
      </c>
      <c r="E95" s="47">
        <v>7</v>
      </c>
      <c r="F95" s="47">
        <v>85</v>
      </c>
      <c r="G95" s="47">
        <v>12</v>
      </c>
      <c r="H95" s="47">
        <v>0</v>
      </c>
      <c r="I95" s="47">
        <v>0</v>
      </c>
      <c r="J95" s="47">
        <f>IFERROR((((((((Tables!$H$2/VLOOKUP(A95,Characters!$A$2:$F$1048576,5,FALSE))*(VLOOKUP(A95,Characters!$A$2:$F$1048576,5,FALSE)-H95))/6)*6)+((((Tables!$G$2/VLOOKUP(A95,Characters!$A$2:$F$1048576,6,FALSE))*(VLOOKUP(A95,Characters!$A$2:$F$1048576,6,FALSE)-I95))/24)*24)))/30)*(Tables!$K$5*100),(((Tables!$H$2/VLOOKUP(A95,Characters!$A$2:$F$1048576,5,FALSE))*(VLOOKUP(A95,Characters!$A$2:$F$1048576,5,FALSE)-H95))/6)*(Tables!$K$5*100))</f>
        <v>30</v>
      </c>
      <c r="K95" s="48">
        <f>VLOOKUP(E95,Tables!$E$1:$F$9,2,FALSE)+VLOOKUP(F95,Tables!$C:$D,2,FALSE)+VLOOKUP(G95,Tables!$A:$B,2,FALSE)+IFERROR((((((((Tables!$H$2/VLOOKUP(A95,Characters!$A$2:$F$1048576,5,FALSE))*(VLOOKUP(A95,Characters!$A$2:$F$1048576,5,FALSE)-H95))/6)*6)+((((Tables!$G$2/VLOOKUP(A95,Characters!$A$2:$F$1048576,6,FALSE))*(VLOOKUP(A95,Characters!$A$2:$F$1048576,6,FALSE)-I95))/24)*24)))/30)*(Tables!$K$5*100),(((Tables!$H$2/VLOOKUP(A95,Characters!$A$2:$F$1048576,5,FALSE))*(VLOOKUP(A95,Characters!$A$2:$F$1048576,5,FALSE)-H95))/6)*(Tables!$K$5*100))</f>
        <v>100</v>
      </c>
      <c r="L95" s="47" t="s">
        <v>175</v>
      </c>
      <c r="M95" s="49">
        <v>18097</v>
      </c>
      <c r="N95" s="50"/>
    </row>
    <row r="96" spans="1:14" x14ac:dyDescent="0.25">
      <c r="A96" s="12" t="s">
        <v>49</v>
      </c>
      <c r="B96" s="19" t="s">
        <v>29</v>
      </c>
      <c r="C96" s="12" t="s">
        <v>206</v>
      </c>
      <c r="D96" s="12" t="s">
        <v>383</v>
      </c>
      <c r="E96" s="47">
        <v>7</v>
      </c>
      <c r="F96" s="47">
        <v>85</v>
      </c>
      <c r="G96" s="47">
        <v>12</v>
      </c>
      <c r="H96" s="47">
        <v>0</v>
      </c>
      <c r="I96" s="47">
        <v>0</v>
      </c>
      <c r="J96" s="47">
        <f>IFERROR((((((((Tables!$H$2/VLOOKUP(A96,Characters!$A$2:$F$1048576,5,FALSE))*(VLOOKUP(A96,Characters!$A$2:$F$1048576,5,FALSE)-H96))/6)*6)+((((Tables!$G$2/VLOOKUP(A96,Characters!$A$2:$F$1048576,6,FALSE))*(VLOOKUP(A96,Characters!$A$2:$F$1048576,6,FALSE)-I96))/24)*24)))/30)*(Tables!$K$5*100),(((Tables!$H$2/VLOOKUP(A96,Characters!$A$2:$F$1048576,5,FALSE))*(VLOOKUP(A96,Characters!$A$2:$F$1048576,5,FALSE)-H96))/6)*(Tables!$K$5*100))</f>
        <v>30</v>
      </c>
      <c r="K96" s="48">
        <f>VLOOKUP(E96,Tables!$E$1:$F$9,2,FALSE)+VLOOKUP(F96,Tables!$C:$D,2,FALSE)+VLOOKUP(G96,Tables!$A:$B,2,FALSE)+IFERROR((((((((Tables!$H$2/VLOOKUP(A96,Characters!$A$2:$F$1048576,5,FALSE))*(VLOOKUP(A96,Characters!$A$2:$F$1048576,5,FALSE)-H96))/6)*6)+((((Tables!$G$2/VLOOKUP(A96,Characters!$A$2:$F$1048576,6,FALSE))*(VLOOKUP(A96,Characters!$A$2:$F$1048576,6,FALSE)-I96))/24)*24)))/30)*(Tables!$K$5*100),(((Tables!$H$2/VLOOKUP(A96,Characters!$A$2:$F$1048576,5,FALSE))*(VLOOKUP(A96,Characters!$A$2:$F$1048576,5,FALSE)-H96))/6)*(Tables!$K$5*100))</f>
        <v>100</v>
      </c>
      <c r="L96" s="47" t="s">
        <v>175</v>
      </c>
      <c r="M96" s="49">
        <v>19299</v>
      </c>
      <c r="N96" s="50"/>
    </row>
    <row r="97" spans="1:14" x14ac:dyDescent="0.25">
      <c r="A97" s="12" t="s">
        <v>116</v>
      </c>
      <c r="B97" s="19" t="s">
        <v>29</v>
      </c>
      <c r="C97" s="12" t="s">
        <v>211</v>
      </c>
      <c r="D97" s="12"/>
      <c r="E97" s="47">
        <v>5</v>
      </c>
      <c r="F97" s="47">
        <v>69</v>
      </c>
      <c r="G97" s="47">
        <v>8</v>
      </c>
      <c r="H97" s="47">
        <v>3</v>
      </c>
      <c r="I97" s="47">
        <v>0</v>
      </c>
      <c r="J97" s="47">
        <f>IFERROR((((((((Tables!$H$2/VLOOKUP(A97,Characters!$A$2:$F$1048576,5,FALSE))*(VLOOKUP(A97,Characters!$A$2:$F$1048576,5,FALSE)-H97))/6)*6)+((((Tables!$G$2/VLOOKUP(A97,Characters!$A$2:$F$1048576,6,FALSE))*(VLOOKUP(A97,Characters!$A$2:$F$1048576,6,FALSE)-I97))/24)*24)))/30)*(Tables!$K$5*100),(((Tables!$H$2/VLOOKUP(A97,Characters!$A$2:$F$1048576,5,FALSE))*(VLOOKUP(A97,Characters!$A$2:$F$1048576,5,FALSE)-H97))/6)*(Tables!$K$5*100))</f>
        <v>0</v>
      </c>
      <c r="K97" s="48">
        <f>VLOOKUP(E97,Tables!$E$1:$F$9,2,FALSE)+VLOOKUP(F97,Tables!$C:$D,2,FALSE)+VLOOKUP(G97,Tables!$A:$B,2,FALSE)+IFERROR((((((((Tables!$H$2/VLOOKUP(A97,Characters!$A$2:$F$1048576,5,FALSE))*(VLOOKUP(A97,Characters!$A$2:$F$1048576,5,FALSE)-H97))/6)*6)+((((Tables!$G$2/VLOOKUP(A97,Characters!$A$2:$F$1048576,6,FALSE))*(VLOOKUP(A97,Characters!$A$2:$F$1048576,6,FALSE)-I97))/24)*24)))/30)*(Tables!$K$5*100),(((Tables!$H$2/VLOOKUP(A97,Characters!$A$2:$F$1048576,5,FALSE))*(VLOOKUP(A97,Characters!$A$2:$F$1048576,5,FALSE)-H97))/6)*(Tables!$K$5*100))</f>
        <v>33.398972691809853</v>
      </c>
      <c r="L97" s="47"/>
      <c r="M97" s="49">
        <v>7996</v>
      </c>
      <c r="N97" s="50"/>
    </row>
    <row r="98" spans="1:14" x14ac:dyDescent="0.25">
      <c r="A98" s="12" t="s">
        <v>117</v>
      </c>
      <c r="B98" s="19" t="s">
        <v>29</v>
      </c>
      <c r="C98" s="12" t="s">
        <v>211</v>
      </c>
      <c r="D98" s="12"/>
      <c r="E98" s="47">
        <v>4</v>
      </c>
      <c r="F98" s="47">
        <v>69</v>
      </c>
      <c r="G98" s="47">
        <v>7</v>
      </c>
      <c r="H98" s="47">
        <v>3</v>
      </c>
      <c r="I98" s="47">
        <v>0</v>
      </c>
      <c r="J98" s="47">
        <f>IFERROR((((((((Tables!$H$2/VLOOKUP(A98,Characters!$A$2:$F$1048576,5,FALSE))*(VLOOKUP(A98,Characters!$A$2:$F$1048576,5,FALSE)-H98))/6)*6)+((((Tables!$G$2/VLOOKUP(A98,Characters!$A$2:$F$1048576,6,FALSE))*(VLOOKUP(A98,Characters!$A$2:$F$1048576,6,FALSE)-I98))/24)*24)))/30)*(Tables!$K$5*100),(((Tables!$H$2/VLOOKUP(A98,Characters!$A$2:$F$1048576,5,FALSE))*(VLOOKUP(A98,Characters!$A$2:$F$1048576,5,FALSE)-H98))/6)*(Tables!$K$5*100))</f>
        <v>0</v>
      </c>
      <c r="K98" s="48">
        <f>VLOOKUP(E98,Tables!$E$1:$F$9,2,FALSE)+VLOOKUP(F98,Tables!$C:$D,2,FALSE)+VLOOKUP(G98,Tables!$A:$B,2,FALSE)+IFERROR((((((((Tables!$H$2/VLOOKUP(A98,Characters!$A$2:$F$1048576,5,FALSE))*(VLOOKUP(A98,Characters!$A$2:$F$1048576,5,FALSE)-H98))/6)*6)+((((Tables!$G$2/VLOOKUP(A98,Characters!$A$2:$F$1048576,6,FALSE))*(VLOOKUP(A98,Characters!$A$2:$F$1048576,6,FALSE)-I98))/24)*24)))/30)*(Tables!$K$5*100),(((Tables!$H$2/VLOOKUP(A98,Characters!$A$2:$F$1048576,5,FALSE))*(VLOOKUP(A98,Characters!$A$2:$F$1048576,5,FALSE)-H98))/6)*(Tables!$K$5*100))</f>
        <v>25.405306514338033</v>
      </c>
      <c r="L98" s="47"/>
      <c r="M98" s="49">
        <v>6145</v>
      </c>
      <c r="N98" s="50"/>
    </row>
    <row r="99" spans="1:14" x14ac:dyDescent="0.25">
      <c r="A99" s="12" t="s">
        <v>118</v>
      </c>
      <c r="B99" s="19" t="s">
        <v>29</v>
      </c>
      <c r="C99" s="12" t="s">
        <v>20</v>
      </c>
      <c r="D99" s="12" t="s">
        <v>379</v>
      </c>
      <c r="E99" s="47">
        <v>7</v>
      </c>
      <c r="F99" s="47">
        <v>85</v>
      </c>
      <c r="G99" s="47">
        <v>12</v>
      </c>
      <c r="H99" s="47">
        <v>0</v>
      </c>
      <c r="I99" s="47">
        <v>1</v>
      </c>
      <c r="J99" s="47">
        <f>IFERROR((((((((Tables!$H$2/VLOOKUP(A99,Characters!$A$2:$F$1048576,5,FALSE))*(VLOOKUP(A99,Characters!$A$2:$F$1048576,5,FALSE)-H99))/6)*6)+((((Tables!$G$2/VLOOKUP(A99,Characters!$A$2:$F$1048576,6,FALSE))*(VLOOKUP(A99,Characters!$A$2:$F$1048576,6,FALSE)-I99))/24)*24)))/30)*(Tables!$K$5*100),(((Tables!$H$2/VLOOKUP(A99,Characters!$A$2:$F$1048576,5,FALSE))*(VLOOKUP(A99,Characters!$A$2:$F$1048576,5,FALSE)-H99))/6)*(Tables!$K$5*100))</f>
        <v>18</v>
      </c>
      <c r="K99" s="48">
        <f>VLOOKUP(E99,Tables!$E$1:$F$9,2,FALSE)+VLOOKUP(F99,Tables!$C:$D,2,FALSE)+VLOOKUP(G99,Tables!$A:$B,2,FALSE)+IFERROR((((((((Tables!$H$2/VLOOKUP(A99,Characters!$A$2:$F$1048576,5,FALSE))*(VLOOKUP(A99,Characters!$A$2:$F$1048576,5,FALSE)-H99))/6)*6)+((((Tables!$G$2/VLOOKUP(A99,Characters!$A$2:$F$1048576,6,FALSE))*(VLOOKUP(A99,Characters!$A$2:$F$1048576,6,FALSE)-I99))/24)*24)))/30)*(Tables!$K$5*100),(((Tables!$H$2/VLOOKUP(A99,Characters!$A$2:$F$1048576,5,FALSE))*(VLOOKUP(A99,Characters!$A$2:$F$1048576,5,FALSE)-H99))/6)*(Tables!$K$5*100))</f>
        <v>88</v>
      </c>
      <c r="L99" s="47" t="s">
        <v>175</v>
      </c>
      <c r="M99" s="49">
        <v>20293</v>
      </c>
      <c r="N99" s="50"/>
    </row>
    <row r="100" spans="1:14" x14ac:dyDescent="0.25">
      <c r="A100" s="12" t="s">
        <v>119</v>
      </c>
      <c r="B100" s="19" t="s">
        <v>28</v>
      </c>
      <c r="C100" s="12" t="s">
        <v>200</v>
      </c>
      <c r="D100" s="12"/>
      <c r="E100" s="47">
        <v>7</v>
      </c>
      <c r="F100" s="47">
        <v>85</v>
      </c>
      <c r="G100" s="47">
        <v>11</v>
      </c>
      <c r="H100" s="47">
        <v>0</v>
      </c>
      <c r="I100" s="47">
        <v>2</v>
      </c>
      <c r="J100" s="47">
        <f>IFERROR((((((((Tables!$H$2/VLOOKUP(A100,Characters!$A$2:$F$1048576,5,FALSE))*(VLOOKUP(A100,Characters!$A$2:$F$1048576,5,FALSE)-H100))/6)*6)+((((Tables!$G$2/VLOOKUP(A100,Characters!$A$2:$F$1048576,6,FALSE))*(VLOOKUP(A100,Characters!$A$2:$F$1048576,6,FALSE)-I100))/24)*24)))/30)*(Tables!$K$5*100),(((Tables!$H$2/VLOOKUP(A100,Characters!$A$2:$F$1048576,5,FALSE))*(VLOOKUP(A100,Characters!$A$2:$F$1048576,5,FALSE)-H100))/6)*(Tables!$K$5*100))</f>
        <v>6</v>
      </c>
      <c r="K100" s="48">
        <f>VLOOKUP(E100,Tables!$E$1:$F$9,2,FALSE)+VLOOKUP(F100,Tables!$C:$D,2,FALSE)+VLOOKUP(G100,Tables!$A:$B,2,FALSE)+IFERROR((((((((Tables!$H$2/VLOOKUP(A100,Characters!$A$2:$F$1048576,5,FALSE))*(VLOOKUP(A100,Characters!$A$2:$F$1048576,5,FALSE)-H100))/6)*6)+((((Tables!$G$2/VLOOKUP(A100,Characters!$A$2:$F$1048576,6,FALSE))*(VLOOKUP(A100,Characters!$A$2:$F$1048576,6,FALSE)-I100))/24)*24)))/30)*(Tables!$K$5*100),(((Tables!$H$2/VLOOKUP(A100,Characters!$A$2:$F$1048576,5,FALSE))*(VLOOKUP(A100,Characters!$A$2:$F$1048576,5,FALSE)-H100))/6)*(Tables!$K$5*100))</f>
        <v>66.300202546296305</v>
      </c>
      <c r="L100" s="47" t="s">
        <v>360</v>
      </c>
      <c r="M100" s="49">
        <v>16477</v>
      </c>
      <c r="N100" s="50"/>
    </row>
    <row r="101" spans="1:14" x14ac:dyDescent="0.25">
      <c r="A101" s="12" t="s">
        <v>41</v>
      </c>
      <c r="B101" s="19" t="s">
        <v>29</v>
      </c>
      <c r="C101" s="12" t="s">
        <v>20</v>
      </c>
      <c r="D101" s="12" t="s">
        <v>379</v>
      </c>
      <c r="E101" s="47">
        <v>7</v>
      </c>
      <c r="F101" s="47">
        <v>85</v>
      </c>
      <c r="G101" s="47">
        <v>10</v>
      </c>
      <c r="H101" s="47">
        <v>0</v>
      </c>
      <c r="I101" s="47">
        <v>2</v>
      </c>
      <c r="J101" s="47">
        <f>IFERROR((((((((Tables!$H$2/VLOOKUP(A101,Characters!$A$2:$F$1048576,5,FALSE))*(VLOOKUP(A101,Characters!$A$2:$F$1048576,5,FALSE)-H101))/6)*6)+((((Tables!$G$2/VLOOKUP(A101,Characters!$A$2:$F$1048576,6,FALSE))*(VLOOKUP(A101,Characters!$A$2:$F$1048576,6,FALSE)-I101))/24)*24)))/30)*(Tables!$K$5*100),(((Tables!$H$2/VLOOKUP(A101,Characters!$A$2:$F$1048576,5,FALSE))*(VLOOKUP(A101,Characters!$A$2:$F$1048576,5,FALSE)-H101))/6)*(Tables!$K$5*100))</f>
        <v>6</v>
      </c>
      <c r="K101" s="48">
        <f>VLOOKUP(E101,Tables!$E$1:$F$9,2,FALSE)+VLOOKUP(F101,Tables!$C:$D,2,FALSE)+VLOOKUP(G101,Tables!$A:$B,2,FALSE)+IFERROR((((((((Tables!$H$2/VLOOKUP(A101,Characters!$A$2:$F$1048576,5,FALSE))*(VLOOKUP(A101,Characters!$A$2:$F$1048576,5,FALSE)-H101))/6)*6)+((((Tables!$G$2/VLOOKUP(A101,Characters!$A$2:$F$1048576,6,FALSE))*(VLOOKUP(A101,Characters!$A$2:$F$1048576,6,FALSE)-I101))/24)*24)))/30)*(Tables!$K$5*100),(((Tables!$H$2/VLOOKUP(A101,Characters!$A$2:$F$1048576,5,FALSE))*(VLOOKUP(A101,Characters!$A$2:$F$1048576,5,FALSE)-H101))/6)*(Tables!$K$5*100))</f>
        <v>58.914351851851855</v>
      </c>
      <c r="L101" s="47"/>
      <c r="M101" s="49">
        <v>15859</v>
      </c>
      <c r="N101" s="50"/>
    </row>
    <row r="102" spans="1:14" x14ac:dyDescent="0.25">
      <c r="A102" s="12" t="s">
        <v>82</v>
      </c>
      <c r="B102" s="19" t="s">
        <v>29</v>
      </c>
      <c r="C102" s="12" t="s">
        <v>196</v>
      </c>
      <c r="D102" s="12" t="s">
        <v>375</v>
      </c>
      <c r="E102" s="47">
        <v>7</v>
      </c>
      <c r="F102" s="47">
        <v>85</v>
      </c>
      <c r="G102" s="47">
        <v>11</v>
      </c>
      <c r="H102" s="47">
        <v>0</v>
      </c>
      <c r="I102" s="47">
        <v>1</v>
      </c>
      <c r="J102" s="47">
        <f>IFERROR((((((((Tables!$H$2/VLOOKUP(A102,Characters!$A$2:$F$1048576,5,FALSE))*(VLOOKUP(A102,Characters!$A$2:$F$1048576,5,FALSE)-H102))/6)*6)+((((Tables!$G$2/VLOOKUP(A102,Characters!$A$2:$F$1048576,6,FALSE))*(VLOOKUP(A102,Characters!$A$2:$F$1048576,6,FALSE)-I102))/24)*24)))/30)*(Tables!$K$5*100),(((Tables!$H$2/VLOOKUP(A102,Characters!$A$2:$F$1048576,5,FALSE))*(VLOOKUP(A102,Characters!$A$2:$F$1048576,5,FALSE)-H102))/6)*(Tables!$K$5*100))</f>
        <v>6</v>
      </c>
      <c r="K102" s="48">
        <f>VLOOKUP(E102,Tables!$E$1:$F$9,2,FALSE)+VLOOKUP(F102,Tables!$C:$D,2,FALSE)+VLOOKUP(G102,Tables!$A:$B,2,FALSE)+IFERROR((((((((Tables!$H$2/VLOOKUP(A102,Characters!$A$2:$F$1048576,5,FALSE))*(VLOOKUP(A102,Characters!$A$2:$F$1048576,5,FALSE)-H102))/6)*6)+((((Tables!$G$2/VLOOKUP(A102,Characters!$A$2:$F$1048576,6,FALSE))*(VLOOKUP(A102,Characters!$A$2:$F$1048576,6,FALSE)-I102))/24)*24)))/30)*(Tables!$K$5*100),(((Tables!$H$2/VLOOKUP(A102,Characters!$A$2:$F$1048576,5,FALSE))*(VLOOKUP(A102,Characters!$A$2:$F$1048576,5,FALSE)-H102))/6)*(Tables!$K$5*100))</f>
        <v>66.300202546296305</v>
      </c>
      <c r="L102" s="47" t="s">
        <v>360</v>
      </c>
      <c r="M102" s="49">
        <v>17262</v>
      </c>
      <c r="N102" s="50"/>
    </row>
    <row r="103" spans="1:14" x14ac:dyDescent="0.25">
      <c r="A103" s="12" t="s">
        <v>64</v>
      </c>
      <c r="B103" s="19" t="s">
        <v>28</v>
      </c>
      <c r="C103" s="12" t="s">
        <v>204</v>
      </c>
      <c r="D103" s="12" t="s">
        <v>390</v>
      </c>
      <c r="E103" s="47">
        <v>7</v>
      </c>
      <c r="F103" s="47">
        <v>85</v>
      </c>
      <c r="G103" s="47">
        <v>11</v>
      </c>
      <c r="H103" s="47">
        <v>0</v>
      </c>
      <c r="I103" s="47">
        <v>0</v>
      </c>
      <c r="J103" s="47">
        <f>IFERROR((((((((Tables!$H$2/VLOOKUP(A103,Characters!$A$2:$F$1048576,5,FALSE))*(VLOOKUP(A103,Characters!$A$2:$F$1048576,5,FALSE)-H103))/6)*6)+((((Tables!$G$2/VLOOKUP(A103,Characters!$A$2:$F$1048576,6,FALSE))*(VLOOKUP(A103,Characters!$A$2:$F$1048576,6,FALSE)-I103))/24)*24)))/30)*(Tables!$K$5*100),(((Tables!$H$2/VLOOKUP(A103,Characters!$A$2:$F$1048576,5,FALSE))*(VLOOKUP(A103,Characters!$A$2:$F$1048576,5,FALSE)-H103))/6)*(Tables!$K$5*100))</f>
        <v>30</v>
      </c>
      <c r="K103" s="48">
        <f>VLOOKUP(E103,Tables!$E$1:$F$9,2,FALSE)+VLOOKUP(F103,Tables!$C:$D,2,FALSE)+VLOOKUP(G103,Tables!$A:$B,2,FALSE)+IFERROR((((((((Tables!$H$2/VLOOKUP(A103,Characters!$A$2:$F$1048576,5,FALSE))*(VLOOKUP(A103,Characters!$A$2:$F$1048576,5,FALSE)-H103))/6)*6)+((((Tables!$G$2/VLOOKUP(A103,Characters!$A$2:$F$1048576,6,FALSE))*(VLOOKUP(A103,Characters!$A$2:$F$1048576,6,FALSE)-I103))/24)*24)))/30)*(Tables!$K$5*100),(((Tables!$H$2/VLOOKUP(A103,Characters!$A$2:$F$1048576,5,FALSE))*(VLOOKUP(A103,Characters!$A$2:$F$1048576,5,FALSE)-H103))/6)*(Tables!$K$5*100))</f>
        <v>90.300202546296305</v>
      </c>
      <c r="L103" s="47"/>
      <c r="M103" s="49">
        <v>18507</v>
      </c>
      <c r="N103" s="50"/>
    </row>
    <row r="104" spans="1:14" x14ac:dyDescent="0.25">
      <c r="A104" s="12" t="s">
        <v>120</v>
      </c>
      <c r="B104" s="19" t="s">
        <v>28</v>
      </c>
      <c r="C104" s="12" t="s">
        <v>210</v>
      </c>
      <c r="D104" s="12" t="s">
        <v>386</v>
      </c>
      <c r="E104" s="47">
        <v>7</v>
      </c>
      <c r="F104" s="47">
        <v>85</v>
      </c>
      <c r="G104" s="47">
        <v>10</v>
      </c>
      <c r="H104" s="47">
        <v>2</v>
      </c>
      <c r="I104" s="47">
        <v>1</v>
      </c>
      <c r="J104" s="47">
        <f>IFERROR((((((((Tables!$H$2/VLOOKUP(A104,Characters!$A$2:$F$1048576,5,FALSE))*(VLOOKUP(A104,Characters!$A$2:$F$1048576,5,FALSE)-H104))/6)*6)+((((Tables!$G$2/VLOOKUP(A104,Characters!$A$2:$F$1048576,6,FALSE))*(VLOOKUP(A104,Characters!$A$2:$F$1048576,6,FALSE)-I104))/24)*24)))/30)*(Tables!$K$5*100),(((Tables!$H$2/VLOOKUP(A104,Characters!$A$2:$F$1048576,5,FALSE))*(VLOOKUP(A104,Characters!$A$2:$F$1048576,5,FALSE)-H104))/6)*(Tables!$K$5*100))</f>
        <v>2</v>
      </c>
      <c r="K104" s="48">
        <f>VLOOKUP(E104,Tables!$E$1:$F$9,2,FALSE)+VLOOKUP(F104,Tables!$C:$D,2,FALSE)+VLOOKUP(G104,Tables!$A:$B,2,FALSE)+IFERROR((((((((Tables!$H$2/VLOOKUP(A104,Characters!$A$2:$F$1048576,5,FALSE))*(VLOOKUP(A104,Characters!$A$2:$F$1048576,5,FALSE)-H104))/6)*6)+((((Tables!$G$2/VLOOKUP(A104,Characters!$A$2:$F$1048576,6,FALSE))*(VLOOKUP(A104,Characters!$A$2:$F$1048576,6,FALSE)-I104))/24)*24)))/30)*(Tables!$K$5*100),(((Tables!$H$2/VLOOKUP(A104,Characters!$A$2:$F$1048576,5,FALSE))*(VLOOKUP(A104,Characters!$A$2:$F$1048576,5,FALSE)-H104))/6)*(Tables!$K$5*100))</f>
        <v>54.914351851851855</v>
      </c>
      <c r="L104" s="47" t="s">
        <v>361</v>
      </c>
      <c r="M104" s="49">
        <v>13143</v>
      </c>
      <c r="N104" s="50"/>
    </row>
    <row r="105" spans="1:14" x14ac:dyDescent="0.25">
      <c r="A105" s="12" t="s">
        <v>9</v>
      </c>
      <c r="B105" s="19" t="s">
        <v>28</v>
      </c>
      <c r="C105" s="12" t="s">
        <v>11</v>
      </c>
      <c r="D105" s="12" t="s">
        <v>395</v>
      </c>
      <c r="E105" s="47">
        <v>6</v>
      </c>
      <c r="F105" s="47">
        <v>85</v>
      </c>
      <c r="G105" s="47">
        <v>9</v>
      </c>
      <c r="H105" s="47">
        <v>0</v>
      </c>
      <c r="I105" s="47">
        <v>2</v>
      </c>
      <c r="J105" s="47">
        <f>IFERROR((((((((Tables!$H$2/VLOOKUP(A105,Characters!$A$2:$F$1048576,5,FALSE))*(VLOOKUP(A105,Characters!$A$2:$F$1048576,5,FALSE)-H105))/6)*6)+((((Tables!$G$2/VLOOKUP(A105,Characters!$A$2:$F$1048576,6,FALSE))*(VLOOKUP(A105,Characters!$A$2:$F$1048576,6,FALSE)-I105))/24)*24)))/30)*(Tables!$K$5*100),(((Tables!$H$2/VLOOKUP(A105,Characters!$A$2:$F$1048576,5,FALSE))*(VLOOKUP(A105,Characters!$A$2:$F$1048576,5,FALSE)-H105))/6)*(Tables!$K$5*100))</f>
        <v>6</v>
      </c>
      <c r="K105" s="48">
        <f>VLOOKUP(E105,Tables!$E$1:$F$9,2,FALSE)+VLOOKUP(F105,Tables!$C:$D,2,FALSE)+VLOOKUP(G105,Tables!$A:$B,2,FALSE)+IFERROR((((((((Tables!$H$2/VLOOKUP(A105,Characters!$A$2:$F$1048576,5,FALSE))*(VLOOKUP(A105,Characters!$A$2:$F$1048576,5,FALSE)-H105))/6)*6)+((((Tables!$G$2/VLOOKUP(A105,Characters!$A$2:$F$1048576,6,FALSE))*(VLOOKUP(A105,Characters!$A$2:$F$1048576,6,FALSE)-I105))/24)*24)))/30)*(Tables!$K$5*100),(((Tables!$H$2/VLOOKUP(A105,Characters!$A$2:$F$1048576,5,FALSE))*(VLOOKUP(A105,Characters!$A$2:$F$1048576,5,FALSE)-H105))/6)*(Tables!$K$5*100))</f>
        <v>48.87660321421879</v>
      </c>
      <c r="L105" s="47" t="s">
        <v>360</v>
      </c>
      <c r="M105" s="49">
        <v>12937</v>
      </c>
      <c r="N105" s="50"/>
    </row>
    <row r="106" spans="1:14" x14ac:dyDescent="0.25">
      <c r="A106" s="12" t="s">
        <v>37</v>
      </c>
      <c r="B106" s="19" t="s">
        <v>29</v>
      </c>
      <c r="C106" s="12" t="s">
        <v>19</v>
      </c>
      <c r="D106" s="12" t="s">
        <v>377</v>
      </c>
      <c r="E106" s="47">
        <v>7</v>
      </c>
      <c r="F106" s="47">
        <v>85</v>
      </c>
      <c r="G106" s="47">
        <v>9</v>
      </c>
      <c r="H106" s="47">
        <v>2</v>
      </c>
      <c r="I106" s="47">
        <v>0</v>
      </c>
      <c r="J106" s="47">
        <f>IFERROR((((((((Tables!$H$2/VLOOKUP(A106,Characters!$A$2:$F$1048576,5,FALSE))*(VLOOKUP(A106,Characters!$A$2:$F$1048576,5,FALSE)-H106))/6)*6)+((((Tables!$G$2/VLOOKUP(A106,Characters!$A$2:$F$1048576,6,FALSE))*(VLOOKUP(A106,Characters!$A$2:$F$1048576,6,FALSE)-I106))/24)*24)))/30)*(Tables!$K$5*100),(((Tables!$H$2/VLOOKUP(A106,Characters!$A$2:$F$1048576,5,FALSE))*(VLOOKUP(A106,Characters!$A$2:$F$1048576,5,FALSE)-H106))/6)*(Tables!$K$5*100))</f>
        <v>15</v>
      </c>
      <c r="K106" s="48">
        <f>VLOOKUP(E106,Tables!$E$1:$F$9,2,FALSE)+VLOOKUP(F106,Tables!$C:$D,2,FALSE)+VLOOKUP(G106,Tables!$A:$B,2,FALSE)+IFERROR((((((((Tables!$H$2/VLOOKUP(A106,Characters!$A$2:$F$1048576,5,FALSE))*(VLOOKUP(A106,Characters!$A$2:$F$1048576,5,FALSE)-H106))/6)*6)+((((Tables!$G$2/VLOOKUP(A106,Characters!$A$2:$F$1048576,6,FALSE))*(VLOOKUP(A106,Characters!$A$2:$F$1048576,6,FALSE)-I106))/24)*24)))/30)*(Tables!$K$5*100),(((Tables!$H$2/VLOOKUP(A106,Characters!$A$2:$F$1048576,5,FALSE))*(VLOOKUP(A106,Characters!$A$2:$F$1048576,5,FALSE)-H106))/6)*(Tables!$K$5*100))</f>
        <v>62.44140625</v>
      </c>
      <c r="L106" s="47"/>
      <c r="M106" s="49">
        <v>13000</v>
      </c>
      <c r="N106" s="50"/>
    </row>
    <row r="107" spans="1:14" x14ac:dyDescent="0.25">
      <c r="A107" s="12" t="s">
        <v>121</v>
      </c>
      <c r="B107" s="19" t="s">
        <v>28</v>
      </c>
      <c r="C107" s="12" t="s">
        <v>10</v>
      </c>
      <c r="D107" s="12"/>
      <c r="E107" s="47">
        <v>7</v>
      </c>
      <c r="F107" s="47">
        <v>85</v>
      </c>
      <c r="G107" s="47">
        <v>7</v>
      </c>
      <c r="H107" s="47">
        <v>3</v>
      </c>
      <c r="I107" s="47">
        <v>0</v>
      </c>
      <c r="J107" s="47">
        <f>IFERROR((((((((Tables!$H$2/VLOOKUP(A107,Characters!$A$2:$F$1048576,5,FALSE))*(VLOOKUP(A107,Characters!$A$2:$F$1048576,5,FALSE)-H107))/6)*6)+((((Tables!$G$2/VLOOKUP(A107,Characters!$A$2:$F$1048576,6,FALSE))*(VLOOKUP(A107,Characters!$A$2:$F$1048576,6,FALSE)-I107))/24)*24)))/30)*(Tables!$K$5*100),(((Tables!$H$2/VLOOKUP(A107,Characters!$A$2:$F$1048576,5,FALSE))*(VLOOKUP(A107,Characters!$A$2:$F$1048576,5,FALSE)-H107))/6)*(Tables!$K$5*100))</f>
        <v>0</v>
      </c>
      <c r="K107" s="48">
        <f>VLOOKUP(E107,Tables!$E$1:$F$9,2,FALSE)+VLOOKUP(F107,Tables!$C:$D,2,FALSE)+VLOOKUP(G107,Tables!$A:$B,2,FALSE)+IFERROR((((((((Tables!$H$2/VLOOKUP(A107,Characters!$A$2:$F$1048576,5,FALSE))*(VLOOKUP(A107,Characters!$A$2:$F$1048576,5,FALSE)-H107))/6)*6)+((((Tables!$G$2/VLOOKUP(A107,Characters!$A$2:$F$1048576,6,FALSE))*(VLOOKUP(A107,Characters!$A$2:$F$1048576,6,FALSE)-I107))/24)*24)))/30)*(Tables!$K$5*100),(((Tables!$H$2/VLOOKUP(A107,Characters!$A$2:$F$1048576,5,FALSE))*(VLOOKUP(A107,Characters!$A$2:$F$1048576,5,FALSE)-H107))/6)*(Tables!$K$5*100))</f>
        <v>40.821035879629626</v>
      </c>
      <c r="L107" s="47" t="s">
        <v>361</v>
      </c>
      <c r="M107" s="49">
        <v>10662</v>
      </c>
      <c r="N107" s="50"/>
    </row>
    <row r="108" spans="1:14" x14ac:dyDescent="0.25">
      <c r="A108" s="12" t="s">
        <v>122</v>
      </c>
      <c r="B108" s="19" t="s">
        <v>28</v>
      </c>
      <c r="C108" s="12" t="s">
        <v>10</v>
      </c>
      <c r="D108" s="12"/>
      <c r="E108" s="47">
        <v>6</v>
      </c>
      <c r="F108" s="47">
        <v>85</v>
      </c>
      <c r="G108" s="47">
        <v>8</v>
      </c>
      <c r="H108" s="47">
        <v>0</v>
      </c>
      <c r="I108" s="47">
        <v>0</v>
      </c>
      <c r="J108" s="47">
        <f>IFERROR((((((((Tables!$H$2/VLOOKUP(A108,Characters!$A$2:$F$1048576,5,FALSE))*(VLOOKUP(A108,Characters!$A$2:$F$1048576,5,FALSE)-H108))/6)*6)+((((Tables!$G$2/VLOOKUP(A108,Characters!$A$2:$F$1048576,6,FALSE))*(VLOOKUP(A108,Characters!$A$2:$F$1048576,6,FALSE)-I108))/24)*24)))/30)*(Tables!$K$5*100),(((Tables!$H$2/VLOOKUP(A108,Characters!$A$2:$F$1048576,5,FALSE))*(VLOOKUP(A108,Characters!$A$2:$F$1048576,5,FALSE)-H108))/6)*(Tables!$K$5*100))</f>
        <v>30</v>
      </c>
      <c r="K108" s="48">
        <f>VLOOKUP(E108,Tables!$E$1:$F$9,2,FALSE)+VLOOKUP(F108,Tables!$C:$D,2,FALSE)+VLOOKUP(G108,Tables!$A:$B,2,FALSE)+IFERROR((((((((Tables!$H$2/VLOOKUP(A108,Characters!$A$2:$F$1048576,5,FALSE))*(VLOOKUP(A108,Characters!$A$2:$F$1048576,5,FALSE)-H108))/6)*6)+((((Tables!$G$2/VLOOKUP(A108,Characters!$A$2:$F$1048576,6,FALSE))*(VLOOKUP(A108,Characters!$A$2:$F$1048576,6,FALSE)-I108))/24)*24)))/30)*(Tables!$K$5*100),(((Tables!$H$2/VLOOKUP(A108,Characters!$A$2:$F$1048576,5,FALSE))*(VLOOKUP(A108,Characters!$A$2:$F$1048576,5,FALSE)-H108))/6)*(Tables!$K$5*100))</f>
        <v>68.953715482737309</v>
      </c>
      <c r="L108" s="47" t="s">
        <v>361</v>
      </c>
      <c r="M108" s="49">
        <v>10854</v>
      </c>
      <c r="N108" s="50"/>
    </row>
    <row r="109" spans="1:14" x14ac:dyDescent="0.25">
      <c r="A109" s="12" t="s">
        <v>123</v>
      </c>
      <c r="B109" s="19" t="s">
        <v>29</v>
      </c>
      <c r="C109" s="12" t="s">
        <v>198</v>
      </c>
      <c r="D109" s="12"/>
      <c r="E109" s="47">
        <v>7</v>
      </c>
      <c r="F109" s="47">
        <v>85</v>
      </c>
      <c r="G109" s="47">
        <v>7</v>
      </c>
      <c r="H109" s="47">
        <v>3</v>
      </c>
      <c r="I109" s="47">
        <v>0</v>
      </c>
      <c r="J109" s="47">
        <f>IFERROR((((((((Tables!$H$2/VLOOKUP(A109,Characters!$A$2:$F$1048576,5,FALSE))*(VLOOKUP(A109,Characters!$A$2:$F$1048576,5,FALSE)-H109))/6)*6)+((((Tables!$G$2/VLOOKUP(A109,Characters!$A$2:$F$1048576,6,FALSE))*(VLOOKUP(A109,Characters!$A$2:$F$1048576,6,FALSE)-I109))/24)*24)))/30)*(Tables!$K$5*100),(((Tables!$H$2/VLOOKUP(A109,Characters!$A$2:$F$1048576,5,FALSE))*(VLOOKUP(A109,Characters!$A$2:$F$1048576,5,FALSE)-H109))/6)*(Tables!$K$5*100))</f>
        <v>0</v>
      </c>
      <c r="K109" s="48">
        <f>VLOOKUP(E109,Tables!$E$1:$F$9,2,FALSE)+VLOOKUP(F109,Tables!$C:$D,2,FALSE)+VLOOKUP(G109,Tables!$A:$B,2,FALSE)+IFERROR((((((((Tables!$H$2/VLOOKUP(A109,Characters!$A$2:$F$1048576,5,FALSE))*(VLOOKUP(A109,Characters!$A$2:$F$1048576,5,FALSE)-H109))/6)*6)+((((Tables!$G$2/VLOOKUP(A109,Characters!$A$2:$F$1048576,6,FALSE))*(VLOOKUP(A109,Characters!$A$2:$F$1048576,6,FALSE)-I109))/24)*24)))/30)*(Tables!$K$5*100),(((Tables!$H$2/VLOOKUP(A109,Characters!$A$2:$F$1048576,5,FALSE))*(VLOOKUP(A109,Characters!$A$2:$F$1048576,5,FALSE)-H109))/6)*(Tables!$K$5*100))</f>
        <v>40.821035879629626</v>
      </c>
      <c r="L109" s="47"/>
      <c r="M109" s="49">
        <v>10549</v>
      </c>
      <c r="N109" s="50"/>
    </row>
    <row r="110" spans="1:14" x14ac:dyDescent="0.25">
      <c r="A110" s="12" t="s">
        <v>124</v>
      </c>
      <c r="B110" s="19" t="s">
        <v>29</v>
      </c>
      <c r="C110" s="12" t="s">
        <v>198</v>
      </c>
      <c r="D110" s="12" t="s">
        <v>377</v>
      </c>
      <c r="E110" s="47">
        <v>7</v>
      </c>
      <c r="F110" s="47">
        <v>85</v>
      </c>
      <c r="G110" s="47">
        <v>10</v>
      </c>
      <c r="H110" s="47">
        <v>0</v>
      </c>
      <c r="I110" s="47">
        <v>0</v>
      </c>
      <c r="J110" s="47">
        <f>IFERROR((((((((Tables!$H$2/VLOOKUP(A110,Characters!$A$2:$F$1048576,5,FALSE))*(VLOOKUP(A110,Characters!$A$2:$F$1048576,5,FALSE)-H110))/6)*6)+((((Tables!$G$2/VLOOKUP(A110,Characters!$A$2:$F$1048576,6,FALSE))*(VLOOKUP(A110,Characters!$A$2:$F$1048576,6,FALSE)-I110))/24)*24)))/30)*(Tables!$K$5*100),(((Tables!$H$2/VLOOKUP(A110,Characters!$A$2:$F$1048576,5,FALSE))*(VLOOKUP(A110,Characters!$A$2:$F$1048576,5,FALSE)-H110))/6)*(Tables!$K$5*100))</f>
        <v>30</v>
      </c>
      <c r="K110" s="48">
        <f>VLOOKUP(E110,Tables!$E$1:$F$9,2,FALSE)+VLOOKUP(F110,Tables!$C:$D,2,FALSE)+VLOOKUP(G110,Tables!$A:$B,2,FALSE)+IFERROR((((((((Tables!$H$2/VLOOKUP(A110,Characters!$A$2:$F$1048576,5,FALSE))*(VLOOKUP(A110,Characters!$A$2:$F$1048576,5,FALSE)-H110))/6)*6)+((((Tables!$G$2/VLOOKUP(A110,Characters!$A$2:$F$1048576,6,FALSE))*(VLOOKUP(A110,Characters!$A$2:$F$1048576,6,FALSE)-I110))/24)*24)))/30)*(Tables!$K$5*100),(((Tables!$H$2/VLOOKUP(A110,Characters!$A$2:$F$1048576,5,FALSE))*(VLOOKUP(A110,Characters!$A$2:$F$1048576,5,FALSE)-H110))/6)*(Tables!$K$5*100))</f>
        <v>82.914351851851848</v>
      </c>
      <c r="L110" s="47"/>
      <c r="M110" s="49">
        <v>13696</v>
      </c>
      <c r="N110" s="50"/>
    </row>
    <row r="111" spans="1:14" x14ac:dyDescent="0.25">
      <c r="A111" s="12" t="s">
        <v>34</v>
      </c>
      <c r="B111" s="19" t="s">
        <v>29</v>
      </c>
      <c r="C111" s="12" t="s">
        <v>225</v>
      </c>
      <c r="D111" s="12" t="s">
        <v>375</v>
      </c>
      <c r="E111" s="47">
        <v>7</v>
      </c>
      <c r="F111" s="47">
        <v>85</v>
      </c>
      <c r="G111" s="47">
        <v>11</v>
      </c>
      <c r="H111" s="47">
        <v>0</v>
      </c>
      <c r="I111" s="47">
        <v>1</v>
      </c>
      <c r="J111" s="47">
        <f>IFERROR((((((((Tables!$H$2/VLOOKUP(A111,Characters!$A$2:$F$1048576,5,FALSE))*(VLOOKUP(A111,Characters!$A$2:$F$1048576,5,FALSE)-H111))/6)*6)+((((Tables!$G$2/VLOOKUP(A111,Characters!$A$2:$F$1048576,6,FALSE))*(VLOOKUP(A111,Characters!$A$2:$F$1048576,6,FALSE)-I111))/24)*24)))/30)*(Tables!$K$5*100),(((Tables!$H$2/VLOOKUP(A111,Characters!$A$2:$F$1048576,5,FALSE))*(VLOOKUP(A111,Characters!$A$2:$F$1048576,5,FALSE)-H111))/6)*(Tables!$K$5*100))</f>
        <v>6</v>
      </c>
      <c r="K111" s="48">
        <f>VLOOKUP(E111,Tables!$E$1:$F$9,2,FALSE)+VLOOKUP(F111,Tables!$C:$D,2,FALSE)+VLOOKUP(G111,Tables!$A:$B,2,FALSE)+IFERROR((((((((Tables!$H$2/VLOOKUP(A111,Characters!$A$2:$F$1048576,5,FALSE))*(VLOOKUP(A111,Characters!$A$2:$F$1048576,5,FALSE)-H111))/6)*6)+((((Tables!$G$2/VLOOKUP(A111,Characters!$A$2:$F$1048576,6,FALSE))*(VLOOKUP(A111,Characters!$A$2:$F$1048576,6,FALSE)-I111))/24)*24)))/30)*(Tables!$K$5*100),(((Tables!$H$2/VLOOKUP(A111,Characters!$A$2:$F$1048576,5,FALSE))*(VLOOKUP(A111,Characters!$A$2:$F$1048576,5,FALSE)-H111))/6)*(Tables!$K$5*100))</f>
        <v>66.300202546296305</v>
      </c>
      <c r="L111" s="47" t="s">
        <v>360</v>
      </c>
      <c r="M111" s="49">
        <v>16687</v>
      </c>
      <c r="N111" s="50"/>
    </row>
    <row r="112" spans="1:14" x14ac:dyDescent="0.25">
      <c r="A112" s="12" t="s">
        <v>125</v>
      </c>
      <c r="B112" s="19" t="s">
        <v>28</v>
      </c>
      <c r="C112" s="12" t="s">
        <v>200</v>
      </c>
      <c r="D112" s="12"/>
      <c r="E112" s="47">
        <v>7</v>
      </c>
      <c r="F112" s="47">
        <v>85</v>
      </c>
      <c r="G112" s="47">
        <v>10</v>
      </c>
      <c r="H112" s="47">
        <v>0</v>
      </c>
      <c r="I112" s="47">
        <v>0</v>
      </c>
      <c r="J112" s="47">
        <f>IFERROR((((((((Tables!$H$2/VLOOKUP(A112,Characters!$A$2:$F$1048576,5,FALSE))*(VLOOKUP(A112,Characters!$A$2:$F$1048576,5,FALSE)-H112))/6)*6)+((((Tables!$G$2/VLOOKUP(A112,Characters!$A$2:$F$1048576,6,FALSE))*(VLOOKUP(A112,Characters!$A$2:$F$1048576,6,FALSE)-I112))/24)*24)))/30)*(Tables!$K$5*100),(((Tables!$H$2/VLOOKUP(A112,Characters!$A$2:$F$1048576,5,FALSE))*(VLOOKUP(A112,Characters!$A$2:$F$1048576,5,FALSE)-H112))/6)*(Tables!$K$5*100))</f>
        <v>30</v>
      </c>
      <c r="K112" s="48">
        <f>VLOOKUP(E112,Tables!$E$1:$F$9,2,FALSE)+VLOOKUP(F112,Tables!$C:$D,2,FALSE)+VLOOKUP(G112,Tables!$A:$B,2,FALSE)+IFERROR((((((((Tables!$H$2/VLOOKUP(A112,Characters!$A$2:$F$1048576,5,FALSE))*(VLOOKUP(A112,Characters!$A$2:$F$1048576,5,FALSE)-H112))/6)*6)+((((Tables!$G$2/VLOOKUP(A112,Characters!$A$2:$F$1048576,6,FALSE))*(VLOOKUP(A112,Characters!$A$2:$F$1048576,6,FALSE)-I112))/24)*24)))/30)*(Tables!$K$5*100),(((Tables!$H$2/VLOOKUP(A112,Characters!$A$2:$F$1048576,5,FALSE))*(VLOOKUP(A112,Characters!$A$2:$F$1048576,5,FALSE)-H112))/6)*(Tables!$K$5*100))</f>
        <v>82.914351851851848</v>
      </c>
      <c r="L112" s="47"/>
      <c r="M112" s="49">
        <v>13740</v>
      </c>
      <c r="N112" s="50"/>
    </row>
    <row r="113" spans="1:14" x14ac:dyDescent="0.25">
      <c r="A113" s="12" t="s">
        <v>153</v>
      </c>
      <c r="B113" s="19" t="s">
        <v>29</v>
      </c>
      <c r="C113" s="12" t="s">
        <v>199</v>
      </c>
      <c r="D113" s="12" t="s">
        <v>378</v>
      </c>
      <c r="E113" s="47">
        <v>4</v>
      </c>
      <c r="F113" s="47">
        <v>85</v>
      </c>
      <c r="G113" s="47">
        <v>8</v>
      </c>
      <c r="H113" s="47">
        <v>3</v>
      </c>
      <c r="I113" s="47">
        <v>1</v>
      </c>
      <c r="J113" s="47">
        <f>IFERROR((((((((Tables!$H$2/VLOOKUP(A113,Characters!$A$2:$F$1048576,5,FALSE))*(VLOOKUP(A113,Characters!$A$2:$F$1048576,5,FALSE)-H113))/6)*6)+((((Tables!$G$2/VLOOKUP(A113,Characters!$A$2:$F$1048576,6,FALSE))*(VLOOKUP(A113,Characters!$A$2:$F$1048576,6,FALSE)-I113))/24)*24)))/30)*(Tables!$K$5*100),(((Tables!$H$2/VLOOKUP(A113,Characters!$A$2:$F$1048576,5,FALSE))*(VLOOKUP(A113,Characters!$A$2:$F$1048576,5,FALSE)-H113))/6)*(Tables!$K$5*100))</f>
        <v>0</v>
      </c>
      <c r="K113" s="48">
        <f>VLOOKUP(E113,Tables!$E$1:$F$9,2,FALSE)+VLOOKUP(F113,Tables!$C:$D,2,FALSE)+VLOOKUP(G113,Tables!$A:$B,2,FALSE)+IFERROR((((((((Tables!$H$2/VLOOKUP(A113,Characters!$A$2:$F$1048576,5,FALSE))*(VLOOKUP(A113,Characters!$A$2:$F$1048576,5,FALSE)-H113))/6)*6)+((((Tables!$G$2/VLOOKUP(A113,Characters!$A$2:$F$1048576,6,FALSE))*(VLOOKUP(A113,Characters!$A$2:$F$1048576,6,FALSE)-I113))/24)*24)))/30)*(Tables!$K$5*100),(((Tables!$H$2/VLOOKUP(A113,Characters!$A$2:$F$1048576,5,FALSE))*(VLOOKUP(A113,Characters!$A$2:$F$1048576,5,FALSE)-H113))/6)*(Tables!$K$5*100))</f>
        <v>28.744545736207659</v>
      </c>
      <c r="L113" s="47" t="s">
        <v>361</v>
      </c>
      <c r="M113" s="49">
        <v>7950</v>
      </c>
      <c r="N113" s="50"/>
    </row>
    <row r="114" spans="1:14" x14ac:dyDescent="0.25">
      <c r="A114" s="12" t="s">
        <v>126</v>
      </c>
      <c r="B114" s="19" t="s">
        <v>29</v>
      </c>
      <c r="C114" s="12" t="s">
        <v>20</v>
      </c>
      <c r="D114" s="12"/>
      <c r="E114" s="47">
        <v>4</v>
      </c>
      <c r="F114" s="47">
        <v>50</v>
      </c>
      <c r="G114" s="47">
        <v>1</v>
      </c>
      <c r="H114" s="47">
        <v>3</v>
      </c>
      <c r="I114" s="47">
        <v>0</v>
      </c>
      <c r="J114" s="47">
        <f>IFERROR((((((((Tables!$H$2/VLOOKUP(A114,Characters!$A$2:$F$1048576,5,FALSE))*(VLOOKUP(A114,Characters!$A$2:$F$1048576,5,FALSE)-H114))/6)*6)+((((Tables!$G$2/VLOOKUP(A114,Characters!$A$2:$F$1048576,6,FALSE))*(VLOOKUP(A114,Characters!$A$2:$F$1048576,6,FALSE)-I114))/24)*24)))/30)*(Tables!$K$5*100),(((Tables!$H$2/VLOOKUP(A114,Characters!$A$2:$F$1048576,5,FALSE))*(VLOOKUP(A114,Characters!$A$2:$F$1048576,5,FALSE)-H114))/6)*(Tables!$K$5*100))</f>
        <v>0</v>
      </c>
      <c r="K114" s="48">
        <f>VLOOKUP(E114,Tables!$E$1:$F$9,2,FALSE)+VLOOKUP(F114,Tables!$C:$D,2,FALSE)+VLOOKUP(G114,Tables!$A:$B,2,FALSE)+IFERROR((((((((Tables!$H$2/VLOOKUP(A114,Characters!$A$2:$F$1048576,5,FALSE))*(VLOOKUP(A114,Characters!$A$2:$F$1048576,5,FALSE)-H114))/6)*6)+((((Tables!$G$2/VLOOKUP(A114,Characters!$A$2:$F$1048576,6,FALSE))*(VLOOKUP(A114,Characters!$A$2:$F$1048576,6,FALSE)-I114))/24)*24)))/30)*(Tables!$K$5*100),(((Tables!$H$2/VLOOKUP(A114,Characters!$A$2:$F$1048576,5,FALSE))*(VLOOKUP(A114,Characters!$A$2:$F$1048576,5,FALSE)-H114))/6)*(Tables!$K$5*100))</f>
        <v>20.655325639502333</v>
      </c>
      <c r="L114" s="47"/>
      <c r="M114" s="49">
        <v>1893</v>
      </c>
      <c r="N114" s="50"/>
    </row>
    <row r="115" spans="1:14" x14ac:dyDescent="0.25">
      <c r="A115" s="12" t="s">
        <v>83</v>
      </c>
      <c r="B115" s="19" t="s">
        <v>28</v>
      </c>
      <c r="C115" s="12" t="s">
        <v>83</v>
      </c>
      <c r="D115" s="12" t="s">
        <v>384</v>
      </c>
      <c r="E115" s="47">
        <v>6</v>
      </c>
      <c r="F115" s="47">
        <v>85</v>
      </c>
      <c r="G115" s="47">
        <v>8</v>
      </c>
      <c r="H115" s="47">
        <v>3</v>
      </c>
      <c r="I115" s="47">
        <v>0</v>
      </c>
      <c r="J115" s="47">
        <f>IFERROR((((((((Tables!$H$2/VLOOKUP(A115,Characters!$A$2:$F$1048576,5,FALSE))*(VLOOKUP(A115,Characters!$A$2:$F$1048576,5,FALSE)-H115))/6)*6)+((((Tables!$G$2/VLOOKUP(A115,Characters!$A$2:$F$1048576,6,FALSE))*(VLOOKUP(A115,Characters!$A$2:$F$1048576,6,FALSE)-I115))/24)*24)))/30)*(Tables!$K$5*100),(((Tables!$H$2/VLOOKUP(A115,Characters!$A$2:$F$1048576,5,FALSE))*(VLOOKUP(A115,Characters!$A$2:$F$1048576,5,FALSE)-H115))/6)*(Tables!$K$5*100))</f>
        <v>0</v>
      </c>
      <c r="K115" s="48">
        <f>VLOOKUP(E115,Tables!$E$1:$F$9,2,FALSE)+VLOOKUP(F115,Tables!$C:$D,2,FALSE)+VLOOKUP(G115,Tables!$A:$B,2,FALSE)+IFERROR((((((((Tables!$H$2/VLOOKUP(A115,Characters!$A$2:$F$1048576,5,FALSE))*(VLOOKUP(A115,Characters!$A$2:$F$1048576,5,FALSE)-H115))/6)*6)+((((Tables!$G$2/VLOOKUP(A115,Characters!$A$2:$F$1048576,6,FALSE))*(VLOOKUP(A115,Characters!$A$2:$F$1048576,6,FALSE)-I115))/24)*24)))/30)*(Tables!$K$5*100),(((Tables!$H$2/VLOOKUP(A115,Characters!$A$2:$F$1048576,5,FALSE))*(VLOOKUP(A115,Characters!$A$2:$F$1048576,5,FALSE)-H115))/6)*(Tables!$K$5*100))</f>
        <v>38.953715482737309</v>
      </c>
      <c r="L115" s="47"/>
      <c r="M115" s="49">
        <v>9265</v>
      </c>
      <c r="N115" s="50"/>
    </row>
    <row r="116" spans="1:14" x14ac:dyDescent="0.25">
      <c r="A116" s="12" t="s">
        <v>127</v>
      </c>
      <c r="B116" s="19" t="s">
        <v>28</v>
      </c>
      <c r="C116" s="12" t="s">
        <v>83</v>
      </c>
      <c r="D116" s="12" t="s">
        <v>384</v>
      </c>
      <c r="E116" s="47">
        <v>7</v>
      </c>
      <c r="F116" s="47">
        <v>85</v>
      </c>
      <c r="G116" s="47">
        <v>9</v>
      </c>
      <c r="H116" s="47">
        <v>2</v>
      </c>
      <c r="I116" s="47">
        <v>0</v>
      </c>
      <c r="J116" s="47">
        <f>IFERROR((((((((Tables!$H$2/VLOOKUP(A116,Characters!$A$2:$F$1048576,5,FALSE))*(VLOOKUP(A116,Characters!$A$2:$F$1048576,5,FALSE)-H116))/6)*6)+((((Tables!$G$2/VLOOKUP(A116,Characters!$A$2:$F$1048576,6,FALSE))*(VLOOKUP(A116,Characters!$A$2:$F$1048576,6,FALSE)-I116))/24)*24)))/30)*(Tables!$K$5*100),(((Tables!$H$2/VLOOKUP(A116,Characters!$A$2:$F$1048576,5,FALSE))*(VLOOKUP(A116,Characters!$A$2:$F$1048576,5,FALSE)-H116))/6)*(Tables!$K$5*100))</f>
        <v>15</v>
      </c>
      <c r="K116" s="48">
        <f>VLOOKUP(E116,Tables!$E$1:$F$9,2,FALSE)+VLOOKUP(F116,Tables!$C:$D,2,FALSE)+VLOOKUP(G116,Tables!$A:$B,2,FALSE)+IFERROR((((((((Tables!$H$2/VLOOKUP(A116,Characters!$A$2:$F$1048576,5,FALSE))*(VLOOKUP(A116,Characters!$A$2:$F$1048576,5,FALSE)-H116))/6)*6)+((((Tables!$G$2/VLOOKUP(A116,Characters!$A$2:$F$1048576,6,FALSE))*(VLOOKUP(A116,Characters!$A$2:$F$1048576,6,FALSE)-I116))/24)*24)))/30)*(Tables!$K$5*100),(((Tables!$H$2/VLOOKUP(A116,Characters!$A$2:$F$1048576,5,FALSE))*(VLOOKUP(A116,Characters!$A$2:$F$1048576,5,FALSE)-H116))/6)*(Tables!$K$5*100))</f>
        <v>62.44140625</v>
      </c>
      <c r="L116" s="47"/>
      <c r="M116" s="49">
        <v>12430</v>
      </c>
      <c r="N116" s="50"/>
    </row>
    <row r="117" spans="1:14" x14ac:dyDescent="0.25">
      <c r="A117" s="12" t="s">
        <v>128</v>
      </c>
      <c r="B117" s="19" t="s">
        <v>28</v>
      </c>
      <c r="C117" s="12" t="s">
        <v>83</v>
      </c>
      <c r="D117" s="12" t="s">
        <v>384</v>
      </c>
      <c r="E117" s="47">
        <v>7</v>
      </c>
      <c r="F117" s="47">
        <v>85</v>
      </c>
      <c r="G117" s="47">
        <v>8</v>
      </c>
      <c r="H117" s="47">
        <v>2</v>
      </c>
      <c r="I117" s="47">
        <v>0</v>
      </c>
      <c r="J117" s="47">
        <f>IFERROR((((((((Tables!$H$2/VLOOKUP(A117,Characters!$A$2:$F$1048576,5,FALSE))*(VLOOKUP(A117,Characters!$A$2:$F$1048576,5,FALSE)-H117))/6)*6)+((((Tables!$G$2/VLOOKUP(A117,Characters!$A$2:$F$1048576,6,FALSE))*(VLOOKUP(A117,Characters!$A$2:$F$1048576,6,FALSE)-I117))/24)*24)))/30)*(Tables!$K$5*100),(((Tables!$H$2/VLOOKUP(A117,Characters!$A$2:$F$1048576,5,FALSE))*(VLOOKUP(A117,Characters!$A$2:$F$1048576,5,FALSE)-H117))/6)*(Tables!$K$5*100))</f>
        <v>15</v>
      </c>
      <c r="K117" s="48">
        <f>VLOOKUP(E117,Tables!$E$1:$F$9,2,FALSE)+VLOOKUP(F117,Tables!$C:$D,2,FALSE)+VLOOKUP(G117,Tables!$A:$B,2,FALSE)+IFERROR((((((((Tables!$H$2/VLOOKUP(A117,Characters!$A$2:$F$1048576,5,FALSE))*(VLOOKUP(A117,Characters!$A$2:$F$1048576,5,FALSE)-H117))/6)*6)+((((Tables!$G$2/VLOOKUP(A117,Characters!$A$2:$F$1048576,6,FALSE))*(VLOOKUP(A117,Characters!$A$2:$F$1048576,6,FALSE)-I117))/24)*24)))/30)*(Tables!$K$5*100),(((Tables!$H$2/VLOOKUP(A117,Characters!$A$2:$F$1048576,5,FALSE))*(VLOOKUP(A117,Characters!$A$2:$F$1048576,5,FALSE)-H117))/6)*(Tables!$K$5*100))</f>
        <v>58.518518518518519</v>
      </c>
      <c r="L117" s="47"/>
      <c r="M117" s="49">
        <v>11923</v>
      </c>
      <c r="N117" s="50"/>
    </row>
    <row r="118" spans="1:14" x14ac:dyDescent="0.25">
      <c r="A118" s="12" t="s">
        <v>129</v>
      </c>
      <c r="B118" s="19" t="s">
        <v>28</v>
      </c>
      <c r="C118" s="12" t="s">
        <v>200</v>
      </c>
      <c r="D118" s="12"/>
      <c r="E118" s="47">
        <v>7</v>
      </c>
      <c r="F118" s="47">
        <v>85</v>
      </c>
      <c r="G118" s="47">
        <v>8</v>
      </c>
      <c r="H118" s="47">
        <v>3</v>
      </c>
      <c r="I118" s="47">
        <v>0</v>
      </c>
      <c r="J118" s="47">
        <f>IFERROR((((((((Tables!$H$2/VLOOKUP(A118,Characters!$A$2:$F$1048576,5,FALSE))*(VLOOKUP(A118,Characters!$A$2:$F$1048576,5,FALSE)-H118))/6)*6)+((((Tables!$G$2/VLOOKUP(A118,Characters!$A$2:$F$1048576,6,FALSE))*(VLOOKUP(A118,Characters!$A$2:$F$1048576,6,FALSE)-I118))/24)*24)))/30)*(Tables!$K$5*100),(((Tables!$H$2/VLOOKUP(A118,Characters!$A$2:$F$1048576,5,FALSE))*(VLOOKUP(A118,Characters!$A$2:$F$1048576,5,FALSE)-H118))/6)*(Tables!$K$5*100))</f>
        <v>0</v>
      </c>
      <c r="K118" s="48">
        <f>VLOOKUP(E118,Tables!$E$1:$F$9,2,FALSE)+VLOOKUP(F118,Tables!$C:$D,2,FALSE)+VLOOKUP(G118,Tables!$A:$B,2,FALSE)+IFERROR((((((((Tables!$H$2/VLOOKUP(A118,Characters!$A$2:$F$1048576,5,FALSE))*(VLOOKUP(A118,Characters!$A$2:$F$1048576,5,FALSE)-H118))/6)*6)+((((Tables!$G$2/VLOOKUP(A118,Characters!$A$2:$F$1048576,6,FALSE))*(VLOOKUP(A118,Characters!$A$2:$F$1048576,6,FALSE)-I118))/24)*24)))/30)*(Tables!$K$5*100),(((Tables!$H$2/VLOOKUP(A118,Characters!$A$2:$F$1048576,5,FALSE))*(VLOOKUP(A118,Characters!$A$2:$F$1048576,5,FALSE)-H118))/6)*(Tables!$K$5*100))</f>
        <v>43.518518518518519</v>
      </c>
      <c r="L118" s="47"/>
      <c r="M118" s="49">
        <v>11814</v>
      </c>
      <c r="N118" s="50"/>
    </row>
    <row r="119" spans="1:14" x14ac:dyDescent="0.25">
      <c r="A119" s="12" t="s">
        <v>55</v>
      </c>
      <c r="B119" s="19" t="s">
        <v>28</v>
      </c>
      <c r="C119" s="12" t="s">
        <v>200</v>
      </c>
      <c r="D119" s="12" t="s">
        <v>395</v>
      </c>
      <c r="E119" s="47">
        <v>7</v>
      </c>
      <c r="F119" s="47">
        <v>85</v>
      </c>
      <c r="G119" s="47">
        <v>12</v>
      </c>
      <c r="H119" s="47">
        <v>0</v>
      </c>
      <c r="I119" s="47">
        <v>0</v>
      </c>
      <c r="J119" s="47">
        <f>IFERROR((((((((Tables!$H$2/VLOOKUP(A119,Characters!$A$2:$F$1048576,5,FALSE))*(VLOOKUP(A119,Characters!$A$2:$F$1048576,5,FALSE)-H119))/6)*6)+((((Tables!$G$2/VLOOKUP(A119,Characters!$A$2:$F$1048576,6,FALSE))*(VLOOKUP(A119,Characters!$A$2:$F$1048576,6,FALSE)-I119))/24)*24)))/30)*(Tables!$K$5*100),(((Tables!$H$2/VLOOKUP(A119,Characters!$A$2:$F$1048576,5,FALSE))*(VLOOKUP(A119,Characters!$A$2:$F$1048576,5,FALSE)-H119))/6)*(Tables!$K$5*100))</f>
        <v>30</v>
      </c>
      <c r="K119" s="48">
        <f>VLOOKUP(E119,Tables!$E$1:$F$9,2,FALSE)+VLOOKUP(F119,Tables!$C:$D,2,FALSE)+VLOOKUP(G119,Tables!$A:$B,2,FALSE)+IFERROR((((((((Tables!$H$2/VLOOKUP(A119,Characters!$A$2:$F$1048576,5,FALSE))*(VLOOKUP(A119,Characters!$A$2:$F$1048576,5,FALSE)-H119))/6)*6)+((((Tables!$G$2/VLOOKUP(A119,Characters!$A$2:$F$1048576,6,FALSE))*(VLOOKUP(A119,Characters!$A$2:$F$1048576,6,FALSE)-I119))/24)*24)))/30)*(Tables!$K$5*100),(((Tables!$H$2/VLOOKUP(A119,Characters!$A$2:$F$1048576,5,FALSE))*(VLOOKUP(A119,Characters!$A$2:$F$1048576,5,FALSE)-H119))/6)*(Tables!$K$5*100))</f>
        <v>100</v>
      </c>
      <c r="L119" s="47" t="s">
        <v>360</v>
      </c>
      <c r="M119" s="49">
        <v>16893</v>
      </c>
      <c r="N119" s="50"/>
    </row>
    <row r="120" spans="1:14" x14ac:dyDescent="0.25">
      <c r="A120" s="12" t="s">
        <v>130</v>
      </c>
      <c r="B120" s="19" t="s">
        <v>28</v>
      </c>
      <c r="C120" s="12" t="s">
        <v>200</v>
      </c>
      <c r="D120" s="12"/>
      <c r="E120" s="47">
        <v>7</v>
      </c>
      <c r="F120" s="47">
        <v>65</v>
      </c>
      <c r="G120" s="47">
        <v>7</v>
      </c>
      <c r="H120" s="47">
        <v>3</v>
      </c>
      <c r="I120" s="47">
        <v>0</v>
      </c>
      <c r="J120" s="47">
        <f>IFERROR((((((((Tables!$H$2/VLOOKUP(A120,Characters!$A$2:$F$1048576,5,FALSE))*(VLOOKUP(A120,Characters!$A$2:$F$1048576,5,FALSE)-H120))/6)*6)+((((Tables!$G$2/VLOOKUP(A120,Characters!$A$2:$F$1048576,6,FALSE))*(VLOOKUP(A120,Characters!$A$2:$F$1048576,6,FALSE)-I120))/24)*24)))/30)*(Tables!$K$5*100),(((Tables!$H$2/VLOOKUP(A120,Characters!$A$2:$F$1048576,5,FALSE))*(VLOOKUP(A120,Characters!$A$2:$F$1048576,5,FALSE)-H120))/6)*(Tables!$K$5*100))</f>
        <v>0</v>
      </c>
      <c r="K120" s="48">
        <f>VLOOKUP(E120,Tables!$E$1:$F$9,2,FALSE)+VLOOKUP(F120,Tables!$C:$D,2,FALSE)+VLOOKUP(G120,Tables!$A:$B,2,FALSE)+IFERROR((((((((Tables!$H$2/VLOOKUP(A120,Characters!$A$2:$F$1048576,5,FALSE))*(VLOOKUP(A120,Characters!$A$2:$F$1048576,5,FALSE)-H120))/6)*6)+((((Tables!$G$2/VLOOKUP(A120,Characters!$A$2:$F$1048576,6,FALSE))*(VLOOKUP(A120,Characters!$A$2:$F$1048576,6,FALSE)-I120))/24)*24)))/30)*(Tables!$K$5*100),(((Tables!$H$2/VLOOKUP(A120,Characters!$A$2:$F$1048576,5,FALSE))*(VLOOKUP(A120,Characters!$A$2:$F$1048576,5,FALSE)-H120))/6)*(Tables!$K$5*100))</f>
        <v>40.001186630829579</v>
      </c>
      <c r="L120" s="47"/>
      <c r="M120" s="49">
        <v>8652</v>
      </c>
      <c r="N120" s="50"/>
    </row>
    <row r="121" spans="1:14" x14ac:dyDescent="0.25">
      <c r="A121" s="12" t="s">
        <v>131</v>
      </c>
      <c r="B121" s="19" t="s">
        <v>28</v>
      </c>
      <c r="C121" s="12" t="s">
        <v>202</v>
      </c>
      <c r="D121" s="12" t="s">
        <v>387</v>
      </c>
      <c r="E121" s="47">
        <v>7</v>
      </c>
      <c r="F121" s="47">
        <v>85</v>
      </c>
      <c r="G121" s="47">
        <v>9</v>
      </c>
      <c r="H121" s="47">
        <v>0</v>
      </c>
      <c r="I121" s="47">
        <v>2</v>
      </c>
      <c r="J121" s="47">
        <f>IFERROR((((((((Tables!$H$2/VLOOKUP(A121,Characters!$A$2:$F$1048576,5,FALSE))*(VLOOKUP(A121,Characters!$A$2:$F$1048576,5,FALSE)-H121))/6)*6)+((((Tables!$G$2/VLOOKUP(A121,Characters!$A$2:$F$1048576,6,FALSE))*(VLOOKUP(A121,Characters!$A$2:$F$1048576,6,FALSE)-I121))/24)*24)))/30)*(Tables!$K$5*100),(((Tables!$H$2/VLOOKUP(A121,Characters!$A$2:$F$1048576,5,FALSE))*(VLOOKUP(A121,Characters!$A$2:$F$1048576,5,FALSE)-H121))/6)*(Tables!$K$5*100))</f>
        <v>6</v>
      </c>
      <c r="K121" s="48">
        <f>VLOOKUP(E121,Tables!$E$1:$F$9,2,FALSE)+VLOOKUP(F121,Tables!$C:$D,2,FALSE)+VLOOKUP(G121,Tables!$A:$B,2,FALSE)+IFERROR((((((((Tables!$H$2/VLOOKUP(A121,Characters!$A$2:$F$1048576,5,FALSE))*(VLOOKUP(A121,Characters!$A$2:$F$1048576,5,FALSE)-H121))/6)*6)+((((Tables!$G$2/VLOOKUP(A121,Characters!$A$2:$F$1048576,6,FALSE))*(VLOOKUP(A121,Characters!$A$2:$F$1048576,6,FALSE)-I121))/24)*24)))/30)*(Tables!$K$5*100),(((Tables!$H$2/VLOOKUP(A121,Characters!$A$2:$F$1048576,5,FALSE))*(VLOOKUP(A121,Characters!$A$2:$F$1048576,5,FALSE)-H121))/6)*(Tables!$K$5*100))</f>
        <v>53.44140625</v>
      </c>
      <c r="L121" s="47" t="s">
        <v>361</v>
      </c>
      <c r="M121" s="49">
        <v>15075</v>
      </c>
      <c r="N121" s="50"/>
    </row>
    <row r="122" spans="1:14" x14ac:dyDescent="0.25">
      <c r="A122" s="12" t="s">
        <v>84</v>
      </c>
      <c r="B122" s="19" t="s">
        <v>28</v>
      </c>
      <c r="C122" s="12" t="s">
        <v>213</v>
      </c>
      <c r="D122" s="12" t="s">
        <v>387</v>
      </c>
      <c r="E122" s="47">
        <v>7</v>
      </c>
      <c r="F122" s="47">
        <v>85</v>
      </c>
      <c r="G122" s="47">
        <v>8</v>
      </c>
      <c r="H122" s="47">
        <v>0</v>
      </c>
      <c r="I122" s="47">
        <v>0</v>
      </c>
      <c r="J122" s="47">
        <f>IFERROR((((((((Tables!$H$2/VLOOKUP(A122,Characters!$A$2:$F$1048576,5,FALSE))*(VLOOKUP(A122,Characters!$A$2:$F$1048576,5,FALSE)-H122))/6)*6)+((((Tables!$G$2/VLOOKUP(A122,Characters!$A$2:$F$1048576,6,FALSE))*(VLOOKUP(A122,Characters!$A$2:$F$1048576,6,FALSE)-I122))/24)*24)))/30)*(Tables!$K$5*100),(((Tables!$H$2/VLOOKUP(A122,Characters!$A$2:$F$1048576,5,FALSE))*(VLOOKUP(A122,Characters!$A$2:$F$1048576,5,FALSE)-H122))/6)*(Tables!$K$5*100))</f>
        <v>30</v>
      </c>
      <c r="K122" s="48">
        <f>VLOOKUP(E122,Tables!$E$1:$F$9,2,FALSE)+VLOOKUP(F122,Tables!$C:$D,2,FALSE)+VLOOKUP(G122,Tables!$A:$B,2,FALSE)+IFERROR((((((((Tables!$H$2/VLOOKUP(A122,Characters!$A$2:$F$1048576,5,FALSE))*(VLOOKUP(A122,Characters!$A$2:$F$1048576,5,FALSE)-H122))/6)*6)+((((Tables!$G$2/VLOOKUP(A122,Characters!$A$2:$F$1048576,6,FALSE))*(VLOOKUP(A122,Characters!$A$2:$F$1048576,6,FALSE)-I122))/24)*24)))/30)*(Tables!$K$5*100),(((Tables!$H$2/VLOOKUP(A122,Characters!$A$2:$F$1048576,5,FALSE))*(VLOOKUP(A122,Characters!$A$2:$F$1048576,5,FALSE)-H122))/6)*(Tables!$K$5*100))</f>
        <v>73.518518518518519</v>
      </c>
      <c r="L122" s="47" t="s">
        <v>361</v>
      </c>
      <c r="M122" s="49">
        <v>13302</v>
      </c>
      <c r="N122" s="50"/>
    </row>
    <row r="123" spans="1:14" x14ac:dyDescent="0.25">
      <c r="A123" s="12" t="s">
        <v>132</v>
      </c>
      <c r="B123" s="19" t="s">
        <v>28</v>
      </c>
      <c r="C123" s="12" t="s">
        <v>209</v>
      </c>
      <c r="D123" s="12" t="s">
        <v>386</v>
      </c>
      <c r="E123" s="47">
        <v>7</v>
      </c>
      <c r="F123" s="47">
        <v>85</v>
      </c>
      <c r="G123" s="47">
        <v>8</v>
      </c>
      <c r="H123" s="47">
        <v>3</v>
      </c>
      <c r="I123" s="47">
        <v>1</v>
      </c>
      <c r="J123" s="47">
        <f>IFERROR((((((((Tables!$H$2/VLOOKUP(A123,Characters!$A$2:$F$1048576,5,FALSE))*(VLOOKUP(A123,Characters!$A$2:$F$1048576,5,FALSE)-H123))/6)*6)+((((Tables!$G$2/VLOOKUP(A123,Characters!$A$2:$F$1048576,6,FALSE))*(VLOOKUP(A123,Characters!$A$2:$F$1048576,6,FALSE)-I123))/24)*24)))/30)*(Tables!$K$5*100),(((Tables!$H$2/VLOOKUP(A123,Characters!$A$2:$F$1048576,5,FALSE))*(VLOOKUP(A123,Characters!$A$2:$F$1048576,5,FALSE)-H123))/6)*(Tables!$K$5*100))</f>
        <v>0</v>
      </c>
      <c r="K123" s="48">
        <f>VLOOKUP(E123,Tables!$E$1:$F$9,2,FALSE)+VLOOKUP(F123,Tables!$C:$D,2,FALSE)+VLOOKUP(G123,Tables!$A:$B,2,FALSE)+IFERROR((((((((Tables!$H$2/VLOOKUP(A123,Characters!$A$2:$F$1048576,5,FALSE))*(VLOOKUP(A123,Characters!$A$2:$F$1048576,5,FALSE)-H123))/6)*6)+((((Tables!$G$2/VLOOKUP(A123,Characters!$A$2:$F$1048576,6,FALSE))*(VLOOKUP(A123,Characters!$A$2:$F$1048576,6,FALSE)-I123))/24)*24)))/30)*(Tables!$K$5*100),(((Tables!$H$2/VLOOKUP(A123,Characters!$A$2:$F$1048576,5,FALSE))*(VLOOKUP(A123,Characters!$A$2:$F$1048576,5,FALSE)-H123))/6)*(Tables!$K$5*100))</f>
        <v>43.518518518518519</v>
      </c>
      <c r="L123" s="47" t="s">
        <v>360</v>
      </c>
      <c r="M123" s="49">
        <v>11592</v>
      </c>
      <c r="N123" s="50"/>
    </row>
    <row r="124" spans="1:14" x14ac:dyDescent="0.25">
      <c r="A124" s="12" t="s">
        <v>133</v>
      </c>
      <c r="B124" s="19" t="s">
        <v>28</v>
      </c>
      <c r="C124" s="12" t="s">
        <v>200</v>
      </c>
      <c r="D124" s="12"/>
      <c r="E124" s="47">
        <v>2</v>
      </c>
      <c r="F124" s="47">
        <v>1</v>
      </c>
      <c r="G124" s="47">
        <v>1</v>
      </c>
      <c r="H124" s="47">
        <v>4</v>
      </c>
      <c r="I124" s="47">
        <v>0</v>
      </c>
      <c r="J124" s="47">
        <f>IFERROR((((((((Tables!$H$2/VLOOKUP(A124,Characters!$A$2:$F$1048576,5,FALSE))*(VLOOKUP(A124,Characters!$A$2:$F$1048576,5,FALSE)-H124))/6)*6)+((((Tables!$G$2/VLOOKUP(A124,Characters!$A$2:$F$1048576,6,FALSE))*(VLOOKUP(A124,Characters!$A$2:$F$1048576,6,FALSE)-I124))/24)*24)))/30)*(Tables!$K$5*100),(((Tables!$H$2/VLOOKUP(A124,Characters!$A$2:$F$1048576,5,FALSE))*(VLOOKUP(A124,Characters!$A$2:$F$1048576,5,FALSE)-H124))/6)*(Tables!$K$5*100))</f>
        <v>0</v>
      </c>
      <c r="K124" s="48">
        <f>VLOOKUP(E124,Tables!$E$1:$F$9,2,FALSE)+VLOOKUP(F124,Tables!$C:$D,2,FALSE)+VLOOKUP(G124,Tables!$A:$B,2,FALSE)+IFERROR((((((((Tables!$H$2/VLOOKUP(A124,Characters!$A$2:$F$1048576,5,FALSE))*(VLOOKUP(A124,Characters!$A$2:$F$1048576,5,FALSE)-H124))/6)*6)+((((Tables!$G$2/VLOOKUP(A124,Characters!$A$2:$F$1048576,6,FALSE))*(VLOOKUP(A124,Characters!$A$2:$F$1048576,6,FALSE)-I124))/24)*24)))/30)*(Tables!$K$5*100),(((Tables!$H$2/VLOOKUP(A124,Characters!$A$2:$F$1048576,5,FALSE))*(VLOOKUP(A124,Characters!$A$2:$F$1048576,5,FALSE)-H124))/6)*(Tables!$K$5*100))</f>
        <v>3.8080982396074696</v>
      </c>
      <c r="L124" s="47"/>
      <c r="M124" s="49">
        <v>451</v>
      </c>
      <c r="N124" s="50"/>
    </row>
    <row r="125" spans="1:14" x14ac:dyDescent="0.25">
      <c r="A125" s="12" t="s">
        <v>46</v>
      </c>
      <c r="B125" s="19" t="s">
        <v>29</v>
      </c>
      <c r="C125" s="12" t="s">
        <v>36</v>
      </c>
      <c r="D125" s="12" t="s">
        <v>381</v>
      </c>
      <c r="E125" s="47">
        <v>7</v>
      </c>
      <c r="F125" s="47">
        <v>85</v>
      </c>
      <c r="G125" s="47">
        <v>12</v>
      </c>
      <c r="H125" s="47">
        <v>0</v>
      </c>
      <c r="I125" s="47">
        <v>0</v>
      </c>
      <c r="J125" s="47">
        <f>IFERROR((((((((Tables!$H$2/VLOOKUP(A125,Characters!$A$2:$F$1048576,5,FALSE))*(VLOOKUP(A125,Characters!$A$2:$F$1048576,5,FALSE)-H125))/6)*6)+((((Tables!$G$2/VLOOKUP(A125,Characters!$A$2:$F$1048576,6,FALSE))*(VLOOKUP(A125,Characters!$A$2:$F$1048576,6,FALSE)-I125))/24)*24)))/30)*(Tables!$K$5*100),(((Tables!$H$2/VLOOKUP(A125,Characters!$A$2:$F$1048576,5,FALSE))*(VLOOKUP(A125,Characters!$A$2:$F$1048576,5,FALSE)-H125))/6)*(Tables!$K$5*100))</f>
        <v>30</v>
      </c>
      <c r="K125" s="48">
        <f>VLOOKUP(E125,Tables!$E$1:$F$9,2,FALSE)+VLOOKUP(F125,Tables!$C:$D,2,FALSE)+VLOOKUP(G125,Tables!$A:$B,2,FALSE)+IFERROR((((((((Tables!$H$2/VLOOKUP(A125,Characters!$A$2:$F$1048576,5,FALSE))*(VLOOKUP(A125,Characters!$A$2:$F$1048576,5,FALSE)-H125))/6)*6)+((((Tables!$G$2/VLOOKUP(A125,Characters!$A$2:$F$1048576,6,FALSE))*(VLOOKUP(A125,Characters!$A$2:$F$1048576,6,FALSE)-I125))/24)*24)))/30)*(Tables!$K$5*100),(((Tables!$H$2/VLOOKUP(A125,Characters!$A$2:$F$1048576,5,FALSE))*(VLOOKUP(A125,Characters!$A$2:$F$1048576,5,FALSE)-H125))/6)*(Tables!$K$5*100))</f>
        <v>100</v>
      </c>
      <c r="L125" s="47" t="s">
        <v>175</v>
      </c>
      <c r="M125" s="49">
        <v>19509</v>
      </c>
      <c r="N125" s="50"/>
    </row>
    <row r="126" spans="1:14" x14ac:dyDescent="0.25">
      <c r="A126" s="12" t="s">
        <v>154</v>
      </c>
      <c r="B126" s="19" t="s">
        <v>29</v>
      </c>
      <c r="C126" s="12" t="s">
        <v>36</v>
      </c>
      <c r="D126" s="12"/>
      <c r="E126" s="47">
        <v>4</v>
      </c>
      <c r="F126" s="47">
        <v>85</v>
      </c>
      <c r="G126" s="47">
        <v>7</v>
      </c>
      <c r="H126" s="47">
        <v>3</v>
      </c>
      <c r="I126" s="47">
        <v>2</v>
      </c>
      <c r="J126" s="47">
        <f>IFERROR((((((((Tables!$H$2/VLOOKUP(A126,Characters!$A$2:$F$1048576,5,FALSE))*(VLOOKUP(A126,Characters!$A$2:$F$1048576,5,FALSE)-H126))/6)*6)+((((Tables!$G$2/VLOOKUP(A126,Characters!$A$2:$F$1048576,6,FALSE))*(VLOOKUP(A126,Characters!$A$2:$F$1048576,6,FALSE)-I126))/24)*24)))/30)*(Tables!$K$5*100),(((Tables!$H$2/VLOOKUP(A126,Characters!$A$2:$F$1048576,5,FALSE))*(VLOOKUP(A126,Characters!$A$2:$F$1048576,5,FALSE)-H126))/6)*(Tables!$K$5*100))</f>
        <v>0</v>
      </c>
      <c r="K126" s="48">
        <f>VLOOKUP(E126,Tables!$E$1:$F$9,2,FALSE)+VLOOKUP(F126,Tables!$C:$D,2,FALSE)+VLOOKUP(G126,Tables!$A:$B,2,FALSE)+IFERROR((((((((Tables!$H$2/VLOOKUP(A126,Characters!$A$2:$F$1048576,5,FALSE))*(VLOOKUP(A126,Characters!$A$2:$F$1048576,5,FALSE)-H126))/6)*6)+((((Tables!$G$2/VLOOKUP(A126,Characters!$A$2:$F$1048576,6,FALSE))*(VLOOKUP(A126,Characters!$A$2:$F$1048576,6,FALSE)-I126))/24)*24)))/30)*(Tables!$K$5*100),(((Tables!$H$2/VLOOKUP(A126,Characters!$A$2:$F$1048576,5,FALSE))*(VLOOKUP(A126,Characters!$A$2:$F$1048576,5,FALSE)-H126))/6)*(Tables!$K$5*100))</f>
        <v>26.04706309731877</v>
      </c>
      <c r="L126" s="47"/>
      <c r="M126" s="49">
        <v>8169</v>
      </c>
      <c r="N126" s="50"/>
    </row>
    <row r="127" spans="1:14" x14ac:dyDescent="0.25">
      <c r="A127" s="26" t="s">
        <v>363</v>
      </c>
      <c r="B127" s="31" t="s">
        <v>28</v>
      </c>
      <c r="C127" s="26" t="s">
        <v>364</v>
      </c>
      <c r="D127" s="26" t="s">
        <v>388</v>
      </c>
      <c r="E127" s="50">
        <v>3</v>
      </c>
      <c r="F127" s="50">
        <v>1</v>
      </c>
      <c r="G127" s="50">
        <v>1</v>
      </c>
      <c r="H127" s="50">
        <v>3</v>
      </c>
      <c r="I127" s="50">
        <v>1</v>
      </c>
      <c r="J127" s="51">
        <f>IFERROR((((((((Tables!$H$2/VLOOKUP(A127,Characters!$A$2:$F$1048576,5,FALSE))*(VLOOKUP(A127,Characters!$A$2:$F$1048576,5,FALSE)-H127))/6)*6)+((((Tables!$G$2/VLOOKUP(A127,Characters!$A$2:$F$1048576,6,FALSE))*(VLOOKUP(A127,Characters!$A$2:$F$1048576,6,FALSE)-I127))/24)*24)))/30)*(Tables!$K$5*100),(((Tables!$H$2/VLOOKUP(A127,Characters!$A$2:$F$1048576,5,FALSE))*(VLOOKUP(A127,Characters!$A$2:$F$1048576,5,FALSE)-H127))/6)*(Tables!$K$5*100))</f>
        <v>0</v>
      </c>
      <c r="K127" s="52">
        <f>VLOOKUP(E127,Tables!$E$1:$F$9,2,FALSE)+VLOOKUP(F127,Tables!$C:$D,2,FALSE)+VLOOKUP(G127,Tables!$A:$B,2,FALSE)+IFERROR((((((((Tables!$H$2/VLOOKUP(A127,Characters!$A$2:$F$1048576,5,FALSE))*(VLOOKUP(A127,Characters!$A$2:$F$1048576,5,FALSE)-H127))/6)*6)+((((Tables!$G$2/VLOOKUP(A127,Characters!$A$2:$F$1048576,6,FALSE))*(VLOOKUP(A127,Characters!$A$2:$F$1048576,6,FALSE)-I127))/24)*24)))/30)*(Tables!$K$5*100),(((Tables!$H$2/VLOOKUP(A127,Characters!$A$2:$F$1048576,5,FALSE))*(VLOOKUP(A127,Characters!$A$2:$F$1048576,5,FALSE)-H127))/6)*(Tables!$K$5*100))</f>
        <v>9.5639405074832009</v>
      </c>
      <c r="L127" s="50"/>
      <c r="M127" s="49">
        <v>676</v>
      </c>
      <c r="N127" s="50"/>
    </row>
    <row r="128" spans="1:14" x14ac:dyDescent="0.25">
      <c r="A128" s="12" t="s">
        <v>65</v>
      </c>
      <c r="B128" s="19" t="s">
        <v>28</v>
      </c>
      <c r="C128" s="12" t="s">
        <v>204</v>
      </c>
      <c r="D128" s="12" t="s">
        <v>389</v>
      </c>
      <c r="E128" s="47">
        <v>7</v>
      </c>
      <c r="F128" s="47">
        <v>85</v>
      </c>
      <c r="G128" s="47">
        <v>11</v>
      </c>
      <c r="H128" s="47">
        <v>0</v>
      </c>
      <c r="I128" s="47">
        <v>0</v>
      </c>
      <c r="J128" s="47">
        <f>IFERROR((((((((Tables!$H$2/VLOOKUP(A128,Characters!$A$2:$F$1048576,5,FALSE))*(VLOOKUP(A128,Characters!$A$2:$F$1048576,5,FALSE)-H128))/6)*6)+((((Tables!$G$2/VLOOKUP(A128,Characters!$A$2:$F$1048576,6,FALSE))*(VLOOKUP(A128,Characters!$A$2:$F$1048576,6,FALSE)-I128))/24)*24)))/30)*(Tables!$K$5*100),(((Tables!$H$2/VLOOKUP(A128,Characters!$A$2:$F$1048576,5,FALSE))*(VLOOKUP(A128,Characters!$A$2:$F$1048576,5,FALSE)-H128))/6)*(Tables!$K$5*100))</f>
        <v>30</v>
      </c>
      <c r="K128" s="48">
        <f>VLOOKUP(E128,Tables!$E$1:$F$9,2,FALSE)+VLOOKUP(F128,Tables!$C:$D,2,FALSE)+VLOOKUP(G128,Tables!$A:$B,2,FALSE)+IFERROR((((((((Tables!$H$2/VLOOKUP(A128,Characters!$A$2:$F$1048576,5,FALSE))*(VLOOKUP(A128,Characters!$A$2:$F$1048576,5,FALSE)-H128))/6)*6)+((((Tables!$G$2/VLOOKUP(A128,Characters!$A$2:$F$1048576,6,FALSE))*(VLOOKUP(A128,Characters!$A$2:$F$1048576,6,FALSE)-I128))/24)*24)))/30)*(Tables!$K$5*100),(((Tables!$H$2/VLOOKUP(A128,Characters!$A$2:$F$1048576,5,FALSE))*(VLOOKUP(A128,Characters!$A$2:$F$1048576,5,FALSE)-H128))/6)*(Tables!$K$5*100))</f>
        <v>90.300202546296305</v>
      </c>
      <c r="L128" s="47"/>
      <c r="M128" s="49">
        <v>15825</v>
      </c>
      <c r="N128" s="50"/>
    </row>
    <row r="129" spans="1:14" x14ac:dyDescent="0.25">
      <c r="A129" s="12" t="s">
        <v>1</v>
      </c>
      <c r="B129" s="19" t="s">
        <v>28</v>
      </c>
      <c r="C129" s="12" t="s">
        <v>10</v>
      </c>
      <c r="D129" s="12"/>
      <c r="E129" s="47">
        <v>5</v>
      </c>
      <c r="F129" s="47">
        <v>1</v>
      </c>
      <c r="G129" s="47">
        <v>1</v>
      </c>
      <c r="H129" s="47">
        <v>4</v>
      </c>
      <c r="I129" s="47">
        <v>0</v>
      </c>
      <c r="J129" s="47">
        <f>IFERROR((((((((Tables!$H$2/VLOOKUP(A129,Characters!$A$2:$F$1048576,5,FALSE))*(VLOOKUP(A129,Characters!$A$2:$F$1048576,5,FALSE)-H129))/6)*6)+((((Tables!$G$2/VLOOKUP(A129,Characters!$A$2:$F$1048576,6,FALSE))*(VLOOKUP(A129,Characters!$A$2:$F$1048576,6,FALSE)-I129))/24)*24)))/30)*(Tables!$K$5*100),(((Tables!$H$2/VLOOKUP(A129,Characters!$A$2:$F$1048576,5,FALSE))*(VLOOKUP(A129,Characters!$A$2:$F$1048576,5,FALSE)-H129))/6)*(Tables!$K$5*100))</f>
        <v>0</v>
      </c>
      <c r="K129" s="48">
        <f>VLOOKUP(E129,Tables!$E$1:$F$9,2,FALSE)+VLOOKUP(F129,Tables!$C:$D,2,FALSE)+VLOOKUP(G129,Tables!$A:$B,2,FALSE)+IFERROR((((((((Tables!$H$2/VLOOKUP(A129,Characters!$A$2:$F$1048576,5,FALSE))*(VLOOKUP(A129,Characters!$A$2:$F$1048576,5,FALSE)-H129))/6)*6)+((((Tables!$G$2/VLOOKUP(A129,Characters!$A$2:$F$1048576,6,FALSE))*(VLOOKUP(A129,Characters!$A$2:$F$1048576,6,FALSE)-I129))/24)*24)))/30)*(Tables!$K$5*100),(((Tables!$H$2/VLOOKUP(A129,Characters!$A$2:$F$1048576,5,FALSE))*(VLOOKUP(A129,Characters!$A$2:$F$1048576,5,FALSE)-H129))/6)*(Tables!$K$5*100))</f>
        <v>20.523802191457257</v>
      </c>
      <c r="L129" s="47"/>
      <c r="M129" s="49">
        <v>1521</v>
      </c>
      <c r="N129" s="50"/>
    </row>
    <row r="130" spans="1:14" x14ac:dyDescent="0.25">
      <c r="A130" s="12" t="s">
        <v>8</v>
      </c>
      <c r="B130" s="19" t="s">
        <v>28</v>
      </c>
      <c r="C130" s="12" t="s">
        <v>14</v>
      </c>
      <c r="D130" s="12" t="s">
        <v>396</v>
      </c>
      <c r="E130" s="47">
        <v>7</v>
      </c>
      <c r="F130" s="47">
        <v>85</v>
      </c>
      <c r="G130" s="47">
        <v>7</v>
      </c>
      <c r="H130" s="47">
        <v>3</v>
      </c>
      <c r="I130" s="47">
        <v>1</v>
      </c>
      <c r="J130" s="47">
        <f>IFERROR((((((((Tables!$H$2/VLOOKUP(A130,Characters!$A$2:$F$1048576,5,FALSE))*(VLOOKUP(A130,Characters!$A$2:$F$1048576,5,FALSE)-H130))/6)*6)+((((Tables!$G$2/VLOOKUP(A130,Characters!$A$2:$F$1048576,6,FALSE))*(VLOOKUP(A130,Characters!$A$2:$F$1048576,6,FALSE)-I130))/24)*24)))/30)*(Tables!$K$5*100),(((Tables!$H$2/VLOOKUP(A130,Characters!$A$2:$F$1048576,5,FALSE))*(VLOOKUP(A130,Characters!$A$2:$F$1048576,5,FALSE)-H130))/6)*(Tables!$K$5*100))</f>
        <v>0</v>
      </c>
      <c r="K130" s="48">
        <f>VLOOKUP(E130,Tables!$E$1:$F$9,2,FALSE)+VLOOKUP(F130,Tables!$C:$D,2,FALSE)+VLOOKUP(G130,Tables!$A:$B,2,FALSE)+IFERROR((((((((Tables!$H$2/VLOOKUP(A130,Characters!$A$2:$F$1048576,5,FALSE))*(VLOOKUP(A130,Characters!$A$2:$F$1048576,5,FALSE)-H130))/6)*6)+((((Tables!$G$2/VLOOKUP(A130,Characters!$A$2:$F$1048576,6,FALSE))*(VLOOKUP(A130,Characters!$A$2:$F$1048576,6,FALSE)-I130))/24)*24)))/30)*(Tables!$K$5*100),(((Tables!$H$2/VLOOKUP(A130,Characters!$A$2:$F$1048576,5,FALSE))*(VLOOKUP(A130,Characters!$A$2:$F$1048576,5,FALSE)-H130))/6)*(Tables!$K$5*100))</f>
        <v>40.821035879629626</v>
      </c>
      <c r="L130" s="47"/>
      <c r="M130" s="49">
        <v>11124</v>
      </c>
      <c r="N130" s="50"/>
    </row>
    <row r="131" spans="1:14" x14ac:dyDescent="0.25">
      <c r="A131" s="12" t="s">
        <v>134</v>
      </c>
      <c r="B131" s="19" t="s">
        <v>28</v>
      </c>
      <c r="C131" s="12" t="s">
        <v>10</v>
      </c>
      <c r="D131" s="12"/>
      <c r="E131" s="47">
        <v>7</v>
      </c>
      <c r="F131" s="47">
        <v>85</v>
      </c>
      <c r="G131" s="47">
        <v>11</v>
      </c>
      <c r="H131" s="47">
        <v>0</v>
      </c>
      <c r="I131" s="47">
        <v>0</v>
      </c>
      <c r="J131" s="47">
        <f>IFERROR((((((((Tables!$H$2/VLOOKUP(A131,Characters!$A$2:$F$1048576,5,FALSE))*(VLOOKUP(A131,Characters!$A$2:$F$1048576,5,FALSE)-H131))/6)*6)+((((Tables!$G$2/VLOOKUP(A131,Characters!$A$2:$F$1048576,6,FALSE))*(VLOOKUP(A131,Characters!$A$2:$F$1048576,6,FALSE)-I131))/24)*24)))/30)*(Tables!$K$5*100),(((Tables!$H$2/VLOOKUP(A131,Characters!$A$2:$F$1048576,5,FALSE))*(VLOOKUP(A131,Characters!$A$2:$F$1048576,5,FALSE)-H131))/6)*(Tables!$K$5*100))</f>
        <v>30</v>
      </c>
      <c r="K131" s="48">
        <f>VLOOKUP(E131,Tables!$E$1:$F$9,2,FALSE)+VLOOKUP(F131,Tables!$C:$D,2,FALSE)+VLOOKUP(G131,Tables!$A:$B,2,FALSE)+IFERROR((((((((Tables!$H$2/VLOOKUP(A131,Characters!$A$2:$F$1048576,5,FALSE))*(VLOOKUP(A131,Characters!$A$2:$F$1048576,5,FALSE)-H131))/6)*6)+((((Tables!$G$2/VLOOKUP(A131,Characters!$A$2:$F$1048576,6,FALSE))*(VLOOKUP(A131,Characters!$A$2:$F$1048576,6,FALSE)-I131))/24)*24)))/30)*(Tables!$K$5*100),(((Tables!$H$2/VLOOKUP(A131,Characters!$A$2:$F$1048576,5,FALSE))*(VLOOKUP(A131,Characters!$A$2:$F$1048576,5,FALSE)-H131))/6)*(Tables!$K$5*100))</f>
        <v>90.300202546296305</v>
      </c>
      <c r="L131" s="47"/>
      <c r="M131" s="49">
        <v>14613</v>
      </c>
      <c r="N131" s="50"/>
    </row>
    <row r="132" spans="1:14" x14ac:dyDescent="0.25">
      <c r="A132" s="12" t="s">
        <v>135</v>
      </c>
      <c r="B132" s="19" t="s">
        <v>28</v>
      </c>
      <c r="C132" s="12" t="s">
        <v>200</v>
      </c>
      <c r="D132" s="12"/>
      <c r="E132" s="47">
        <v>7</v>
      </c>
      <c r="F132" s="47">
        <v>78</v>
      </c>
      <c r="G132" s="47">
        <v>8</v>
      </c>
      <c r="H132" s="47">
        <v>3</v>
      </c>
      <c r="I132" s="47">
        <v>0</v>
      </c>
      <c r="J132" s="47">
        <f>IFERROR((((((((Tables!$H$2/VLOOKUP(A132,Characters!$A$2:$F$1048576,5,FALSE))*(VLOOKUP(A132,Characters!$A$2:$F$1048576,5,FALSE)-H132))/6)*6)+((((Tables!$G$2/VLOOKUP(A132,Characters!$A$2:$F$1048576,6,FALSE))*(VLOOKUP(A132,Characters!$A$2:$F$1048576,6,FALSE)-I132))/24)*24)))/30)*(Tables!$K$5*100),(((Tables!$H$2/VLOOKUP(A132,Characters!$A$2:$F$1048576,5,FALSE))*(VLOOKUP(A132,Characters!$A$2:$F$1048576,5,FALSE)-H132))/6)*(Tables!$K$5*100))</f>
        <v>24</v>
      </c>
      <c r="K132" s="48">
        <f>VLOOKUP(E132,Tables!$E$1:$F$9,2,FALSE)+VLOOKUP(F132,Tables!$C:$D,2,FALSE)+VLOOKUP(G132,Tables!$A:$B,2,FALSE)+IFERROR((((((((Tables!$H$2/VLOOKUP(A132,Characters!$A$2:$F$1048576,5,FALSE))*(VLOOKUP(A132,Characters!$A$2:$F$1048576,5,FALSE)-H132))/6)*6)+((((Tables!$G$2/VLOOKUP(A132,Characters!$A$2:$F$1048576,6,FALSE))*(VLOOKUP(A132,Characters!$A$2:$F$1048576,6,FALSE)-I132))/24)*24)))/30)*(Tables!$K$5*100),(((Tables!$H$2/VLOOKUP(A132,Characters!$A$2:$F$1048576,5,FALSE))*(VLOOKUP(A132,Characters!$A$2:$F$1048576,5,FALSE)-H132))/6)*(Tables!$K$5*100))</f>
        <v>67.250310157454237</v>
      </c>
      <c r="L132" s="47"/>
      <c r="M132" s="49">
        <v>11368</v>
      </c>
      <c r="N132" s="50"/>
    </row>
    <row r="133" spans="1:14" x14ac:dyDescent="0.25">
      <c r="A133" s="12" t="s">
        <v>57</v>
      </c>
      <c r="B133" s="19" t="s">
        <v>28</v>
      </c>
      <c r="C133" s="12" t="s">
        <v>200</v>
      </c>
      <c r="D133" s="12"/>
      <c r="E133" s="47">
        <v>7</v>
      </c>
      <c r="F133" s="47">
        <v>85</v>
      </c>
      <c r="G133" s="47">
        <v>11</v>
      </c>
      <c r="H133" s="47">
        <v>0</v>
      </c>
      <c r="I133" s="47">
        <v>0</v>
      </c>
      <c r="J133" s="47">
        <f>IFERROR((((((((Tables!$H$2/VLOOKUP(A133,Characters!$A$2:$F$1048576,5,FALSE))*(VLOOKUP(A133,Characters!$A$2:$F$1048576,5,FALSE)-H133))/6)*6)+((((Tables!$G$2/VLOOKUP(A133,Characters!$A$2:$F$1048576,6,FALSE))*(VLOOKUP(A133,Characters!$A$2:$F$1048576,6,FALSE)-I133))/24)*24)))/30)*(Tables!$K$5*100),(((Tables!$H$2/VLOOKUP(A133,Characters!$A$2:$F$1048576,5,FALSE))*(VLOOKUP(A133,Characters!$A$2:$F$1048576,5,FALSE)-H133))/6)*(Tables!$K$5*100))</f>
        <v>30</v>
      </c>
      <c r="K133" s="48">
        <f>VLOOKUP(E133,Tables!$E$1:$F$9,2,FALSE)+VLOOKUP(F133,Tables!$C:$D,2,FALSE)+VLOOKUP(G133,Tables!$A:$B,2,FALSE)+IFERROR((((((((Tables!$H$2/VLOOKUP(A133,Characters!$A$2:$F$1048576,5,FALSE))*(VLOOKUP(A133,Characters!$A$2:$F$1048576,5,FALSE)-H133))/6)*6)+((((Tables!$G$2/VLOOKUP(A133,Characters!$A$2:$F$1048576,6,FALSE))*(VLOOKUP(A133,Characters!$A$2:$F$1048576,6,FALSE)-I133))/24)*24)))/30)*(Tables!$K$5*100),(((Tables!$H$2/VLOOKUP(A133,Characters!$A$2:$F$1048576,5,FALSE))*(VLOOKUP(A133,Characters!$A$2:$F$1048576,5,FALSE)-H133))/6)*(Tables!$K$5*100))</f>
        <v>90.300202546296305</v>
      </c>
      <c r="L133" s="47" t="s">
        <v>174</v>
      </c>
      <c r="M133" s="49">
        <v>15705</v>
      </c>
      <c r="N133" s="50"/>
    </row>
    <row r="134" spans="1:14" x14ac:dyDescent="0.25">
      <c r="A134" s="12" t="s">
        <v>85</v>
      </c>
      <c r="B134" s="19" t="s">
        <v>29</v>
      </c>
      <c r="C134" s="12" t="s">
        <v>206</v>
      </c>
      <c r="D134" s="12"/>
      <c r="E134" s="47">
        <v>7</v>
      </c>
      <c r="F134" s="47">
        <v>53</v>
      </c>
      <c r="G134" s="47">
        <v>7</v>
      </c>
      <c r="H134" s="47">
        <v>3</v>
      </c>
      <c r="I134" s="47">
        <v>0</v>
      </c>
      <c r="J134" s="47">
        <f>IFERROR((((((((Tables!$H$2/VLOOKUP(A134,Characters!$A$2:$F$1048576,5,FALSE))*(VLOOKUP(A134,Characters!$A$2:$F$1048576,5,FALSE)-H134))/6)*6)+((((Tables!$G$2/VLOOKUP(A134,Characters!$A$2:$F$1048576,6,FALSE))*(VLOOKUP(A134,Characters!$A$2:$F$1048576,6,FALSE)-I134))/24)*24)))/30)*(Tables!$K$5*100),(((Tables!$H$2/VLOOKUP(A134,Characters!$A$2:$F$1048576,5,FALSE))*(VLOOKUP(A134,Characters!$A$2:$F$1048576,5,FALSE)-H134))/6)*(Tables!$K$5*100))</f>
        <v>0</v>
      </c>
      <c r="K134" s="48">
        <f>VLOOKUP(E134,Tables!$E$1:$F$9,2,FALSE)+VLOOKUP(F134,Tables!$C:$D,2,FALSE)+VLOOKUP(G134,Tables!$A:$B,2,FALSE)+IFERROR((((((((Tables!$H$2/VLOOKUP(A134,Characters!$A$2:$F$1048576,5,FALSE))*(VLOOKUP(A134,Characters!$A$2:$F$1048576,5,FALSE)-H134))/6)*6)+((((Tables!$G$2/VLOOKUP(A134,Characters!$A$2:$F$1048576,6,FALSE))*(VLOOKUP(A134,Characters!$A$2:$F$1048576,6,FALSE)-I134))/24)*24)))/30)*(Tables!$K$5*100),(((Tables!$H$2/VLOOKUP(A134,Characters!$A$2:$F$1048576,5,FALSE))*(VLOOKUP(A134,Characters!$A$2:$F$1048576,5,FALSE)-H134))/6)*(Tables!$K$5*100))</f>
        <v>39.411636554368656</v>
      </c>
      <c r="L134" s="47"/>
      <c r="M134" s="49">
        <v>7726</v>
      </c>
      <c r="N134" s="50"/>
    </row>
    <row r="135" spans="1:14" x14ac:dyDescent="0.25">
      <c r="A135" s="12" t="s">
        <v>2</v>
      </c>
      <c r="B135" s="19" t="s">
        <v>29</v>
      </c>
      <c r="C135" s="12" t="s">
        <v>157</v>
      </c>
      <c r="D135" s="12"/>
      <c r="E135" s="47">
        <v>7</v>
      </c>
      <c r="F135" s="47">
        <v>1</v>
      </c>
      <c r="G135" s="47">
        <v>1</v>
      </c>
      <c r="H135" s="47">
        <v>3</v>
      </c>
      <c r="I135" s="47">
        <v>0</v>
      </c>
      <c r="J135" s="47">
        <f>IFERROR((((((((Tables!$H$2/VLOOKUP(A135,Characters!$A$2:$F$1048576,5,FALSE))*(VLOOKUP(A135,Characters!$A$2:$F$1048576,5,FALSE)-H135))/6)*6)+((((Tables!$G$2/VLOOKUP(A135,Characters!$A$2:$F$1048576,6,FALSE))*(VLOOKUP(A135,Characters!$A$2:$F$1048576,6,FALSE)-I135))/24)*24)))/30)*(Tables!$K$5*100),(((Tables!$H$2/VLOOKUP(A135,Characters!$A$2:$F$1048576,5,FALSE))*(VLOOKUP(A135,Characters!$A$2:$F$1048576,5,FALSE)-H135))/6)*(Tables!$K$5*100))</f>
        <v>0</v>
      </c>
      <c r="K135" s="48">
        <f>VLOOKUP(E135,Tables!$E$1:$F$9,2,FALSE)+VLOOKUP(F135,Tables!$C:$D,2,FALSE)+VLOOKUP(G135,Tables!$A:$B,2,FALSE)+IFERROR((((((((Tables!$H$2/VLOOKUP(A135,Characters!$A$2:$F$1048576,5,FALSE))*(VLOOKUP(A135,Characters!$A$2:$F$1048576,5,FALSE)-H135))/6)*6)+((((Tables!$G$2/VLOOKUP(A135,Characters!$A$2:$F$1048576,6,FALSE))*(VLOOKUP(A135,Characters!$A$2:$F$1048576,6,FALSE)-I135))/24)*24)))/30)*(Tables!$K$5*100),(((Tables!$H$2/VLOOKUP(A135,Characters!$A$2:$F$1048576,5,FALSE))*(VLOOKUP(A135,Characters!$A$2:$F$1048576,5,FALSE)-H135))/6)*(Tables!$K$5*100))</f>
        <v>30.001591435185187</v>
      </c>
      <c r="L135" s="47"/>
      <c r="M135" s="49">
        <v>4656</v>
      </c>
      <c r="N135" s="50"/>
    </row>
    <row r="136" spans="1:14" x14ac:dyDescent="0.25">
      <c r="A136" s="12" t="s">
        <v>58</v>
      </c>
      <c r="B136" s="19" t="s">
        <v>29</v>
      </c>
      <c r="C136" s="12" t="s">
        <v>33</v>
      </c>
      <c r="D136" s="12" t="s">
        <v>385</v>
      </c>
      <c r="E136" s="47">
        <v>6</v>
      </c>
      <c r="F136" s="47">
        <v>85</v>
      </c>
      <c r="G136" s="47">
        <v>11</v>
      </c>
      <c r="H136" s="47">
        <v>0</v>
      </c>
      <c r="I136" s="47">
        <v>1</v>
      </c>
      <c r="J136" s="47">
        <f>IFERROR((((((((Tables!$H$2/VLOOKUP(A136,Characters!$A$2:$F$1048576,5,FALSE))*(VLOOKUP(A136,Characters!$A$2:$F$1048576,5,FALSE)-H136))/6)*6)+((((Tables!$G$2/VLOOKUP(A136,Characters!$A$2:$F$1048576,6,FALSE))*(VLOOKUP(A136,Characters!$A$2:$F$1048576,6,FALSE)-I136))/24)*24)))/30)*(Tables!$K$5*100),(((Tables!$H$2/VLOOKUP(A136,Characters!$A$2:$F$1048576,5,FALSE))*(VLOOKUP(A136,Characters!$A$2:$F$1048576,5,FALSE)-H136))/6)*(Tables!$K$5*100))</f>
        <v>18</v>
      </c>
      <c r="K136" s="48">
        <f>VLOOKUP(E136,Tables!$E$1:$F$9,2,FALSE)+VLOOKUP(F136,Tables!$C:$D,2,FALSE)+VLOOKUP(G136,Tables!$A:$B,2,FALSE)+IFERROR((((((((Tables!$H$2/VLOOKUP(A136,Characters!$A$2:$F$1048576,5,FALSE))*(VLOOKUP(A136,Characters!$A$2:$F$1048576,5,FALSE)-H136))/6)*6)+((((Tables!$G$2/VLOOKUP(A136,Characters!$A$2:$F$1048576,6,FALSE))*(VLOOKUP(A136,Characters!$A$2:$F$1048576,6,FALSE)-I136))/24)*24)))/30)*(Tables!$K$5*100),(((Tables!$H$2/VLOOKUP(A136,Characters!$A$2:$F$1048576,5,FALSE))*(VLOOKUP(A136,Characters!$A$2:$F$1048576,5,FALSE)-H136))/6)*(Tables!$K$5*100))</f>
        <v>73.735399510515094</v>
      </c>
      <c r="L136" s="47" t="s">
        <v>357</v>
      </c>
      <c r="M136" s="49">
        <v>16888</v>
      </c>
      <c r="N136" s="50"/>
    </row>
    <row r="137" spans="1:14" x14ac:dyDescent="0.25">
      <c r="A137" s="12" t="s">
        <v>136</v>
      </c>
      <c r="B137" s="19" t="s">
        <v>29</v>
      </c>
      <c r="C137" s="12" t="s">
        <v>33</v>
      </c>
      <c r="D137" s="12" t="s">
        <v>385</v>
      </c>
      <c r="E137" s="47">
        <v>5</v>
      </c>
      <c r="F137" s="47">
        <v>85</v>
      </c>
      <c r="G137" s="47">
        <v>11</v>
      </c>
      <c r="H137" s="47">
        <v>0</v>
      </c>
      <c r="I137" s="47">
        <v>0</v>
      </c>
      <c r="J137" s="47">
        <f>IFERROR((((((((Tables!$H$2/VLOOKUP(A137,Characters!$A$2:$F$1048576,5,FALSE))*(VLOOKUP(A137,Characters!$A$2:$F$1048576,5,FALSE)-H137))/6)*6)+((((Tables!$G$2/VLOOKUP(A137,Characters!$A$2:$F$1048576,6,FALSE))*(VLOOKUP(A137,Characters!$A$2:$F$1048576,6,FALSE)-I137))/24)*24)))/30)*(Tables!$K$5*100),(((Tables!$H$2/VLOOKUP(A137,Characters!$A$2:$F$1048576,5,FALSE))*(VLOOKUP(A137,Characters!$A$2:$F$1048576,5,FALSE)-H137))/6)*(Tables!$K$5*100))</f>
        <v>30</v>
      </c>
      <c r="K137" s="48">
        <f>VLOOKUP(E137,Tables!$E$1:$F$9,2,FALSE)+VLOOKUP(F137,Tables!$C:$D,2,FALSE)+VLOOKUP(G137,Tables!$A:$B,2,FALSE)+IFERROR((((((((Tables!$H$2/VLOOKUP(A137,Characters!$A$2:$F$1048576,5,FALSE))*(VLOOKUP(A137,Characters!$A$2:$F$1048576,5,FALSE)-H137))/6)*6)+((((Tables!$G$2/VLOOKUP(A137,Characters!$A$2:$F$1048576,6,FALSE))*(VLOOKUP(A137,Characters!$A$2:$F$1048576,6,FALSE)-I137))/24)*24)))/30)*(Tables!$K$5*100),(((Tables!$H$2/VLOOKUP(A137,Characters!$A$2:$F$1048576,5,FALSE))*(VLOOKUP(A137,Characters!$A$2:$F$1048576,5,FALSE)-H137))/6)*(Tables!$K$5*100))</f>
        <v>80.822413302568378</v>
      </c>
      <c r="L137" s="47"/>
      <c r="M137" s="49">
        <v>12787</v>
      </c>
      <c r="N137" s="50"/>
    </row>
    <row r="138" spans="1:14" x14ac:dyDescent="0.25">
      <c r="A138" s="12" t="s">
        <v>137</v>
      </c>
      <c r="B138" s="19" t="s">
        <v>29</v>
      </c>
      <c r="C138" s="12" t="s">
        <v>33</v>
      </c>
      <c r="D138" s="12"/>
      <c r="E138" s="47">
        <v>7</v>
      </c>
      <c r="F138" s="47">
        <v>85</v>
      </c>
      <c r="G138" s="47">
        <v>7</v>
      </c>
      <c r="H138" s="47">
        <v>3</v>
      </c>
      <c r="I138" s="47">
        <v>1</v>
      </c>
      <c r="J138" s="47">
        <f>IFERROR((((((((Tables!$H$2/VLOOKUP(A138,Characters!$A$2:$F$1048576,5,FALSE))*(VLOOKUP(A138,Characters!$A$2:$F$1048576,5,FALSE)-H138))/6)*6)+((((Tables!$G$2/VLOOKUP(A138,Characters!$A$2:$F$1048576,6,FALSE))*(VLOOKUP(A138,Characters!$A$2:$F$1048576,6,FALSE)-I138))/24)*24)))/30)*(Tables!$K$5*100),(((Tables!$H$2/VLOOKUP(A138,Characters!$A$2:$F$1048576,5,FALSE))*(VLOOKUP(A138,Characters!$A$2:$F$1048576,5,FALSE)-H138))/6)*(Tables!$K$5*100))</f>
        <v>0</v>
      </c>
      <c r="K138" s="48">
        <f>VLOOKUP(E138,Tables!$E$1:$F$9,2,FALSE)+VLOOKUP(F138,Tables!$C:$D,2,FALSE)+VLOOKUP(G138,Tables!$A:$B,2,FALSE)+IFERROR((((((((Tables!$H$2/VLOOKUP(A138,Characters!$A$2:$F$1048576,5,FALSE))*(VLOOKUP(A138,Characters!$A$2:$F$1048576,5,FALSE)-H138))/6)*6)+((((Tables!$G$2/VLOOKUP(A138,Characters!$A$2:$F$1048576,6,FALSE))*(VLOOKUP(A138,Characters!$A$2:$F$1048576,6,FALSE)-I138))/24)*24)))/30)*(Tables!$K$5*100),(((Tables!$H$2/VLOOKUP(A138,Characters!$A$2:$F$1048576,5,FALSE))*(VLOOKUP(A138,Characters!$A$2:$F$1048576,5,FALSE)-H138))/6)*(Tables!$K$5*100))</f>
        <v>40.821035879629626</v>
      </c>
      <c r="L138" s="47"/>
      <c r="M138" s="49">
        <v>11124</v>
      </c>
      <c r="N138" s="50"/>
    </row>
    <row r="139" spans="1:14" x14ac:dyDescent="0.25">
      <c r="A139" s="12" t="s">
        <v>151</v>
      </c>
      <c r="B139" s="19" t="s">
        <v>29</v>
      </c>
      <c r="C139" s="12" t="s">
        <v>33</v>
      </c>
      <c r="D139" s="12"/>
      <c r="E139" s="47">
        <v>5</v>
      </c>
      <c r="F139" s="47">
        <v>1</v>
      </c>
      <c r="G139" s="47">
        <v>1</v>
      </c>
      <c r="H139" s="47">
        <v>3</v>
      </c>
      <c r="I139" s="47">
        <v>0</v>
      </c>
      <c r="J139" s="47">
        <f>IFERROR((((((((Tables!$H$2/VLOOKUP(A139,Characters!$A$2:$F$1048576,5,FALSE))*(VLOOKUP(A139,Characters!$A$2:$F$1048576,5,FALSE)-H139))/6)*6)+((((Tables!$G$2/VLOOKUP(A139,Characters!$A$2:$F$1048576,6,FALSE))*(VLOOKUP(A139,Characters!$A$2:$F$1048576,6,FALSE)-I139))/24)*24)))/30)*(Tables!$K$5*100),(((Tables!$H$2/VLOOKUP(A139,Characters!$A$2:$F$1048576,5,FALSE))*(VLOOKUP(A139,Characters!$A$2:$F$1048576,5,FALSE)-H139))/6)*(Tables!$K$5*100))</f>
        <v>0</v>
      </c>
      <c r="K139" s="48">
        <f>VLOOKUP(E139,Tables!$E$1:$F$9,2,FALSE)+VLOOKUP(F139,Tables!$C:$D,2,FALSE)+VLOOKUP(G139,Tables!$A:$B,2,FALSE)+IFERROR((((((((Tables!$H$2/VLOOKUP(A139,Characters!$A$2:$F$1048576,5,FALSE))*(VLOOKUP(A139,Characters!$A$2:$F$1048576,5,FALSE)-H139))/6)*6)+((((Tables!$G$2/VLOOKUP(A139,Characters!$A$2:$F$1048576,6,FALSE))*(VLOOKUP(A139,Characters!$A$2:$F$1048576,6,FALSE)-I139))/24)*24)))/30)*(Tables!$K$5*100),(((Tables!$H$2/VLOOKUP(A139,Characters!$A$2:$F$1048576,5,FALSE))*(VLOOKUP(A139,Characters!$A$2:$F$1048576,5,FALSE)-H139))/6)*(Tables!$K$5*100))</f>
        <v>20.523802191457257</v>
      </c>
      <c r="L139" s="47"/>
      <c r="M139" s="49">
        <v>1521</v>
      </c>
      <c r="N139" s="50"/>
    </row>
    <row r="140" spans="1:14" x14ac:dyDescent="0.25">
      <c r="A140" s="12" t="s">
        <v>168</v>
      </c>
      <c r="B140" s="19" t="s">
        <v>29</v>
      </c>
      <c r="C140" s="12" t="s">
        <v>33</v>
      </c>
      <c r="D140" s="12" t="s">
        <v>385</v>
      </c>
      <c r="E140" s="47">
        <v>5</v>
      </c>
      <c r="F140" s="47">
        <v>85</v>
      </c>
      <c r="G140" s="47">
        <v>8</v>
      </c>
      <c r="H140" s="47">
        <v>3</v>
      </c>
      <c r="I140" s="47">
        <v>0</v>
      </c>
      <c r="J140" s="47">
        <f>IFERROR((((((((Tables!$H$2/VLOOKUP(A140,Characters!$A$2:$F$1048576,5,FALSE))*(VLOOKUP(A140,Characters!$A$2:$F$1048576,5,FALSE)-H140))/6)*6)+((((Tables!$G$2/VLOOKUP(A140,Characters!$A$2:$F$1048576,6,FALSE))*(VLOOKUP(A140,Characters!$A$2:$F$1048576,6,FALSE)-I140))/24)*24)))/30)*(Tables!$K$5*100),(((Tables!$H$2/VLOOKUP(A140,Characters!$A$2:$F$1048576,5,FALSE))*(VLOOKUP(A140,Characters!$A$2:$F$1048576,5,FALSE)-H140))/6)*(Tables!$K$5*100))</f>
        <v>0</v>
      </c>
      <c r="K140" s="48">
        <f>VLOOKUP(E140,Tables!$E$1:$F$9,2,FALSE)+VLOOKUP(F140,Tables!$C:$D,2,FALSE)+VLOOKUP(G140,Tables!$A:$B,2,FALSE)+IFERROR((((((((Tables!$H$2/VLOOKUP(A140,Characters!$A$2:$F$1048576,5,FALSE))*(VLOOKUP(A140,Characters!$A$2:$F$1048576,5,FALSE)-H140))/6)*6)+((((Tables!$G$2/VLOOKUP(A140,Characters!$A$2:$F$1048576,6,FALSE))*(VLOOKUP(A140,Characters!$A$2:$F$1048576,6,FALSE)-I140))/24)*24)))/30)*(Tables!$K$5*100),(((Tables!$H$2/VLOOKUP(A140,Characters!$A$2:$F$1048576,5,FALSE))*(VLOOKUP(A140,Characters!$A$2:$F$1048576,5,FALSE)-H140))/6)*(Tables!$K$5*100))</f>
        <v>34.040729274790593</v>
      </c>
      <c r="L140" s="47"/>
      <c r="M140" s="49">
        <v>9327</v>
      </c>
      <c r="N140" s="50"/>
    </row>
    <row r="141" spans="1:14" x14ac:dyDescent="0.25">
      <c r="A141" s="12" t="s">
        <v>138</v>
      </c>
      <c r="B141" s="19" t="s">
        <v>29</v>
      </c>
      <c r="C141" s="12" t="s">
        <v>226</v>
      </c>
      <c r="D141" s="12"/>
      <c r="E141" s="47">
        <v>7</v>
      </c>
      <c r="F141" s="47">
        <v>64</v>
      </c>
      <c r="G141" s="47">
        <v>8</v>
      </c>
      <c r="H141" s="47">
        <v>4</v>
      </c>
      <c r="I141" s="47">
        <v>0</v>
      </c>
      <c r="J141" s="47">
        <f>IFERROR((((((((Tables!$H$2/VLOOKUP(A141,Characters!$A$2:$F$1048576,5,FALSE))*(VLOOKUP(A141,Characters!$A$2:$F$1048576,5,FALSE)-H141))/6)*6)+((((Tables!$G$2/VLOOKUP(A141,Characters!$A$2:$F$1048576,6,FALSE))*(VLOOKUP(A141,Characters!$A$2:$F$1048576,6,FALSE)-I141))/24)*24)))/30)*(Tables!$K$5*100),(((Tables!$H$2/VLOOKUP(A141,Characters!$A$2:$F$1048576,5,FALSE))*(VLOOKUP(A141,Characters!$A$2:$F$1048576,5,FALSE)-H141))/6)*(Tables!$K$5*100))</f>
        <v>0</v>
      </c>
      <c r="K141" s="48">
        <f>VLOOKUP(E141,Tables!$E$1:$F$9,2,FALSE)+VLOOKUP(F141,Tables!$C:$D,2,FALSE)+VLOOKUP(G141,Tables!$A:$B,2,FALSE)+IFERROR((((((((Tables!$H$2/VLOOKUP(A141,Characters!$A$2:$F$1048576,5,FALSE))*(VLOOKUP(A141,Characters!$A$2:$F$1048576,5,FALSE)-H141))/6)*6)+((((Tables!$G$2/VLOOKUP(A141,Characters!$A$2:$F$1048576,6,FALSE))*(VLOOKUP(A141,Characters!$A$2:$F$1048576,6,FALSE)-I141))/24)*24)))/30)*(Tables!$K$5*100),(((Tables!$H$2/VLOOKUP(A141,Characters!$A$2:$F$1048576,5,FALSE))*(VLOOKUP(A141,Characters!$A$2:$F$1048576,5,FALSE)-H141))/6)*(Tables!$K$5*100))</f>
        <v>42.652846846647201</v>
      </c>
      <c r="L141" s="47"/>
      <c r="M141" s="49">
        <v>9715</v>
      </c>
      <c r="N141" s="50"/>
    </row>
    <row r="142" spans="1:14" x14ac:dyDescent="0.25">
      <c r="A142" s="12" t="s">
        <v>139</v>
      </c>
      <c r="B142" s="19" t="s">
        <v>28</v>
      </c>
      <c r="C142" s="12" t="s">
        <v>214</v>
      </c>
      <c r="D142" s="12" t="s">
        <v>390</v>
      </c>
      <c r="E142" s="47">
        <v>7</v>
      </c>
      <c r="F142" s="47">
        <v>85</v>
      </c>
      <c r="G142" s="47">
        <v>9</v>
      </c>
      <c r="H142" s="47">
        <v>0</v>
      </c>
      <c r="I142" s="47">
        <v>2</v>
      </c>
      <c r="J142" s="47">
        <f>IFERROR((((((((Tables!$H$2/VLOOKUP(A142,Characters!$A$2:$F$1048576,5,FALSE))*(VLOOKUP(A142,Characters!$A$2:$F$1048576,5,FALSE)-H142))/6)*6)+((((Tables!$G$2/VLOOKUP(A142,Characters!$A$2:$F$1048576,6,FALSE))*(VLOOKUP(A142,Characters!$A$2:$F$1048576,6,FALSE)-I142))/24)*24)))/30)*(Tables!$K$5*100),(((Tables!$H$2/VLOOKUP(A142,Characters!$A$2:$F$1048576,5,FALSE))*(VLOOKUP(A142,Characters!$A$2:$F$1048576,5,FALSE)-H142))/6)*(Tables!$K$5*100))</f>
        <v>6</v>
      </c>
      <c r="K142" s="48">
        <f>VLOOKUP(E142,Tables!$E$1:$F$9,2,FALSE)+VLOOKUP(F142,Tables!$C:$D,2,FALSE)+VLOOKUP(G142,Tables!$A:$B,2,FALSE)+IFERROR((((((((Tables!$H$2/VLOOKUP(A142,Characters!$A$2:$F$1048576,5,FALSE))*(VLOOKUP(A142,Characters!$A$2:$F$1048576,5,FALSE)-H142))/6)*6)+((((Tables!$G$2/VLOOKUP(A142,Characters!$A$2:$F$1048576,6,FALSE))*(VLOOKUP(A142,Characters!$A$2:$F$1048576,6,FALSE)-I142))/24)*24)))/30)*(Tables!$K$5*100),(((Tables!$H$2/VLOOKUP(A142,Characters!$A$2:$F$1048576,5,FALSE))*(VLOOKUP(A142,Characters!$A$2:$F$1048576,5,FALSE)-H142))/6)*(Tables!$K$5*100))</f>
        <v>53.44140625</v>
      </c>
      <c r="L142" s="47" t="s">
        <v>360</v>
      </c>
      <c r="M142" s="49">
        <v>13852</v>
      </c>
      <c r="N142" s="50"/>
    </row>
    <row r="143" spans="1:14" x14ac:dyDescent="0.25">
      <c r="A143" s="12" t="s">
        <v>86</v>
      </c>
      <c r="B143" s="19" t="s">
        <v>28</v>
      </c>
      <c r="C143" s="12" t="s">
        <v>202</v>
      </c>
      <c r="D143" s="12"/>
      <c r="E143" s="47">
        <v>7</v>
      </c>
      <c r="F143" s="47">
        <v>1</v>
      </c>
      <c r="G143" s="47">
        <v>1</v>
      </c>
      <c r="H143" s="47">
        <v>3</v>
      </c>
      <c r="I143" s="47">
        <v>0</v>
      </c>
      <c r="J143" s="47">
        <f>IFERROR((((((((Tables!$H$2/VLOOKUP(A143,Characters!$A$2:$F$1048576,5,FALSE))*(VLOOKUP(A143,Characters!$A$2:$F$1048576,5,FALSE)-H143))/6)*6)+((((Tables!$G$2/VLOOKUP(A143,Characters!$A$2:$F$1048576,6,FALSE))*(VLOOKUP(A143,Characters!$A$2:$F$1048576,6,FALSE)-I143))/24)*24)))/30)*(Tables!$K$5*100),(((Tables!$H$2/VLOOKUP(A143,Characters!$A$2:$F$1048576,5,FALSE))*(VLOOKUP(A143,Characters!$A$2:$F$1048576,5,FALSE)-H143))/6)*(Tables!$K$5*100))</f>
        <v>24</v>
      </c>
      <c r="K143" s="48">
        <f>VLOOKUP(E143,Tables!$E$1:$F$9,2,FALSE)+VLOOKUP(F143,Tables!$C:$D,2,FALSE)+VLOOKUP(G143,Tables!$A:$B,2,FALSE)+IFERROR((((((((Tables!$H$2/VLOOKUP(A143,Characters!$A$2:$F$1048576,5,FALSE))*(VLOOKUP(A143,Characters!$A$2:$F$1048576,5,FALSE)-H143))/6)*6)+((((Tables!$G$2/VLOOKUP(A143,Characters!$A$2:$F$1048576,6,FALSE))*(VLOOKUP(A143,Characters!$A$2:$F$1048576,6,FALSE)-I143))/24)*24)))/30)*(Tables!$K$5*100),(((Tables!$H$2/VLOOKUP(A143,Characters!$A$2:$F$1048576,5,FALSE))*(VLOOKUP(A143,Characters!$A$2:$F$1048576,5,FALSE)-H143))/6)*(Tables!$K$5*100))</f>
        <v>54.00159143518519</v>
      </c>
      <c r="L143" s="47"/>
      <c r="M143" s="49">
        <v>4656</v>
      </c>
      <c r="N143" s="50"/>
    </row>
    <row r="144" spans="1:14" x14ac:dyDescent="0.25">
      <c r="A144" s="12" t="s">
        <v>5</v>
      </c>
      <c r="B144" s="19" t="s">
        <v>28</v>
      </c>
      <c r="C144" s="12" t="s">
        <v>14</v>
      </c>
      <c r="D144" s="12"/>
      <c r="E144" s="47">
        <v>7</v>
      </c>
      <c r="F144" s="47">
        <v>85</v>
      </c>
      <c r="G144" s="47">
        <v>7</v>
      </c>
      <c r="H144" s="47">
        <v>3</v>
      </c>
      <c r="I144" s="47">
        <v>1</v>
      </c>
      <c r="J144" s="47">
        <f>IFERROR((((((((Tables!$H$2/VLOOKUP(A144,Characters!$A$2:$F$1048576,5,FALSE))*(VLOOKUP(A144,Characters!$A$2:$F$1048576,5,FALSE)-H144))/6)*6)+((((Tables!$G$2/VLOOKUP(A144,Characters!$A$2:$F$1048576,6,FALSE))*(VLOOKUP(A144,Characters!$A$2:$F$1048576,6,FALSE)-I144))/24)*24)))/30)*(Tables!$K$5*100),(((Tables!$H$2/VLOOKUP(A144,Characters!$A$2:$F$1048576,5,FALSE))*(VLOOKUP(A144,Characters!$A$2:$F$1048576,5,FALSE)-H144))/6)*(Tables!$K$5*100))</f>
        <v>0</v>
      </c>
      <c r="K144" s="48">
        <f>VLOOKUP(E144,Tables!$E$1:$F$9,2,FALSE)+VLOOKUP(F144,Tables!$C:$D,2,FALSE)+VLOOKUP(G144,Tables!$A:$B,2,FALSE)+IFERROR((((((((Tables!$H$2/VLOOKUP(A144,Characters!$A$2:$F$1048576,5,FALSE))*(VLOOKUP(A144,Characters!$A$2:$F$1048576,5,FALSE)-H144))/6)*6)+((((Tables!$G$2/VLOOKUP(A144,Characters!$A$2:$F$1048576,6,FALSE))*(VLOOKUP(A144,Characters!$A$2:$F$1048576,6,FALSE)-I144))/24)*24)))/30)*(Tables!$K$5*100),(((Tables!$H$2/VLOOKUP(A144,Characters!$A$2:$F$1048576,5,FALSE))*(VLOOKUP(A144,Characters!$A$2:$F$1048576,5,FALSE)-H144))/6)*(Tables!$K$5*100))</f>
        <v>40.821035879629626</v>
      </c>
      <c r="L144" s="47"/>
      <c r="M144" s="49">
        <v>11011</v>
      </c>
      <c r="N144" s="50"/>
    </row>
    <row r="145" spans="1:14" x14ac:dyDescent="0.25">
      <c r="A145" s="12" t="s">
        <v>140</v>
      </c>
      <c r="B145" s="19" t="s">
        <v>28</v>
      </c>
      <c r="C145" s="12" t="s">
        <v>200</v>
      </c>
      <c r="D145" s="12"/>
      <c r="E145" s="47">
        <v>4</v>
      </c>
      <c r="F145" s="47">
        <v>1</v>
      </c>
      <c r="G145" s="47">
        <v>1</v>
      </c>
      <c r="H145" s="47">
        <v>4</v>
      </c>
      <c r="I145" s="47">
        <v>0</v>
      </c>
      <c r="J145" s="47">
        <f>IFERROR((((((((Tables!$H$2/VLOOKUP(A145,Characters!$A$2:$F$1048576,5,FALSE))*(VLOOKUP(A145,Characters!$A$2:$F$1048576,5,FALSE)-H145))/6)*6)+((((Tables!$G$2/VLOOKUP(A145,Characters!$A$2:$F$1048576,6,FALSE))*(VLOOKUP(A145,Characters!$A$2:$F$1048576,6,FALSE)-I145))/24)*24)))/30)*(Tables!$K$5*100),(((Tables!$H$2/VLOOKUP(A145,Characters!$A$2:$F$1048576,5,FALSE))*(VLOOKUP(A145,Characters!$A$2:$F$1048576,5,FALSE)-H145))/6)*(Tables!$K$5*100))</f>
        <v>0</v>
      </c>
      <c r="K145" s="48">
        <f>VLOOKUP(E145,Tables!$E$1:$F$9,2,FALSE)+VLOOKUP(F145,Tables!$C:$D,2,FALSE)+VLOOKUP(G145,Tables!$A:$B,2,FALSE)+IFERROR((((((((Tables!$H$2/VLOOKUP(A145,Characters!$A$2:$F$1048576,5,FALSE))*(VLOOKUP(A145,Characters!$A$2:$F$1048576,5,FALSE)-H145))/6)*6)+((((Tables!$G$2/VLOOKUP(A145,Characters!$A$2:$F$1048576,6,FALSE))*(VLOOKUP(A145,Characters!$A$2:$F$1048576,6,FALSE)-I145))/24)*24)))/30)*(Tables!$K$5*100),(((Tables!$H$2/VLOOKUP(A145,Characters!$A$2:$F$1048576,5,FALSE))*(VLOOKUP(A145,Characters!$A$2:$F$1048576,5,FALSE)-H145))/6)*(Tables!$K$5*100))</f>
        <v>15.227618652874323</v>
      </c>
      <c r="L145" s="47"/>
      <c r="M145" s="49">
        <v>1014</v>
      </c>
      <c r="N145" s="50"/>
    </row>
    <row r="146" spans="1:14" x14ac:dyDescent="0.25">
      <c r="A146" s="12" t="s">
        <v>141</v>
      </c>
      <c r="B146" s="19" t="s">
        <v>28</v>
      </c>
      <c r="C146" s="12" t="s">
        <v>12</v>
      </c>
      <c r="D146" s="12" t="s">
        <v>391</v>
      </c>
      <c r="E146" s="47">
        <v>7</v>
      </c>
      <c r="F146" s="47">
        <v>85</v>
      </c>
      <c r="G146" s="47">
        <v>11</v>
      </c>
      <c r="H146" s="47">
        <v>1</v>
      </c>
      <c r="I146" s="47">
        <v>0</v>
      </c>
      <c r="J146" s="47">
        <f>IFERROR((((((((Tables!$H$2/VLOOKUP(A146,Characters!$A$2:$F$1048576,5,FALSE))*(VLOOKUP(A146,Characters!$A$2:$F$1048576,5,FALSE)-H146))/6)*6)+((((Tables!$G$2/VLOOKUP(A146,Characters!$A$2:$F$1048576,6,FALSE))*(VLOOKUP(A146,Characters!$A$2:$F$1048576,6,FALSE)-I146))/24)*24)))/30)*(Tables!$K$5*100),(((Tables!$H$2/VLOOKUP(A146,Characters!$A$2:$F$1048576,5,FALSE))*(VLOOKUP(A146,Characters!$A$2:$F$1048576,5,FALSE)-H146))/6)*(Tables!$K$5*100))</f>
        <v>22.5</v>
      </c>
      <c r="K146" s="48">
        <f>VLOOKUP(E146,Tables!$E$1:$F$9,2,FALSE)+VLOOKUP(F146,Tables!$C:$D,2,FALSE)+VLOOKUP(G146,Tables!$A:$B,2,FALSE)+IFERROR((((((((Tables!$H$2/VLOOKUP(A146,Characters!$A$2:$F$1048576,5,FALSE))*(VLOOKUP(A146,Characters!$A$2:$F$1048576,5,FALSE)-H146))/6)*6)+((((Tables!$G$2/VLOOKUP(A146,Characters!$A$2:$F$1048576,6,FALSE))*(VLOOKUP(A146,Characters!$A$2:$F$1048576,6,FALSE)-I146))/24)*24)))/30)*(Tables!$K$5*100),(((Tables!$H$2/VLOOKUP(A146,Characters!$A$2:$F$1048576,5,FALSE))*(VLOOKUP(A146,Characters!$A$2:$F$1048576,5,FALSE)-H146))/6)*(Tables!$K$5*100))</f>
        <v>82.800202546296305</v>
      </c>
      <c r="L146" s="47"/>
      <c r="M146" s="49">
        <v>15693</v>
      </c>
      <c r="N146" s="50"/>
    </row>
    <row r="147" spans="1:14" x14ac:dyDescent="0.25">
      <c r="A147" s="12" t="s">
        <v>142</v>
      </c>
      <c r="B147" s="19" t="s">
        <v>29</v>
      </c>
      <c r="C147" s="12" t="s">
        <v>211</v>
      </c>
      <c r="D147" s="12"/>
      <c r="E147" s="47">
        <v>7</v>
      </c>
      <c r="F147" s="47">
        <v>48</v>
      </c>
      <c r="G147" s="47">
        <v>6</v>
      </c>
      <c r="H147" s="47">
        <v>4</v>
      </c>
      <c r="I147" s="47">
        <v>0</v>
      </c>
      <c r="J147" s="47">
        <f>IFERROR((((((((Tables!$H$2/VLOOKUP(A147,Characters!$A$2:$F$1048576,5,FALSE))*(VLOOKUP(A147,Characters!$A$2:$F$1048576,5,FALSE)-H147))/6)*6)+((((Tables!$G$2/VLOOKUP(A147,Characters!$A$2:$F$1048576,6,FALSE))*(VLOOKUP(A147,Characters!$A$2:$F$1048576,6,FALSE)-I147))/24)*24)))/30)*(Tables!$K$5*100),(((Tables!$H$2/VLOOKUP(A147,Characters!$A$2:$F$1048576,5,FALSE))*(VLOOKUP(A147,Characters!$A$2:$F$1048576,5,FALSE)-H147))/6)*(Tables!$K$5*100))</f>
        <v>0</v>
      </c>
      <c r="K147" s="48">
        <f>VLOOKUP(E147,Tables!$E$1:$F$9,2,FALSE)+VLOOKUP(F147,Tables!$C:$D,2,FALSE)+VLOOKUP(G147,Tables!$A:$B,2,FALSE)+IFERROR((((((((Tables!$H$2/VLOOKUP(A147,Characters!$A$2:$F$1048576,5,FALSE))*(VLOOKUP(A147,Characters!$A$2:$F$1048576,5,FALSE)-H147))/6)*6)+((((Tables!$G$2/VLOOKUP(A147,Characters!$A$2:$F$1048576,6,FALSE))*(VLOOKUP(A147,Characters!$A$2:$F$1048576,6,FALSE)-I147))/24)*24)))/30)*(Tables!$K$5*100),(((Tables!$H$2/VLOOKUP(A147,Characters!$A$2:$F$1048576,5,FALSE))*(VLOOKUP(A147,Characters!$A$2:$F$1048576,5,FALSE)-H147))/6)*(Tables!$K$5*100))</f>
        <v>37.377521666003474</v>
      </c>
      <c r="L147" s="47"/>
      <c r="M147" s="49">
        <v>7407</v>
      </c>
      <c r="N147" s="50"/>
    </row>
    <row r="148" spans="1:14" x14ac:dyDescent="0.25">
      <c r="A148" s="12" t="s">
        <v>66</v>
      </c>
      <c r="B148" s="19" t="s">
        <v>28</v>
      </c>
      <c r="C148" s="12" t="s">
        <v>10</v>
      </c>
      <c r="D148" s="12" t="s">
        <v>390</v>
      </c>
      <c r="E148" s="47">
        <v>7</v>
      </c>
      <c r="F148" s="47">
        <v>85</v>
      </c>
      <c r="G148" s="47">
        <v>11</v>
      </c>
      <c r="H148" s="47">
        <v>0</v>
      </c>
      <c r="I148" s="47">
        <v>1</v>
      </c>
      <c r="J148" s="47">
        <f>IFERROR((((((((Tables!$H$2/VLOOKUP(A148,Characters!$A$2:$F$1048576,5,FALSE))*(VLOOKUP(A148,Characters!$A$2:$F$1048576,5,FALSE)-H148))/6)*6)+((((Tables!$G$2/VLOOKUP(A148,Characters!$A$2:$F$1048576,6,FALSE))*(VLOOKUP(A148,Characters!$A$2:$F$1048576,6,FALSE)-I148))/24)*24)))/30)*(Tables!$K$5*100),(((Tables!$H$2/VLOOKUP(A148,Characters!$A$2:$F$1048576,5,FALSE))*(VLOOKUP(A148,Characters!$A$2:$F$1048576,5,FALSE)-H148))/6)*(Tables!$K$5*100))</f>
        <v>6</v>
      </c>
      <c r="K148" s="48">
        <f>VLOOKUP(E148,Tables!$E$1:$F$9,2,FALSE)+VLOOKUP(F148,Tables!$C:$D,2,FALSE)+VLOOKUP(G148,Tables!$A:$B,2,FALSE)+IFERROR((((((((Tables!$H$2/VLOOKUP(A148,Characters!$A$2:$F$1048576,5,FALSE))*(VLOOKUP(A148,Characters!$A$2:$F$1048576,5,FALSE)-H148))/6)*6)+((((Tables!$G$2/VLOOKUP(A148,Characters!$A$2:$F$1048576,6,FALSE))*(VLOOKUP(A148,Characters!$A$2:$F$1048576,6,FALSE)-I148))/24)*24)))/30)*(Tables!$K$5*100),(((Tables!$H$2/VLOOKUP(A148,Characters!$A$2:$F$1048576,5,FALSE))*(VLOOKUP(A148,Characters!$A$2:$F$1048576,5,FALSE)-H148))/6)*(Tables!$K$5*100))</f>
        <v>66.300202546296305</v>
      </c>
      <c r="L148" s="47"/>
      <c r="M148" s="49">
        <v>15837</v>
      </c>
      <c r="N148" s="50"/>
    </row>
    <row r="149" spans="1:14" x14ac:dyDescent="0.25">
      <c r="A149" s="26" t="s">
        <v>274</v>
      </c>
      <c r="B149" s="31" t="s">
        <v>28</v>
      </c>
      <c r="C149" s="26" t="s">
        <v>157</v>
      </c>
      <c r="D149" s="26" t="s">
        <v>388</v>
      </c>
      <c r="E149" s="50">
        <v>3</v>
      </c>
      <c r="F149" s="50">
        <v>1</v>
      </c>
      <c r="G149" s="50">
        <v>1</v>
      </c>
      <c r="H149" s="50">
        <v>4</v>
      </c>
      <c r="I149" s="50">
        <v>1</v>
      </c>
      <c r="J149" s="51">
        <f>IFERROR((((((((Tables!$H$2/VLOOKUP(A149,Characters!$A$2:$F$1048576,5,FALSE))*(VLOOKUP(A149,Characters!$A$2:$F$1048576,5,FALSE)-H149))/6)*6)+((((Tables!$G$2/VLOOKUP(A149,Characters!$A$2:$F$1048576,6,FALSE))*(VLOOKUP(A149,Characters!$A$2:$F$1048576,6,FALSE)-I149))/24)*24)))/30)*(Tables!$K$5*100),(((Tables!$H$2/VLOOKUP(A149,Characters!$A$2:$F$1048576,5,FALSE))*(VLOOKUP(A149,Characters!$A$2:$F$1048576,5,FALSE)-H149))/6)*(Tables!$K$5*100))</f>
        <v>0</v>
      </c>
      <c r="K149" s="52">
        <f>VLOOKUP(E149,Tables!$E$1:$F$9,2,FALSE)+VLOOKUP(F149,Tables!$C:$D,2,FALSE)+VLOOKUP(G149,Tables!$A:$B,2,FALSE)+IFERROR((((((((Tables!$H$2/VLOOKUP(A149,Characters!$A$2:$F$1048576,5,FALSE))*(VLOOKUP(A149,Characters!$A$2:$F$1048576,5,FALSE)-H149))/6)*6)+((((Tables!$G$2/VLOOKUP(A149,Characters!$A$2:$F$1048576,6,FALSE))*(VLOOKUP(A149,Characters!$A$2:$F$1048576,6,FALSE)-I149))/24)*24)))/30)*(Tables!$K$5*100),(((Tables!$H$2/VLOOKUP(A149,Characters!$A$2:$F$1048576,5,FALSE))*(VLOOKUP(A149,Characters!$A$2:$F$1048576,5,FALSE)-H149))/6)*(Tables!$K$5*100))</f>
        <v>9.5639405074832009</v>
      </c>
      <c r="L149" s="50"/>
      <c r="M149" s="49">
        <v>676</v>
      </c>
      <c r="N149" s="50"/>
    </row>
    <row r="150" spans="1:14" x14ac:dyDescent="0.25">
      <c r="A150" s="12" t="s">
        <v>54</v>
      </c>
      <c r="B150" s="19" t="s">
        <v>28</v>
      </c>
      <c r="C150" s="12" t="s">
        <v>200</v>
      </c>
      <c r="D150" s="12" t="s">
        <v>395</v>
      </c>
      <c r="E150" s="47">
        <v>7</v>
      </c>
      <c r="F150" s="47">
        <v>85</v>
      </c>
      <c r="G150" s="47">
        <v>11</v>
      </c>
      <c r="H150" s="47">
        <v>0</v>
      </c>
      <c r="I150" s="47">
        <v>0</v>
      </c>
      <c r="J150" s="47">
        <f>IFERROR((((((((Tables!$H$2/VLOOKUP(A150,Characters!$A$2:$F$1048576,5,FALSE))*(VLOOKUP(A150,Characters!$A$2:$F$1048576,5,FALSE)-H150))/6)*6)+((((Tables!$G$2/VLOOKUP(A150,Characters!$A$2:$F$1048576,6,FALSE))*(VLOOKUP(A150,Characters!$A$2:$F$1048576,6,FALSE)-I150))/24)*24)))/30)*(Tables!$K$5*100),(((Tables!$H$2/VLOOKUP(A150,Characters!$A$2:$F$1048576,5,FALSE))*(VLOOKUP(A150,Characters!$A$2:$F$1048576,5,FALSE)-H150))/6)*(Tables!$K$5*100))</f>
        <v>30</v>
      </c>
      <c r="K150" s="48">
        <f>VLOOKUP(E150,Tables!$E$1:$F$9,2,FALSE)+VLOOKUP(F150,Tables!$C:$D,2,FALSE)+VLOOKUP(G150,Tables!$A:$B,2,FALSE)+IFERROR((((((((Tables!$H$2/VLOOKUP(A150,Characters!$A$2:$F$1048576,5,FALSE))*(VLOOKUP(A150,Characters!$A$2:$F$1048576,5,FALSE)-H150))/6)*6)+((((Tables!$G$2/VLOOKUP(A150,Characters!$A$2:$F$1048576,6,FALSE))*(VLOOKUP(A150,Characters!$A$2:$F$1048576,6,FALSE)-I150))/24)*24)))/30)*(Tables!$K$5*100),(((Tables!$H$2/VLOOKUP(A150,Characters!$A$2:$F$1048576,5,FALSE))*(VLOOKUP(A150,Characters!$A$2:$F$1048576,5,FALSE)-H150))/6)*(Tables!$K$5*100))</f>
        <v>90.300202546296305</v>
      </c>
      <c r="L150" s="47" t="s">
        <v>360</v>
      </c>
      <c r="M150" s="49">
        <v>18507</v>
      </c>
      <c r="N150" s="50"/>
    </row>
    <row r="151" spans="1:14" x14ac:dyDescent="0.25">
      <c r="A151" s="12" t="s">
        <v>62</v>
      </c>
      <c r="B151" s="19" t="s">
        <v>28</v>
      </c>
      <c r="C151" s="12" t="s">
        <v>215</v>
      </c>
      <c r="D151" s="12" t="s">
        <v>394</v>
      </c>
      <c r="E151" s="47">
        <v>7</v>
      </c>
      <c r="F151" s="47">
        <v>85</v>
      </c>
      <c r="G151" s="47">
        <v>12</v>
      </c>
      <c r="H151" s="47">
        <v>0</v>
      </c>
      <c r="I151" s="47">
        <v>1</v>
      </c>
      <c r="J151" s="47">
        <f>IFERROR((((((((Tables!$H$2/VLOOKUP(A151,Characters!$A$2:$F$1048576,5,FALSE))*(VLOOKUP(A151,Characters!$A$2:$F$1048576,5,FALSE)-H151))/6)*6)+((((Tables!$G$2/VLOOKUP(A151,Characters!$A$2:$F$1048576,6,FALSE))*(VLOOKUP(A151,Characters!$A$2:$F$1048576,6,FALSE)-I151))/24)*24)))/30)*(Tables!$K$5*100),(((Tables!$H$2/VLOOKUP(A151,Characters!$A$2:$F$1048576,5,FALSE))*(VLOOKUP(A151,Characters!$A$2:$F$1048576,5,FALSE)-H151))/6)*(Tables!$K$5*100))</f>
        <v>18</v>
      </c>
      <c r="K151" s="48">
        <f>VLOOKUP(E151,Tables!$E$1:$F$9,2,FALSE)+VLOOKUP(F151,Tables!$C:$D,2,FALSE)+VLOOKUP(G151,Tables!$A:$B,2,FALSE)+IFERROR((((((((Tables!$H$2/VLOOKUP(A151,Characters!$A$2:$F$1048576,5,FALSE))*(VLOOKUP(A151,Characters!$A$2:$F$1048576,5,FALSE)-H151))/6)*6)+((((Tables!$G$2/VLOOKUP(A151,Characters!$A$2:$F$1048576,6,FALSE))*(VLOOKUP(A151,Characters!$A$2:$F$1048576,6,FALSE)-I151))/24)*24)))/30)*(Tables!$K$5*100),(((Tables!$H$2/VLOOKUP(A151,Characters!$A$2:$F$1048576,5,FALSE))*(VLOOKUP(A151,Characters!$A$2:$F$1048576,5,FALSE)-H151))/6)*(Tables!$K$5*100))</f>
        <v>88</v>
      </c>
      <c r="L151" s="47" t="s">
        <v>175</v>
      </c>
      <c r="M151" s="49">
        <v>20293</v>
      </c>
      <c r="N151" s="50"/>
    </row>
    <row r="152" spans="1:14" x14ac:dyDescent="0.25">
      <c r="A152" s="12" t="s">
        <v>186</v>
      </c>
      <c r="B152" s="19" t="s">
        <v>28</v>
      </c>
      <c r="C152" s="12" t="s">
        <v>10</v>
      </c>
      <c r="D152" s="12"/>
      <c r="E152" s="47">
        <v>7</v>
      </c>
      <c r="F152" s="47">
        <v>85</v>
      </c>
      <c r="G152" s="47">
        <v>7</v>
      </c>
      <c r="H152" s="47">
        <v>1</v>
      </c>
      <c r="I152" s="47">
        <v>1</v>
      </c>
      <c r="J152" s="47">
        <f>IFERROR((((((((Tables!$H$2/VLOOKUP(A152,Characters!$A$2:$F$1048576,5,FALSE))*(VLOOKUP(A152,Characters!$A$2:$F$1048576,5,FALSE)-H152))/6)*6)+((((Tables!$G$2/VLOOKUP(A152,Characters!$A$2:$F$1048576,6,FALSE))*(VLOOKUP(A152,Characters!$A$2:$F$1048576,6,FALSE)-I152))/24)*24)))/30)*(Tables!$K$5*100),(((Tables!$H$2/VLOOKUP(A152,Characters!$A$2:$F$1048576,5,FALSE))*(VLOOKUP(A152,Characters!$A$2:$F$1048576,5,FALSE)-H152))/6)*(Tables!$K$5*100))</f>
        <v>4</v>
      </c>
      <c r="K152" s="48">
        <f>VLOOKUP(E152,Tables!$E$1:$F$9,2,FALSE)+VLOOKUP(F152,Tables!$C:$D,2,FALSE)+VLOOKUP(G152,Tables!$A:$B,2,FALSE)+IFERROR((((((((Tables!$H$2/VLOOKUP(A152,Characters!$A$2:$F$1048576,5,FALSE))*(VLOOKUP(A152,Characters!$A$2:$F$1048576,5,FALSE)-H152))/6)*6)+((((Tables!$G$2/VLOOKUP(A152,Characters!$A$2:$F$1048576,6,FALSE))*(VLOOKUP(A152,Characters!$A$2:$F$1048576,6,FALSE)-I152))/24)*24)))/30)*(Tables!$K$5*100),(((Tables!$H$2/VLOOKUP(A152,Characters!$A$2:$F$1048576,5,FALSE))*(VLOOKUP(A152,Characters!$A$2:$F$1048576,5,FALSE)-H152))/6)*(Tables!$K$5*100))</f>
        <v>44.821035879629626</v>
      </c>
      <c r="L152" s="47" t="s">
        <v>361</v>
      </c>
      <c r="M152" s="49">
        <v>12399</v>
      </c>
      <c r="N152" s="50"/>
    </row>
    <row r="153" spans="1:14" x14ac:dyDescent="0.25">
      <c r="A153" s="12" t="s">
        <v>143</v>
      </c>
      <c r="B153" s="19" t="s">
        <v>28</v>
      </c>
      <c r="C153" s="12" t="s">
        <v>12</v>
      </c>
      <c r="D153" s="12"/>
      <c r="E153" s="47">
        <v>7</v>
      </c>
      <c r="F153" s="47">
        <v>75</v>
      </c>
      <c r="G153" s="47">
        <v>8</v>
      </c>
      <c r="H153" s="47">
        <v>2</v>
      </c>
      <c r="I153" s="47">
        <v>0</v>
      </c>
      <c r="J153" s="47">
        <f>IFERROR((((((((Tables!$H$2/VLOOKUP(A153,Characters!$A$2:$F$1048576,5,FALSE))*(VLOOKUP(A153,Characters!$A$2:$F$1048576,5,FALSE)-H153))/6)*6)+((((Tables!$G$2/VLOOKUP(A153,Characters!$A$2:$F$1048576,6,FALSE))*(VLOOKUP(A153,Characters!$A$2:$F$1048576,6,FALSE)-I153))/24)*24)))/30)*(Tables!$K$5*100),(((Tables!$H$2/VLOOKUP(A153,Characters!$A$2:$F$1048576,5,FALSE))*(VLOOKUP(A153,Characters!$A$2:$F$1048576,5,FALSE)-H153))/6)*(Tables!$K$5*100))</f>
        <v>10</v>
      </c>
      <c r="K153" s="48">
        <f>VLOOKUP(E153,Tables!$E$1:$F$9,2,FALSE)+VLOOKUP(F153,Tables!$C:$D,2,FALSE)+VLOOKUP(G153,Tables!$A:$B,2,FALSE)+IFERROR((((((((Tables!$H$2/VLOOKUP(A153,Characters!$A$2:$F$1048576,5,FALSE))*(VLOOKUP(A153,Characters!$A$2:$F$1048576,5,FALSE)-H153))/6)*6)+((((Tables!$G$2/VLOOKUP(A153,Characters!$A$2:$F$1048576,6,FALSE))*(VLOOKUP(A153,Characters!$A$2:$F$1048576,6,FALSE)-I153))/24)*24)))/30)*(Tables!$K$5*100),(((Tables!$H$2/VLOOKUP(A153,Characters!$A$2:$F$1048576,5,FALSE))*(VLOOKUP(A153,Characters!$A$2:$F$1048576,5,FALSE)-H153))/6)*(Tables!$K$5*100))</f>
        <v>53.129651536140862</v>
      </c>
      <c r="L153" s="47"/>
      <c r="M153" s="49">
        <v>10357</v>
      </c>
      <c r="N153" s="50"/>
    </row>
    <row r="154" spans="1:14" x14ac:dyDescent="0.25">
      <c r="A154" s="12" t="s">
        <v>166</v>
      </c>
      <c r="B154" s="19" t="s">
        <v>28</v>
      </c>
      <c r="C154" s="12" t="s">
        <v>12</v>
      </c>
      <c r="D154" s="12" t="s">
        <v>392</v>
      </c>
      <c r="E154" s="47">
        <v>7</v>
      </c>
      <c r="F154" s="47">
        <v>85</v>
      </c>
      <c r="G154" s="47">
        <v>12</v>
      </c>
      <c r="H154" s="47">
        <v>0</v>
      </c>
      <c r="I154" s="47">
        <v>2</v>
      </c>
      <c r="J154" s="47">
        <f>IFERROR((((((((Tables!$H$2/VLOOKUP(A154,Characters!$A$2:$F$1048576,5,FALSE))*(VLOOKUP(A154,Characters!$A$2:$F$1048576,5,FALSE)-H154))/6)*6)+((((Tables!$G$2/VLOOKUP(A154,Characters!$A$2:$F$1048576,6,FALSE))*(VLOOKUP(A154,Characters!$A$2:$F$1048576,6,FALSE)-I154))/24)*24)))/30)*(Tables!$K$5*100),(((Tables!$H$2/VLOOKUP(A154,Characters!$A$2:$F$1048576,5,FALSE))*(VLOOKUP(A154,Characters!$A$2:$F$1048576,5,FALSE)-H154))/6)*(Tables!$K$5*100))</f>
        <v>14</v>
      </c>
      <c r="K154" s="48">
        <f>VLOOKUP(E154,Tables!$E$1:$F$9,2,FALSE)+VLOOKUP(F154,Tables!$C:$D,2,FALSE)+VLOOKUP(G154,Tables!$A:$B,2,FALSE)+IFERROR((((((((Tables!$H$2/VLOOKUP(A154,Characters!$A$2:$F$1048576,5,FALSE))*(VLOOKUP(A154,Characters!$A$2:$F$1048576,5,FALSE)-H154))/6)*6)+((((Tables!$G$2/VLOOKUP(A154,Characters!$A$2:$F$1048576,6,FALSE))*(VLOOKUP(A154,Characters!$A$2:$F$1048576,6,FALSE)-I154))/24)*24)))/30)*(Tables!$K$5*100),(((Tables!$H$2/VLOOKUP(A154,Characters!$A$2:$F$1048576,5,FALSE))*(VLOOKUP(A154,Characters!$A$2:$F$1048576,5,FALSE)-H154))/6)*(Tables!$K$5*100))</f>
        <v>84</v>
      </c>
      <c r="L154" s="47" t="s">
        <v>175</v>
      </c>
      <c r="M154" s="49">
        <v>20868</v>
      </c>
      <c r="N154" s="50"/>
    </row>
    <row r="155" spans="1:14" x14ac:dyDescent="0.25">
      <c r="A155" s="12" t="s">
        <v>185</v>
      </c>
      <c r="B155" s="19" t="s">
        <v>28</v>
      </c>
      <c r="C155" s="12" t="s">
        <v>12</v>
      </c>
      <c r="D155" s="12"/>
      <c r="E155" s="47">
        <v>3</v>
      </c>
      <c r="F155" s="47">
        <v>1</v>
      </c>
      <c r="G155" s="47">
        <v>1</v>
      </c>
      <c r="H155" s="47">
        <v>4</v>
      </c>
      <c r="I155" s="47">
        <v>0</v>
      </c>
      <c r="J155" s="47">
        <f>IFERROR((((((((Tables!$H$2/VLOOKUP(A155,Characters!$A$2:$F$1048576,5,FALSE))*(VLOOKUP(A155,Characters!$A$2:$F$1048576,5,FALSE)-H155))/6)*6)+((((Tables!$G$2/VLOOKUP(A155,Characters!$A$2:$F$1048576,6,FALSE))*(VLOOKUP(A155,Characters!$A$2:$F$1048576,6,FALSE)-I155))/24)*24)))/30)*(Tables!$K$5*100),(((Tables!$H$2/VLOOKUP(A155,Characters!$A$2:$F$1048576,5,FALSE))*(VLOOKUP(A155,Characters!$A$2:$F$1048576,5,FALSE)-H155))/6)*(Tables!$K$5*100))</f>
        <v>0</v>
      </c>
      <c r="K155" s="48">
        <f>VLOOKUP(E155,Tables!$E$1:$F$9,2,FALSE)+VLOOKUP(F155,Tables!$C:$D,2,FALSE)+VLOOKUP(G155,Tables!$A:$B,2,FALSE)+IFERROR((((((((Tables!$H$2/VLOOKUP(A155,Characters!$A$2:$F$1048576,5,FALSE))*(VLOOKUP(A155,Characters!$A$2:$F$1048576,5,FALSE)-H155))/6)*6)+((((Tables!$G$2/VLOOKUP(A155,Characters!$A$2:$F$1048576,6,FALSE))*(VLOOKUP(A155,Characters!$A$2:$F$1048576,6,FALSE)-I155))/24)*24)))/30)*(Tables!$K$5*100),(((Tables!$H$2/VLOOKUP(A155,Characters!$A$2:$F$1048576,5,FALSE))*(VLOOKUP(A155,Characters!$A$2:$F$1048576,5,FALSE)-H155))/6)*(Tables!$K$5*100))</f>
        <v>9.5639405074832009</v>
      </c>
      <c r="L155" s="47"/>
      <c r="M155" s="49">
        <v>676</v>
      </c>
      <c r="N155" s="50"/>
    </row>
    <row r="156" spans="1:14" x14ac:dyDescent="0.25">
      <c r="A156" s="12" t="s">
        <v>42</v>
      </c>
      <c r="B156" s="19" t="s">
        <v>29</v>
      </c>
      <c r="C156" s="12" t="s">
        <v>20</v>
      </c>
      <c r="D156" s="12"/>
      <c r="E156" s="47">
        <v>7</v>
      </c>
      <c r="F156" s="47">
        <v>85</v>
      </c>
      <c r="G156" s="47">
        <v>9</v>
      </c>
      <c r="H156" s="47">
        <v>3</v>
      </c>
      <c r="I156" s="47">
        <v>0</v>
      </c>
      <c r="J156" s="47">
        <f>IFERROR((((((((Tables!$H$2/VLOOKUP(A156,Characters!$A$2:$F$1048576,5,FALSE))*(VLOOKUP(A156,Characters!$A$2:$F$1048576,5,FALSE)-H156))/6)*6)+((((Tables!$G$2/VLOOKUP(A156,Characters!$A$2:$F$1048576,6,FALSE))*(VLOOKUP(A156,Characters!$A$2:$F$1048576,6,FALSE)-I156))/24)*24)))/30)*(Tables!$K$5*100),(((Tables!$H$2/VLOOKUP(A156,Characters!$A$2:$F$1048576,5,FALSE))*(VLOOKUP(A156,Characters!$A$2:$F$1048576,5,FALSE)-H156))/6)*(Tables!$K$5*100))</f>
        <v>0</v>
      </c>
      <c r="K156" s="48">
        <f>VLOOKUP(E156,Tables!$E$1:$F$9,2,FALSE)+VLOOKUP(F156,Tables!$C:$D,2,FALSE)+VLOOKUP(G156,Tables!$A:$B,2,FALSE)+IFERROR((((((((Tables!$H$2/VLOOKUP(A156,Characters!$A$2:$F$1048576,5,FALSE))*(VLOOKUP(A156,Characters!$A$2:$F$1048576,5,FALSE)-H156))/6)*6)+((((Tables!$G$2/VLOOKUP(A156,Characters!$A$2:$F$1048576,6,FALSE))*(VLOOKUP(A156,Characters!$A$2:$F$1048576,6,FALSE)-I156))/24)*24)))/30)*(Tables!$K$5*100),(((Tables!$H$2/VLOOKUP(A156,Characters!$A$2:$F$1048576,5,FALSE))*(VLOOKUP(A156,Characters!$A$2:$F$1048576,5,FALSE)-H156))/6)*(Tables!$K$5*100))</f>
        <v>47.44140625</v>
      </c>
      <c r="L156" s="47"/>
      <c r="M156" s="49">
        <v>12073</v>
      </c>
      <c r="N156" s="50"/>
    </row>
    <row r="157" spans="1:14" x14ac:dyDescent="0.25">
      <c r="A157" s="12" t="s">
        <v>144</v>
      </c>
      <c r="B157" s="19" t="s">
        <v>28</v>
      </c>
      <c r="C157" s="12" t="s">
        <v>210</v>
      </c>
      <c r="D157" s="12"/>
      <c r="E157" s="47">
        <v>7</v>
      </c>
      <c r="F157" s="47">
        <v>85</v>
      </c>
      <c r="G157" s="47">
        <v>8</v>
      </c>
      <c r="H157" s="47">
        <v>3</v>
      </c>
      <c r="I157" s="47">
        <v>1</v>
      </c>
      <c r="J157" s="47">
        <f>IFERROR((((((((Tables!$H$2/VLOOKUP(A157,Characters!$A$2:$F$1048576,5,FALSE))*(VLOOKUP(A157,Characters!$A$2:$F$1048576,5,FALSE)-H157))/6)*6)+((((Tables!$G$2/VLOOKUP(A157,Characters!$A$2:$F$1048576,6,FALSE))*(VLOOKUP(A157,Characters!$A$2:$F$1048576,6,FALSE)-I157))/24)*24)))/30)*(Tables!$K$5*100),(((Tables!$H$2/VLOOKUP(A157,Characters!$A$2:$F$1048576,5,FALSE))*(VLOOKUP(A157,Characters!$A$2:$F$1048576,5,FALSE)-H157))/6)*(Tables!$K$5*100))</f>
        <v>0</v>
      </c>
      <c r="K157" s="48">
        <f>VLOOKUP(E157,Tables!$E$1:$F$9,2,FALSE)+VLOOKUP(F157,Tables!$C:$D,2,FALSE)+VLOOKUP(G157,Tables!$A:$B,2,FALSE)+IFERROR((((((((Tables!$H$2/VLOOKUP(A157,Characters!$A$2:$F$1048576,5,FALSE))*(VLOOKUP(A157,Characters!$A$2:$F$1048576,5,FALSE)-H157))/6)*6)+((((Tables!$G$2/VLOOKUP(A157,Characters!$A$2:$F$1048576,6,FALSE))*(VLOOKUP(A157,Characters!$A$2:$F$1048576,6,FALSE)-I157))/24)*24)))/30)*(Tables!$K$5*100),(((Tables!$H$2/VLOOKUP(A157,Characters!$A$2:$F$1048576,5,FALSE))*(VLOOKUP(A157,Characters!$A$2:$F$1048576,5,FALSE)-H157))/6)*(Tables!$K$5*100))</f>
        <v>43.518518518518519</v>
      </c>
      <c r="L157" s="47" t="s">
        <v>361</v>
      </c>
      <c r="M157" s="49">
        <v>11592</v>
      </c>
      <c r="N157" s="50"/>
    </row>
    <row r="158" spans="1:14" x14ac:dyDescent="0.25">
      <c r="A158" s="12" t="s">
        <v>71</v>
      </c>
      <c r="B158" s="19" t="s">
        <v>29</v>
      </c>
      <c r="C158" s="12" t="s">
        <v>22</v>
      </c>
      <c r="D158" s="12" t="s">
        <v>374</v>
      </c>
      <c r="E158" s="47">
        <v>7</v>
      </c>
      <c r="F158" s="47">
        <v>85</v>
      </c>
      <c r="G158" s="47">
        <v>11</v>
      </c>
      <c r="H158" s="47">
        <v>0</v>
      </c>
      <c r="I158" s="47">
        <v>0</v>
      </c>
      <c r="J158" s="47">
        <f>IFERROR((((((((Tables!$H$2/VLOOKUP(A158,Characters!$A$2:$F$1048576,5,FALSE))*(VLOOKUP(A158,Characters!$A$2:$F$1048576,5,FALSE)-H158))/6)*6)+((((Tables!$G$2/VLOOKUP(A158,Characters!$A$2:$F$1048576,6,FALSE))*(VLOOKUP(A158,Characters!$A$2:$F$1048576,6,FALSE)-I158))/24)*24)))/30)*(Tables!$K$5*100),(((Tables!$H$2/VLOOKUP(A158,Characters!$A$2:$F$1048576,5,FALSE))*(VLOOKUP(A158,Characters!$A$2:$F$1048576,5,FALSE)-H158))/6)*(Tables!$K$5*100))</f>
        <v>30</v>
      </c>
      <c r="K158" s="48">
        <f>VLOOKUP(E158,Tables!$E$1:$F$9,2,FALSE)+VLOOKUP(F158,Tables!$C:$D,2,FALSE)+VLOOKUP(G158,Tables!$A:$B,2,FALSE)+IFERROR((((((((Tables!$H$2/VLOOKUP(A158,Characters!$A$2:$F$1048576,5,FALSE))*(VLOOKUP(A158,Characters!$A$2:$F$1048576,5,FALSE)-H158))/6)*6)+((((Tables!$G$2/VLOOKUP(A158,Characters!$A$2:$F$1048576,6,FALSE))*(VLOOKUP(A158,Characters!$A$2:$F$1048576,6,FALSE)-I158))/24)*24)))/30)*(Tables!$K$5*100),(((Tables!$H$2/VLOOKUP(A158,Characters!$A$2:$F$1048576,5,FALSE))*(VLOOKUP(A158,Characters!$A$2:$F$1048576,5,FALSE)-H158))/6)*(Tables!$K$5*100))</f>
        <v>90.300202546296305</v>
      </c>
      <c r="L158" s="47" t="s">
        <v>360</v>
      </c>
      <c r="M158" s="49">
        <v>18441</v>
      </c>
      <c r="N158" s="50"/>
    </row>
    <row r="159" spans="1:14" x14ac:dyDescent="0.25">
      <c r="A159" s="12" t="s">
        <v>145</v>
      </c>
      <c r="B159" s="19" t="s">
        <v>28</v>
      </c>
      <c r="C159" s="12" t="s">
        <v>202</v>
      </c>
      <c r="D159" s="12"/>
      <c r="E159" s="47">
        <v>5</v>
      </c>
      <c r="F159" s="47">
        <v>10</v>
      </c>
      <c r="G159" s="47">
        <v>2</v>
      </c>
      <c r="H159" s="47">
        <v>3</v>
      </c>
      <c r="I159" s="47">
        <v>0</v>
      </c>
      <c r="J159" s="47">
        <f>IFERROR((((((((Tables!$H$2/VLOOKUP(A159,Characters!$A$2:$F$1048576,5,FALSE))*(VLOOKUP(A159,Characters!$A$2:$F$1048576,5,FALSE)-H159))/6)*6)+((((Tables!$G$2/VLOOKUP(A159,Characters!$A$2:$F$1048576,6,FALSE))*(VLOOKUP(A159,Characters!$A$2:$F$1048576,6,FALSE)-I159))/24)*24)))/30)*(Tables!$K$5*100),(((Tables!$H$2/VLOOKUP(A159,Characters!$A$2:$F$1048576,5,FALSE))*(VLOOKUP(A159,Characters!$A$2:$F$1048576,5,FALSE)-H159))/6)*(Tables!$K$5*100))</f>
        <v>0</v>
      </c>
      <c r="K159" s="48">
        <f>VLOOKUP(E159,Tables!$E$1:$F$9,2,FALSE)+VLOOKUP(F159,Tables!$C:$D,2,FALSE)+VLOOKUP(G159,Tables!$A:$B,2,FALSE)+IFERROR((((((((Tables!$H$2/VLOOKUP(A159,Characters!$A$2:$F$1048576,5,FALSE))*(VLOOKUP(A159,Characters!$A$2:$F$1048576,5,FALSE)-H159))/6)*6)+((((Tables!$G$2/VLOOKUP(A159,Characters!$A$2:$F$1048576,6,FALSE))*(VLOOKUP(A159,Characters!$A$2:$F$1048576,6,FALSE)-I159))/24)*24)))/30)*(Tables!$K$5*100),(((Tables!$H$2/VLOOKUP(A159,Characters!$A$2:$F$1048576,5,FALSE))*(VLOOKUP(A159,Characters!$A$2:$F$1048576,5,FALSE)-H159))/6)*(Tables!$K$5*100))</f>
        <v>22.428050897404312</v>
      </c>
      <c r="L159" s="47"/>
      <c r="M159" s="49">
        <v>1732</v>
      </c>
      <c r="N159" s="50"/>
    </row>
    <row r="160" spans="1:14" x14ac:dyDescent="0.25">
      <c r="A160" s="12" t="s">
        <v>51</v>
      </c>
      <c r="B160" s="19" t="s">
        <v>29</v>
      </c>
      <c r="C160" s="12" t="s">
        <v>206</v>
      </c>
      <c r="D160" s="12" t="s">
        <v>383</v>
      </c>
      <c r="E160" s="47">
        <v>7</v>
      </c>
      <c r="F160" s="47">
        <v>85</v>
      </c>
      <c r="G160" s="47">
        <v>11</v>
      </c>
      <c r="H160" s="47">
        <v>0</v>
      </c>
      <c r="I160" s="47">
        <v>0</v>
      </c>
      <c r="J160" s="47">
        <f>IFERROR((((((((Tables!$H$2/VLOOKUP(A160,Characters!$A$2:$F$1048576,5,FALSE))*(VLOOKUP(A160,Characters!$A$2:$F$1048576,5,FALSE)-H160))/6)*6)+((((Tables!$G$2/VLOOKUP(A160,Characters!$A$2:$F$1048576,6,FALSE))*(VLOOKUP(A160,Characters!$A$2:$F$1048576,6,FALSE)-I160))/24)*24)))/30)*(Tables!$K$5*100),(((Tables!$H$2/VLOOKUP(A160,Characters!$A$2:$F$1048576,5,FALSE))*(VLOOKUP(A160,Characters!$A$2:$F$1048576,5,FALSE)-H160))/6)*(Tables!$K$5*100))</f>
        <v>30</v>
      </c>
      <c r="K160" s="48">
        <f>VLOOKUP(E160,Tables!$E$1:$F$9,2,FALSE)+VLOOKUP(F160,Tables!$C:$D,2,FALSE)+VLOOKUP(G160,Tables!$A:$B,2,FALSE)+IFERROR((((((((Tables!$H$2/VLOOKUP(A160,Characters!$A$2:$F$1048576,5,FALSE))*(VLOOKUP(A160,Characters!$A$2:$F$1048576,5,FALSE)-H160))/6)*6)+((((Tables!$G$2/VLOOKUP(A160,Characters!$A$2:$F$1048576,6,FALSE))*(VLOOKUP(A160,Characters!$A$2:$F$1048576,6,FALSE)-I160))/24)*24)))/30)*(Tables!$K$5*100),(((Tables!$H$2/VLOOKUP(A160,Characters!$A$2:$F$1048576,5,FALSE))*(VLOOKUP(A160,Characters!$A$2:$F$1048576,5,FALSE)-H160))/6)*(Tables!$K$5*100))</f>
        <v>90.300202546296305</v>
      </c>
      <c r="L160" s="47" t="s">
        <v>361</v>
      </c>
      <c r="M160" s="49">
        <v>15130</v>
      </c>
      <c r="N160" s="50"/>
    </row>
    <row r="161" spans="1:14" x14ac:dyDescent="0.25">
      <c r="A161" s="12" t="s">
        <v>72</v>
      </c>
      <c r="B161" s="19" t="s">
        <v>29</v>
      </c>
      <c r="C161" s="12" t="s">
        <v>22</v>
      </c>
      <c r="D161" s="12" t="s">
        <v>374</v>
      </c>
      <c r="E161" s="47">
        <v>7</v>
      </c>
      <c r="F161" s="47">
        <v>85</v>
      </c>
      <c r="G161" s="47">
        <v>11</v>
      </c>
      <c r="H161" s="47">
        <v>0</v>
      </c>
      <c r="I161" s="47">
        <v>0</v>
      </c>
      <c r="J161" s="47">
        <f>IFERROR((((((((Tables!$H$2/VLOOKUP(A161,Characters!$A$2:$F$1048576,5,FALSE))*(VLOOKUP(A161,Characters!$A$2:$F$1048576,5,FALSE)-H161))/6)*6)+((((Tables!$G$2/VLOOKUP(A161,Characters!$A$2:$F$1048576,6,FALSE))*(VLOOKUP(A161,Characters!$A$2:$F$1048576,6,FALSE)-I161))/24)*24)))/30)*(Tables!$K$5*100),(((Tables!$H$2/VLOOKUP(A161,Characters!$A$2:$F$1048576,5,FALSE))*(VLOOKUP(A161,Characters!$A$2:$F$1048576,5,FALSE)-H161))/6)*(Tables!$K$5*100))</f>
        <v>30</v>
      </c>
      <c r="K161" s="48">
        <f>VLOOKUP(E161,Tables!$E$1:$F$9,2,FALSE)+VLOOKUP(F161,Tables!$C:$D,2,FALSE)+VLOOKUP(G161,Tables!$A:$B,2,FALSE)+IFERROR((((((((Tables!$H$2/VLOOKUP(A161,Characters!$A$2:$F$1048576,5,FALSE))*(VLOOKUP(A161,Characters!$A$2:$F$1048576,5,FALSE)-H161))/6)*6)+((((Tables!$G$2/VLOOKUP(A161,Characters!$A$2:$F$1048576,6,FALSE))*(VLOOKUP(A161,Characters!$A$2:$F$1048576,6,FALSE)-I161))/24)*24)))/30)*(Tables!$K$5*100),(((Tables!$H$2/VLOOKUP(A161,Characters!$A$2:$F$1048576,5,FALSE))*(VLOOKUP(A161,Characters!$A$2:$F$1048576,5,FALSE)-H161))/6)*(Tables!$K$5*100))</f>
        <v>90.300202546296305</v>
      </c>
      <c r="L161" s="47" t="s">
        <v>360</v>
      </c>
      <c r="M161" s="49">
        <v>15328</v>
      </c>
      <c r="N161" s="50"/>
    </row>
    <row r="162" spans="1:14" x14ac:dyDescent="0.25">
      <c r="A162" s="12" t="s">
        <v>188</v>
      </c>
      <c r="B162" s="19" t="s">
        <v>29</v>
      </c>
      <c r="C162" s="12" t="s">
        <v>22</v>
      </c>
      <c r="D162" s="12" t="s">
        <v>374</v>
      </c>
      <c r="E162" s="47">
        <v>3</v>
      </c>
      <c r="F162" s="47">
        <v>85</v>
      </c>
      <c r="G162" s="47">
        <v>8</v>
      </c>
      <c r="H162" s="47">
        <v>3</v>
      </c>
      <c r="I162" s="47">
        <v>0</v>
      </c>
      <c r="J162" s="47">
        <f>IFERROR((((((((Tables!$H$2/VLOOKUP(A162,Characters!$A$2:$F$1048576,5,FALSE))*(VLOOKUP(A162,Characters!$A$2:$F$1048576,5,FALSE)-H162))/6)*6)+((((Tables!$G$2/VLOOKUP(A162,Characters!$A$2:$F$1048576,6,FALSE))*(VLOOKUP(A162,Characters!$A$2:$F$1048576,6,FALSE)-I162))/24)*24)))/30)*(Tables!$K$5*100),(((Tables!$H$2/VLOOKUP(A162,Characters!$A$2:$F$1048576,5,FALSE))*(VLOOKUP(A162,Characters!$A$2:$F$1048576,5,FALSE)-H162))/6)*(Tables!$K$5*100))</f>
        <v>0</v>
      </c>
      <c r="K162" s="48">
        <f>VLOOKUP(E162,Tables!$E$1:$F$9,2,FALSE)+VLOOKUP(F162,Tables!$C:$D,2,FALSE)+VLOOKUP(G162,Tables!$A:$B,2,FALSE)+IFERROR((((((((Tables!$H$2/VLOOKUP(A162,Characters!$A$2:$F$1048576,5,FALSE))*(VLOOKUP(A162,Characters!$A$2:$F$1048576,5,FALSE)-H162))/6)*6)+((((Tables!$G$2/VLOOKUP(A162,Characters!$A$2:$F$1048576,6,FALSE))*(VLOOKUP(A162,Characters!$A$2:$F$1048576,6,FALSE)-I162))/24)*24)))/30)*(Tables!$K$5*100),(((Tables!$H$2/VLOOKUP(A162,Characters!$A$2:$F$1048576,5,FALSE))*(VLOOKUP(A162,Characters!$A$2:$F$1048576,5,FALSE)-H162))/6)*(Tables!$K$5*100))</f>
        <v>23.080867590816535</v>
      </c>
      <c r="L162" s="47" t="s">
        <v>360</v>
      </c>
      <c r="M162" s="49">
        <v>7281</v>
      </c>
      <c r="N162" s="50"/>
    </row>
    <row r="163" spans="1:14" x14ac:dyDescent="0.25">
      <c r="A163" s="12" t="s">
        <v>6</v>
      </c>
      <c r="B163" s="19" t="s">
        <v>29</v>
      </c>
      <c r="C163" s="12" t="s">
        <v>22</v>
      </c>
      <c r="D163" s="12" t="s">
        <v>374</v>
      </c>
      <c r="E163" s="47">
        <v>7</v>
      </c>
      <c r="F163" s="47">
        <v>85</v>
      </c>
      <c r="G163" s="47">
        <v>11</v>
      </c>
      <c r="H163" s="47">
        <v>0</v>
      </c>
      <c r="I163" s="47">
        <v>0</v>
      </c>
      <c r="J163" s="47">
        <f>IFERROR((((((((Tables!$H$2/VLOOKUP(A163,Characters!$A$2:$F$1048576,5,FALSE))*(VLOOKUP(A163,Characters!$A$2:$F$1048576,5,FALSE)-H163))/6)*6)+((((Tables!$G$2/VLOOKUP(A163,Characters!$A$2:$F$1048576,6,FALSE))*(VLOOKUP(A163,Characters!$A$2:$F$1048576,6,FALSE)-I163))/24)*24)))/30)*(Tables!$K$5*100),(((Tables!$H$2/VLOOKUP(A163,Characters!$A$2:$F$1048576,5,FALSE))*(VLOOKUP(A163,Characters!$A$2:$F$1048576,5,FALSE)-H163))/6)*(Tables!$K$5*100))</f>
        <v>30</v>
      </c>
      <c r="K163" s="48">
        <f>VLOOKUP(E163,Tables!$E$1:$F$9,2,FALSE)+VLOOKUP(F163,Tables!$C:$D,2,FALSE)+VLOOKUP(G163,Tables!$A:$B,2,FALSE)+IFERROR((((((((Tables!$H$2/VLOOKUP(A163,Characters!$A$2:$F$1048576,5,FALSE))*(VLOOKUP(A163,Characters!$A$2:$F$1048576,5,FALSE)-H163))/6)*6)+((((Tables!$G$2/VLOOKUP(A163,Characters!$A$2:$F$1048576,6,FALSE))*(VLOOKUP(A163,Characters!$A$2:$F$1048576,6,FALSE)-I163))/24)*24)))/30)*(Tables!$K$5*100),(((Tables!$H$2/VLOOKUP(A163,Characters!$A$2:$F$1048576,5,FALSE))*(VLOOKUP(A163,Characters!$A$2:$F$1048576,5,FALSE)-H163))/6)*(Tables!$K$5*100))</f>
        <v>90.300202546296305</v>
      </c>
      <c r="L163" s="47" t="s">
        <v>360</v>
      </c>
      <c r="M163" s="49">
        <v>15922</v>
      </c>
      <c r="N163" s="50"/>
    </row>
    <row r="164" spans="1:14" x14ac:dyDescent="0.25">
      <c r="A164" s="12" t="s">
        <v>52</v>
      </c>
      <c r="B164" s="19" t="s">
        <v>29</v>
      </c>
      <c r="C164" s="12" t="s">
        <v>206</v>
      </c>
      <c r="D164" s="12" t="s">
        <v>383</v>
      </c>
      <c r="E164" s="47">
        <v>7</v>
      </c>
      <c r="F164" s="47">
        <v>85</v>
      </c>
      <c r="G164" s="47">
        <v>12</v>
      </c>
      <c r="H164" s="47">
        <v>0</v>
      </c>
      <c r="I164" s="47">
        <v>0</v>
      </c>
      <c r="J164" s="47">
        <f>IFERROR((((((((Tables!$H$2/VLOOKUP(A164,Characters!$A$2:$F$1048576,5,FALSE))*(VLOOKUP(A164,Characters!$A$2:$F$1048576,5,FALSE)-H164))/6)*6)+((((Tables!$G$2/VLOOKUP(A164,Characters!$A$2:$F$1048576,6,FALSE))*(VLOOKUP(A164,Characters!$A$2:$F$1048576,6,FALSE)-I164))/24)*24)))/30)*(Tables!$K$5*100),(((Tables!$H$2/VLOOKUP(A164,Characters!$A$2:$F$1048576,5,FALSE))*(VLOOKUP(A164,Characters!$A$2:$F$1048576,5,FALSE)-H164))/6)*(Tables!$K$5*100))</f>
        <v>30</v>
      </c>
      <c r="K164" s="48">
        <f>VLOOKUP(E164,Tables!$E$1:$F$9,2,FALSE)+VLOOKUP(F164,Tables!$C:$D,2,FALSE)+VLOOKUP(G164,Tables!$A:$B,2,FALSE)+IFERROR((((((((Tables!$H$2/VLOOKUP(A164,Characters!$A$2:$F$1048576,5,FALSE))*(VLOOKUP(A164,Characters!$A$2:$F$1048576,5,FALSE)-H164))/6)*6)+((((Tables!$G$2/VLOOKUP(A164,Characters!$A$2:$F$1048576,6,FALSE))*(VLOOKUP(A164,Characters!$A$2:$F$1048576,6,FALSE)-I164))/24)*24)))/30)*(Tables!$K$5*100),(((Tables!$H$2/VLOOKUP(A164,Characters!$A$2:$F$1048576,5,FALSE))*(VLOOKUP(A164,Characters!$A$2:$F$1048576,5,FALSE)-H164))/6)*(Tables!$K$5*100))</f>
        <v>100</v>
      </c>
      <c r="L164" s="47" t="s">
        <v>175</v>
      </c>
      <c r="M164" s="49">
        <v>16528</v>
      </c>
      <c r="N164" s="50"/>
    </row>
    <row r="165" spans="1:14" x14ac:dyDescent="0.25">
      <c r="A165" s="12" t="s">
        <v>4</v>
      </c>
      <c r="B165" s="19" t="s">
        <v>29</v>
      </c>
      <c r="C165" s="12" t="s">
        <v>206</v>
      </c>
      <c r="D165" s="12" t="s">
        <v>379</v>
      </c>
      <c r="E165" s="47">
        <v>7</v>
      </c>
      <c r="F165" s="47">
        <v>85</v>
      </c>
      <c r="G165" s="47">
        <v>11</v>
      </c>
      <c r="H165" s="47">
        <v>0</v>
      </c>
      <c r="I165" s="47">
        <v>0</v>
      </c>
      <c r="J165" s="47">
        <f>IFERROR((((((((Tables!$H$2/VLOOKUP(A165,Characters!$A$2:$F$1048576,5,FALSE))*(VLOOKUP(A165,Characters!$A$2:$F$1048576,5,FALSE)-H165))/6)*6)+((((Tables!$G$2/VLOOKUP(A165,Characters!$A$2:$F$1048576,6,FALSE))*(VLOOKUP(A165,Characters!$A$2:$F$1048576,6,FALSE)-I165))/24)*24)))/30)*(Tables!$K$5*100),(((Tables!$H$2/VLOOKUP(A165,Characters!$A$2:$F$1048576,5,FALSE))*(VLOOKUP(A165,Characters!$A$2:$F$1048576,5,FALSE)-H165))/6)*(Tables!$K$5*100))</f>
        <v>30</v>
      </c>
      <c r="K165" s="48">
        <f>VLOOKUP(E165,Tables!$E$1:$F$9,2,FALSE)+VLOOKUP(F165,Tables!$C:$D,2,FALSE)+VLOOKUP(G165,Tables!$A:$B,2,FALSE)+IFERROR((((((((Tables!$H$2/VLOOKUP(A165,Characters!$A$2:$F$1048576,5,FALSE))*(VLOOKUP(A165,Characters!$A$2:$F$1048576,5,FALSE)-H165))/6)*6)+((((Tables!$G$2/VLOOKUP(A165,Characters!$A$2:$F$1048576,6,FALSE))*(VLOOKUP(A165,Characters!$A$2:$F$1048576,6,FALSE)-I165))/24)*24)))/30)*(Tables!$K$5*100),(((Tables!$H$2/VLOOKUP(A165,Characters!$A$2:$F$1048576,5,FALSE))*(VLOOKUP(A165,Characters!$A$2:$F$1048576,5,FALSE)-H165))/6)*(Tables!$K$5*100))</f>
        <v>90.300202546296305</v>
      </c>
      <c r="L165" s="47"/>
      <c r="M165" s="49">
        <v>15118</v>
      </c>
      <c r="N165" s="50"/>
    </row>
    <row r="166" spans="1:14" x14ac:dyDescent="0.25">
      <c r="A166" s="12" t="s">
        <v>63</v>
      </c>
      <c r="B166" s="19" t="s">
        <v>28</v>
      </c>
      <c r="C166" s="12" t="s">
        <v>204</v>
      </c>
      <c r="D166" s="12" t="s">
        <v>389</v>
      </c>
      <c r="E166" s="47">
        <v>7</v>
      </c>
      <c r="F166" s="47">
        <v>85</v>
      </c>
      <c r="G166" s="47">
        <v>11</v>
      </c>
      <c r="H166" s="47">
        <v>0</v>
      </c>
      <c r="I166" s="47">
        <v>0</v>
      </c>
      <c r="J166" s="47">
        <f>IFERROR((((((((Tables!$H$2/VLOOKUP(A166,Characters!$A$2:$F$1048576,5,FALSE))*(VLOOKUP(A166,Characters!$A$2:$F$1048576,5,FALSE)-H166))/6)*6)+((((Tables!$G$2/VLOOKUP(A166,Characters!$A$2:$F$1048576,6,FALSE))*(VLOOKUP(A166,Characters!$A$2:$F$1048576,6,FALSE)-I166))/24)*24)))/30)*(Tables!$K$5*100),(((Tables!$H$2/VLOOKUP(A166,Characters!$A$2:$F$1048576,5,FALSE))*(VLOOKUP(A166,Characters!$A$2:$F$1048576,5,FALSE)-H166))/6)*(Tables!$K$5*100))</f>
        <v>30</v>
      </c>
      <c r="K166" s="48">
        <f>VLOOKUP(E166,Tables!$E$1:$F$9,2,FALSE)+VLOOKUP(F166,Tables!$C:$D,2,FALSE)+VLOOKUP(G166,Tables!$A:$B,2,FALSE)+IFERROR((((((((Tables!$H$2/VLOOKUP(A166,Characters!$A$2:$F$1048576,5,FALSE))*(VLOOKUP(A166,Characters!$A$2:$F$1048576,5,FALSE)-H166))/6)*6)+((((Tables!$G$2/VLOOKUP(A166,Characters!$A$2:$F$1048576,6,FALSE))*(VLOOKUP(A166,Characters!$A$2:$F$1048576,6,FALSE)-I166))/24)*24)))/30)*(Tables!$K$5*100),(((Tables!$H$2/VLOOKUP(A166,Characters!$A$2:$F$1048576,5,FALSE))*(VLOOKUP(A166,Characters!$A$2:$F$1048576,5,FALSE)-H166))/6)*(Tables!$K$5*100))</f>
        <v>90.300202546296305</v>
      </c>
      <c r="L166" s="47"/>
      <c r="M166" s="49">
        <v>15891</v>
      </c>
      <c r="N166" s="50"/>
    </row>
    <row r="167" spans="1:14" x14ac:dyDescent="0.25">
      <c r="A167" s="12" t="s">
        <v>7</v>
      </c>
      <c r="B167" s="19" t="s">
        <v>29</v>
      </c>
      <c r="C167" s="12" t="s">
        <v>211</v>
      </c>
      <c r="D167" s="12"/>
      <c r="E167" s="47">
        <v>7</v>
      </c>
      <c r="F167" s="47">
        <v>1</v>
      </c>
      <c r="G167" s="47">
        <v>1</v>
      </c>
      <c r="H167" s="47">
        <v>4</v>
      </c>
      <c r="I167" s="47">
        <v>0</v>
      </c>
      <c r="J167" s="47">
        <f>IFERROR((((((((Tables!$H$2/VLOOKUP(A167,Characters!$A$2:$F$1048576,5,FALSE))*(VLOOKUP(A167,Characters!$A$2:$F$1048576,5,FALSE)-H167))/6)*6)+((((Tables!$G$2/VLOOKUP(A167,Characters!$A$2:$F$1048576,6,FALSE))*(VLOOKUP(A167,Characters!$A$2:$F$1048576,6,FALSE)-I167))/24)*24)))/30)*(Tables!$K$5*100),(((Tables!$H$2/VLOOKUP(A167,Characters!$A$2:$F$1048576,5,FALSE))*(VLOOKUP(A167,Characters!$A$2:$F$1048576,5,FALSE)-H167))/6)*(Tables!$K$5*100))</f>
        <v>0</v>
      </c>
      <c r="K167" s="48">
        <f>VLOOKUP(E167,Tables!$E$1:$F$9,2,FALSE)+VLOOKUP(F167,Tables!$C:$D,2,FALSE)+VLOOKUP(G167,Tables!$A:$B,2,FALSE)+IFERROR((((((((Tables!$H$2/VLOOKUP(A167,Characters!$A$2:$F$1048576,5,FALSE))*(VLOOKUP(A167,Characters!$A$2:$F$1048576,5,FALSE)-H167))/6)*6)+((((Tables!$G$2/VLOOKUP(A167,Characters!$A$2:$F$1048576,6,FALSE))*(VLOOKUP(A167,Characters!$A$2:$F$1048576,6,FALSE)-I167))/24)*24)))/30)*(Tables!$K$5*100),(((Tables!$H$2/VLOOKUP(A167,Characters!$A$2:$F$1048576,5,FALSE))*(VLOOKUP(A167,Characters!$A$2:$F$1048576,5,FALSE)-H167))/6)*(Tables!$K$5*100))</f>
        <v>30.001591435185187</v>
      </c>
      <c r="L167" s="47"/>
      <c r="M167" s="49">
        <v>4656</v>
      </c>
      <c r="N167" s="50"/>
    </row>
    <row r="168" spans="1:14" x14ac:dyDescent="0.25">
      <c r="A168" s="12" t="s">
        <v>0</v>
      </c>
      <c r="B168" s="19" t="s">
        <v>29</v>
      </c>
      <c r="C168" s="12" t="s">
        <v>33</v>
      </c>
      <c r="D168" s="12"/>
      <c r="E168" s="47">
        <v>7</v>
      </c>
      <c r="F168" s="47">
        <v>85</v>
      </c>
      <c r="G168" s="47">
        <v>10</v>
      </c>
      <c r="H168" s="47">
        <v>3</v>
      </c>
      <c r="I168" s="47">
        <v>0</v>
      </c>
      <c r="J168" s="47">
        <f>IFERROR((((((((Tables!$H$2/VLOOKUP(A168,Characters!$A$2:$F$1048576,5,FALSE))*(VLOOKUP(A168,Characters!$A$2:$F$1048576,5,FALSE)-H168))/6)*6)+((((Tables!$G$2/VLOOKUP(A168,Characters!$A$2:$F$1048576,6,FALSE))*(VLOOKUP(A168,Characters!$A$2:$F$1048576,6,FALSE)-I168))/24)*24)))/30)*(Tables!$K$5*100),(((Tables!$H$2/VLOOKUP(A168,Characters!$A$2:$F$1048576,5,FALSE))*(VLOOKUP(A168,Characters!$A$2:$F$1048576,5,FALSE)-H168))/6)*(Tables!$K$5*100))</f>
        <v>7.5</v>
      </c>
      <c r="K168" s="48">
        <f>VLOOKUP(E168,Tables!$E$1:$F$9,2,FALSE)+VLOOKUP(F168,Tables!$C:$D,2,FALSE)+VLOOKUP(G168,Tables!$A:$B,2,FALSE)+IFERROR((((((((Tables!$H$2/VLOOKUP(A168,Characters!$A$2:$F$1048576,5,FALSE))*(VLOOKUP(A168,Characters!$A$2:$F$1048576,5,FALSE)-H168))/6)*6)+((((Tables!$G$2/VLOOKUP(A168,Characters!$A$2:$F$1048576,6,FALSE))*(VLOOKUP(A168,Characters!$A$2:$F$1048576,6,FALSE)-I168))/24)*24)))/30)*(Tables!$K$5*100),(((Tables!$H$2/VLOOKUP(A168,Characters!$A$2:$F$1048576,5,FALSE))*(VLOOKUP(A168,Characters!$A$2:$F$1048576,5,FALSE)-H168))/6)*(Tables!$K$5*100))</f>
        <v>60.414351851851855</v>
      </c>
      <c r="L168" s="47"/>
      <c r="M168" s="49">
        <v>13464</v>
      </c>
      <c r="N168" s="50"/>
    </row>
    <row r="169" spans="1:14" x14ac:dyDescent="0.25">
      <c r="A169" s="12" t="s">
        <v>15</v>
      </c>
      <c r="B169" s="19" t="s">
        <v>28</v>
      </c>
      <c r="C169" s="12" t="s">
        <v>14</v>
      </c>
      <c r="D169" s="12"/>
      <c r="E169" s="47">
        <v>7</v>
      </c>
      <c r="F169" s="47">
        <v>85</v>
      </c>
      <c r="G169" s="47">
        <v>10</v>
      </c>
      <c r="H169" s="47">
        <v>0</v>
      </c>
      <c r="I169" s="47">
        <v>0</v>
      </c>
      <c r="J169" s="47">
        <f>IFERROR((((((((Tables!$H$2/VLOOKUP(A169,Characters!$A$2:$F$1048576,5,FALSE))*(VLOOKUP(A169,Characters!$A$2:$F$1048576,5,FALSE)-H169))/6)*6)+((((Tables!$G$2/VLOOKUP(A169,Characters!$A$2:$F$1048576,6,FALSE))*(VLOOKUP(A169,Characters!$A$2:$F$1048576,6,FALSE)-I169))/24)*24)))/30)*(Tables!$K$5*100),(((Tables!$H$2/VLOOKUP(A169,Characters!$A$2:$F$1048576,5,FALSE))*(VLOOKUP(A169,Characters!$A$2:$F$1048576,5,FALSE)-H169))/6)*(Tables!$K$5*100))</f>
        <v>30</v>
      </c>
      <c r="K169" s="48">
        <f>VLOOKUP(E169,Tables!$E$1:$F$9,2,FALSE)+VLOOKUP(F169,Tables!$C:$D,2,FALSE)+VLOOKUP(G169,Tables!$A:$B,2,FALSE)+IFERROR((((((((Tables!$H$2/VLOOKUP(A169,Characters!$A$2:$F$1048576,5,FALSE))*(VLOOKUP(A169,Characters!$A$2:$F$1048576,5,FALSE)-H169))/6)*6)+((((Tables!$G$2/VLOOKUP(A169,Characters!$A$2:$F$1048576,6,FALSE))*(VLOOKUP(A169,Characters!$A$2:$F$1048576,6,FALSE)-I169))/24)*24)))/30)*(Tables!$K$5*100),(((Tables!$H$2/VLOOKUP(A169,Characters!$A$2:$F$1048576,5,FALSE))*(VLOOKUP(A169,Characters!$A$2:$F$1048576,5,FALSE)-H169))/6)*(Tables!$K$5*100))</f>
        <v>82.914351851851848</v>
      </c>
      <c r="L169" s="47"/>
      <c r="M169" s="49">
        <v>15384</v>
      </c>
      <c r="N169" s="50"/>
    </row>
    <row r="170" spans="1:14" x14ac:dyDescent="0.25">
      <c r="A170" s="12" t="s">
        <v>146</v>
      </c>
      <c r="B170" s="19" t="s">
        <v>29</v>
      </c>
      <c r="C170" s="12" t="s">
        <v>20</v>
      </c>
      <c r="D170" s="12"/>
      <c r="E170" s="47">
        <v>7</v>
      </c>
      <c r="F170" s="47">
        <v>85</v>
      </c>
      <c r="G170" s="47">
        <v>10</v>
      </c>
      <c r="H170" s="47">
        <v>0</v>
      </c>
      <c r="I170" s="47">
        <v>0</v>
      </c>
      <c r="J170" s="47">
        <f>IFERROR((((((((Tables!$H$2/VLOOKUP(A170,Characters!$A$2:$F$1048576,5,FALSE))*(VLOOKUP(A170,Characters!$A$2:$F$1048576,5,FALSE)-H170))/6)*6)+((((Tables!$G$2/VLOOKUP(A170,Characters!$A$2:$F$1048576,6,FALSE))*(VLOOKUP(A170,Characters!$A$2:$F$1048576,6,FALSE)-I170))/24)*24)))/30)*(Tables!$K$5*100),(((Tables!$H$2/VLOOKUP(A170,Characters!$A$2:$F$1048576,5,FALSE))*(VLOOKUP(A170,Characters!$A$2:$F$1048576,5,FALSE)-H170))/6)*(Tables!$K$5*100))</f>
        <v>30</v>
      </c>
      <c r="K170" s="48">
        <f>VLOOKUP(E170,Tables!$E$1:$F$9,2,FALSE)+VLOOKUP(F170,Tables!$C:$D,2,FALSE)+VLOOKUP(G170,Tables!$A:$B,2,FALSE)+IFERROR((((((((Tables!$H$2/VLOOKUP(A170,Characters!$A$2:$F$1048576,5,FALSE))*(VLOOKUP(A170,Characters!$A$2:$F$1048576,5,FALSE)-H170))/6)*6)+((((Tables!$G$2/VLOOKUP(A170,Characters!$A$2:$F$1048576,6,FALSE))*(VLOOKUP(A170,Characters!$A$2:$F$1048576,6,FALSE)-I170))/24)*24)))/30)*(Tables!$K$5*100),(((Tables!$H$2/VLOOKUP(A170,Characters!$A$2:$F$1048576,5,FALSE))*(VLOOKUP(A170,Characters!$A$2:$F$1048576,5,FALSE)-H170))/6)*(Tables!$K$5*100))</f>
        <v>82.914351851851848</v>
      </c>
      <c r="L170" s="47"/>
      <c r="M170" s="49">
        <v>14533</v>
      </c>
      <c r="N170" s="50"/>
    </row>
    <row r="171" spans="1:14" x14ac:dyDescent="0.25">
      <c r="A171" s="12" t="s">
        <v>147</v>
      </c>
      <c r="B171" s="19" t="s">
        <v>29</v>
      </c>
      <c r="C171" s="12" t="s">
        <v>87</v>
      </c>
      <c r="D171" s="12"/>
      <c r="E171" s="47">
        <v>4</v>
      </c>
      <c r="F171" s="47">
        <v>1</v>
      </c>
      <c r="G171" s="47">
        <v>1</v>
      </c>
      <c r="H171" s="47">
        <v>3</v>
      </c>
      <c r="I171" s="47">
        <v>0</v>
      </c>
      <c r="J171" s="47">
        <f>IFERROR((((((((Tables!$H$2/VLOOKUP(A171,Characters!$A$2:$F$1048576,5,FALSE))*(VLOOKUP(A171,Characters!$A$2:$F$1048576,5,FALSE)-H171))/6)*6)+((((Tables!$G$2/VLOOKUP(A171,Characters!$A$2:$F$1048576,6,FALSE))*(VLOOKUP(A171,Characters!$A$2:$F$1048576,6,FALSE)-I171))/24)*24)))/30)*(Tables!$K$5*100),(((Tables!$H$2/VLOOKUP(A171,Characters!$A$2:$F$1048576,5,FALSE))*(VLOOKUP(A171,Characters!$A$2:$F$1048576,5,FALSE)-H171))/6)*(Tables!$K$5*100))</f>
        <v>0</v>
      </c>
      <c r="K171" s="48">
        <f>VLOOKUP(E171,Tables!$E$1:$F$9,2,FALSE)+VLOOKUP(F171,Tables!$C:$D,2,FALSE)+VLOOKUP(G171,Tables!$A:$B,2,FALSE)+IFERROR((((((((Tables!$H$2/VLOOKUP(A171,Characters!$A$2:$F$1048576,5,FALSE))*(VLOOKUP(A171,Characters!$A$2:$F$1048576,5,FALSE)-H171))/6)*6)+((((Tables!$G$2/VLOOKUP(A171,Characters!$A$2:$F$1048576,6,FALSE))*(VLOOKUP(A171,Characters!$A$2:$F$1048576,6,FALSE)-I171))/24)*24)))/30)*(Tables!$K$5*100),(((Tables!$H$2/VLOOKUP(A171,Characters!$A$2:$F$1048576,5,FALSE))*(VLOOKUP(A171,Characters!$A$2:$F$1048576,5,FALSE)-H171))/6)*(Tables!$K$5*100))</f>
        <v>15.227618652874323</v>
      </c>
      <c r="L171" s="47"/>
      <c r="M171" s="49">
        <v>1014</v>
      </c>
      <c r="N171" s="50"/>
    </row>
    <row r="172" spans="1:14" x14ac:dyDescent="0.25">
      <c r="A172" s="12" t="s">
        <v>148</v>
      </c>
      <c r="B172" s="19" t="s">
        <v>29</v>
      </c>
      <c r="C172" s="12" t="s">
        <v>87</v>
      </c>
      <c r="D172" s="12"/>
      <c r="E172" s="47">
        <v>7</v>
      </c>
      <c r="F172" s="47">
        <v>85</v>
      </c>
      <c r="G172" s="47">
        <v>10</v>
      </c>
      <c r="H172" s="47">
        <v>0</v>
      </c>
      <c r="I172" s="47">
        <v>0</v>
      </c>
      <c r="J172" s="47">
        <f>IFERROR((((((((Tables!$H$2/VLOOKUP(A172,Characters!$A$2:$F$1048576,5,FALSE))*(VLOOKUP(A172,Characters!$A$2:$F$1048576,5,FALSE)-H172))/6)*6)+((((Tables!$G$2/VLOOKUP(A172,Characters!$A$2:$F$1048576,6,FALSE))*(VLOOKUP(A172,Characters!$A$2:$F$1048576,6,FALSE)-I172))/24)*24)))/30)*(Tables!$K$5*100),(((Tables!$H$2/VLOOKUP(A172,Characters!$A$2:$F$1048576,5,FALSE))*(VLOOKUP(A172,Characters!$A$2:$F$1048576,5,FALSE)-H172))/6)*(Tables!$K$5*100))</f>
        <v>30</v>
      </c>
      <c r="K172" s="48">
        <f>VLOOKUP(E172,Tables!$E$1:$F$9,2,FALSE)+VLOOKUP(F172,Tables!$C:$D,2,FALSE)+VLOOKUP(G172,Tables!$A:$B,2,FALSE)+IFERROR((((((((Tables!$H$2/VLOOKUP(A172,Characters!$A$2:$F$1048576,5,FALSE))*(VLOOKUP(A172,Characters!$A$2:$F$1048576,5,FALSE)-H172))/6)*6)+((((Tables!$G$2/VLOOKUP(A172,Characters!$A$2:$F$1048576,6,FALSE))*(VLOOKUP(A172,Characters!$A$2:$F$1048576,6,FALSE)-I172))/24)*24)))/30)*(Tables!$K$5*100),(((Tables!$H$2/VLOOKUP(A172,Characters!$A$2:$F$1048576,5,FALSE))*(VLOOKUP(A172,Characters!$A$2:$F$1048576,5,FALSE)-H172))/6)*(Tables!$K$5*100))</f>
        <v>82.914351851851848</v>
      </c>
      <c r="L172" s="47"/>
      <c r="M172" s="49">
        <v>14953</v>
      </c>
      <c r="N172" s="50"/>
    </row>
    <row r="173" spans="1:14" x14ac:dyDescent="0.25">
      <c r="A173" s="12" t="s">
        <v>88</v>
      </c>
      <c r="B173" s="19" t="s">
        <v>28</v>
      </c>
      <c r="C173" s="12" t="s">
        <v>156</v>
      </c>
      <c r="D173" s="12"/>
      <c r="E173" s="47">
        <v>7</v>
      </c>
      <c r="F173" s="47">
        <v>1</v>
      </c>
      <c r="G173" s="47">
        <v>1</v>
      </c>
      <c r="H173" s="47">
        <v>3</v>
      </c>
      <c r="I173" s="47">
        <v>0</v>
      </c>
      <c r="J173" s="47">
        <f>IFERROR((((((((Tables!$H$2/VLOOKUP(A173,Characters!$A$2:$F$1048576,5,FALSE))*(VLOOKUP(A173,Characters!$A$2:$F$1048576,5,FALSE)-H173))/6)*6)+((((Tables!$G$2/VLOOKUP(A173,Characters!$A$2:$F$1048576,6,FALSE))*(VLOOKUP(A173,Characters!$A$2:$F$1048576,6,FALSE)-I173))/24)*24)))/30)*(Tables!$K$5*100),(((Tables!$H$2/VLOOKUP(A173,Characters!$A$2:$F$1048576,5,FALSE))*(VLOOKUP(A173,Characters!$A$2:$F$1048576,5,FALSE)-H173))/6)*(Tables!$K$5*100))</f>
        <v>0</v>
      </c>
      <c r="K173" s="48">
        <f>VLOOKUP(E173,Tables!$E$1:$F$9,2,FALSE)+VLOOKUP(F173,Tables!$C:$D,2,FALSE)+VLOOKUP(G173,Tables!$A:$B,2,FALSE)+IFERROR((((((((Tables!$H$2/VLOOKUP(A173,Characters!$A$2:$F$1048576,5,FALSE))*(VLOOKUP(A173,Characters!$A$2:$F$1048576,5,FALSE)-H173))/6)*6)+((((Tables!$G$2/VLOOKUP(A173,Characters!$A$2:$F$1048576,6,FALSE))*(VLOOKUP(A173,Characters!$A$2:$F$1048576,6,FALSE)-I173))/24)*24)))/30)*(Tables!$K$5*100),(((Tables!$H$2/VLOOKUP(A173,Characters!$A$2:$F$1048576,5,FALSE))*(VLOOKUP(A173,Characters!$A$2:$F$1048576,5,FALSE)-H173))/6)*(Tables!$K$5*100))</f>
        <v>30.001591435185187</v>
      </c>
      <c r="L173" s="47"/>
      <c r="M173" s="49">
        <v>4656</v>
      </c>
      <c r="N173" s="50"/>
    </row>
    <row r="174" spans="1:14" x14ac:dyDescent="0.25">
      <c r="A174" s="12" t="s">
        <v>89</v>
      </c>
      <c r="B174" s="19" t="s">
        <v>29</v>
      </c>
      <c r="C174" s="12" t="s">
        <v>87</v>
      </c>
      <c r="D174" s="12"/>
      <c r="E174" s="47">
        <v>4</v>
      </c>
      <c r="F174" s="47">
        <v>1</v>
      </c>
      <c r="G174" s="47">
        <v>1</v>
      </c>
      <c r="H174" s="47">
        <v>4</v>
      </c>
      <c r="I174" s="47">
        <v>0</v>
      </c>
      <c r="J174" s="47">
        <f>IFERROR((((((((Tables!$H$2/VLOOKUP(A174,Characters!$A$2:$F$1048576,5,FALSE))*(VLOOKUP(A174,Characters!$A$2:$F$1048576,5,FALSE)-H174))/6)*6)+((((Tables!$G$2/VLOOKUP(A174,Characters!$A$2:$F$1048576,6,FALSE))*(VLOOKUP(A174,Characters!$A$2:$F$1048576,6,FALSE)-I174))/24)*24)))/30)*(Tables!$K$5*100),(((Tables!$H$2/VLOOKUP(A174,Characters!$A$2:$F$1048576,5,FALSE))*(VLOOKUP(A174,Characters!$A$2:$F$1048576,5,FALSE)-H174))/6)*(Tables!$K$5*100))</f>
        <v>0</v>
      </c>
      <c r="K174" s="48">
        <f>VLOOKUP(E174,Tables!$E$1:$F$9,2,FALSE)+VLOOKUP(F174,Tables!$C:$D,2,FALSE)+VLOOKUP(G174,Tables!$A:$B,2,FALSE)+IFERROR((((((((Tables!$H$2/VLOOKUP(A174,Characters!$A$2:$F$1048576,5,FALSE))*(VLOOKUP(A174,Characters!$A$2:$F$1048576,5,FALSE)-H174))/6)*6)+((((Tables!$G$2/VLOOKUP(A174,Characters!$A$2:$F$1048576,6,FALSE))*(VLOOKUP(A174,Characters!$A$2:$F$1048576,6,FALSE)-I174))/24)*24)))/30)*(Tables!$K$5*100),(((Tables!$H$2/VLOOKUP(A174,Characters!$A$2:$F$1048576,5,FALSE))*(VLOOKUP(A174,Characters!$A$2:$F$1048576,5,FALSE)-H174))/6)*(Tables!$K$5*100))</f>
        <v>15.227618652874323</v>
      </c>
      <c r="L174" s="47"/>
      <c r="M174" s="49">
        <v>1014</v>
      </c>
      <c r="N174" s="50"/>
    </row>
    <row r="175" spans="1:14" x14ac:dyDescent="0.25">
      <c r="A175" s="26" t="s">
        <v>270</v>
      </c>
      <c r="B175" s="31" t="s">
        <v>28</v>
      </c>
      <c r="C175" s="26" t="s">
        <v>157</v>
      </c>
      <c r="D175" s="26"/>
      <c r="E175" s="50">
        <v>3</v>
      </c>
      <c r="F175" s="50">
        <v>1</v>
      </c>
      <c r="G175" s="50">
        <v>1</v>
      </c>
      <c r="H175" s="50">
        <v>3</v>
      </c>
      <c r="I175" s="50">
        <v>1</v>
      </c>
      <c r="J175" s="51">
        <f>IFERROR((((((((Tables!$H$2/VLOOKUP(A175,Characters!$A$2:$F$1048576,5,FALSE))*(VLOOKUP(A175,Characters!$A$2:$F$1048576,5,FALSE)-H175))/6)*6)+((((Tables!$G$2/VLOOKUP(A175,Characters!$A$2:$F$1048576,6,FALSE))*(VLOOKUP(A175,Characters!$A$2:$F$1048576,6,FALSE)-I175))/24)*24)))/30)*(Tables!$K$5*100),(((Tables!$H$2/VLOOKUP(A175,Characters!$A$2:$F$1048576,5,FALSE))*(VLOOKUP(A175,Characters!$A$2:$F$1048576,5,FALSE)-H175))/6)*(Tables!$K$5*100))</f>
        <v>0</v>
      </c>
      <c r="K175" s="52">
        <f>VLOOKUP(E175,Tables!$E$1:$F$9,2,FALSE)+VLOOKUP(F175,Tables!$C:$D,2,FALSE)+VLOOKUP(G175,Tables!$A:$B,2,FALSE)+IFERROR((((((((Tables!$H$2/VLOOKUP(A175,Characters!$A$2:$F$1048576,5,FALSE))*(VLOOKUP(A175,Characters!$A$2:$F$1048576,5,FALSE)-H175))/6)*6)+((((Tables!$G$2/VLOOKUP(A175,Characters!$A$2:$F$1048576,6,FALSE))*(VLOOKUP(A175,Characters!$A$2:$F$1048576,6,FALSE)-I175))/24)*24)))/30)*(Tables!$K$5*100),(((Tables!$H$2/VLOOKUP(A175,Characters!$A$2:$F$1048576,5,FALSE))*(VLOOKUP(A175,Characters!$A$2:$F$1048576,5,FALSE)-H175))/6)*(Tables!$K$5*100))</f>
        <v>9.5639405074832009</v>
      </c>
      <c r="L175" s="50"/>
      <c r="M175" s="49">
        <v>676</v>
      </c>
      <c r="N175" s="50"/>
    </row>
    <row r="176" spans="1:14" x14ac:dyDescent="0.25">
      <c r="A176" s="12" t="s">
        <v>165</v>
      </c>
      <c r="B176" s="19" t="s">
        <v>28</v>
      </c>
      <c r="C176" s="12" t="s">
        <v>157</v>
      </c>
      <c r="D176" s="12"/>
      <c r="E176" s="47">
        <v>7</v>
      </c>
      <c r="F176" s="47">
        <v>85</v>
      </c>
      <c r="G176" s="47">
        <v>8</v>
      </c>
      <c r="H176" s="47">
        <v>3</v>
      </c>
      <c r="I176" s="47">
        <v>1</v>
      </c>
      <c r="J176" s="47">
        <f>IFERROR((((((((Tables!$H$2/VLOOKUP(A176,Characters!$A$2:$F$1048576,5,FALSE))*(VLOOKUP(A176,Characters!$A$2:$F$1048576,5,FALSE)-H176))/6)*6)+((((Tables!$G$2/VLOOKUP(A176,Characters!$A$2:$F$1048576,6,FALSE))*(VLOOKUP(A176,Characters!$A$2:$F$1048576,6,FALSE)-I176))/24)*24)))/30)*(Tables!$K$5*100),(((Tables!$H$2/VLOOKUP(A176,Characters!$A$2:$F$1048576,5,FALSE))*(VLOOKUP(A176,Characters!$A$2:$F$1048576,5,FALSE)-H176))/6)*(Tables!$K$5*100))</f>
        <v>0</v>
      </c>
      <c r="K176" s="48">
        <f>VLOOKUP(E176,Tables!$E$1:$F$9,2,FALSE)+VLOOKUP(F176,Tables!$C:$D,2,FALSE)+VLOOKUP(G176,Tables!$A:$B,2,FALSE)+IFERROR((((((((Tables!$H$2/VLOOKUP(A176,Characters!$A$2:$F$1048576,5,FALSE))*(VLOOKUP(A176,Characters!$A$2:$F$1048576,5,FALSE)-H176))/6)*6)+((((Tables!$G$2/VLOOKUP(A176,Characters!$A$2:$F$1048576,6,FALSE))*(VLOOKUP(A176,Characters!$A$2:$F$1048576,6,FALSE)-I176))/24)*24)))/30)*(Tables!$K$5*100),(((Tables!$H$2/VLOOKUP(A176,Characters!$A$2:$F$1048576,5,FALSE))*(VLOOKUP(A176,Characters!$A$2:$F$1048576,5,FALSE)-H176))/6)*(Tables!$K$5*100))</f>
        <v>43.518518518518519</v>
      </c>
      <c r="L176" s="47"/>
      <c r="M176" s="49">
        <v>11349</v>
      </c>
      <c r="N176" s="50"/>
    </row>
    <row r="177" spans="1:14" x14ac:dyDescent="0.25">
      <c r="A177" s="12" t="s">
        <v>164</v>
      </c>
      <c r="B177" s="19" t="s">
        <v>28</v>
      </c>
      <c r="C177" s="12" t="s">
        <v>157</v>
      </c>
      <c r="D177" s="12"/>
      <c r="E177" s="47">
        <v>7</v>
      </c>
      <c r="F177" s="47">
        <v>85</v>
      </c>
      <c r="G177" s="47">
        <v>8</v>
      </c>
      <c r="H177" s="47">
        <v>3</v>
      </c>
      <c r="I177" s="47">
        <v>1</v>
      </c>
      <c r="J177" s="47">
        <f>IFERROR((((((((Tables!$H$2/VLOOKUP(A177,Characters!$A$2:$F$1048576,5,FALSE))*(VLOOKUP(A177,Characters!$A$2:$F$1048576,5,FALSE)-H177))/6)*6)+((((Tables!$G$2/VLOOKUP(A177,Characters!$A$2:$F$1048576,6,FALSE))*(VLOOKUP(A177,Characters!$A$2:$F$1048576,6,FALSE)-I177))/24)*24)))/30)*(Tables!$K$5*100),(((Tables!$H$2/VLOOKUP(A177,Characters!$A$2:$F$1048576,5,FALSE))*(VLOOKUP(A177,Characters!$A$2:$F$1048576,5,FALSE)-H177))/6)*(Tables!$K$5*100))</f>
        <v>0</v>
      </c>
      <c r="K177" s="48">
        <f>VLOOKUP(E177,Tables!$E$1:$F$9,2,FALSE)+VLOOKUP(F177,Tables!$C:$D,2,FALSE)+VLOOKUP(G177,Tables!$A:$B,2,FALSE)+IFERROR((((((((Tables!$H$2/VLOOKUP(A177,Characters!$A$2:$F$1048576,5,FALSE))*(VLOOKUP(A177,Characters!$A$2:$F$1048576,5,FALSE)-H177))/6)*6)+((((Tables!$G$2/VLOOKUP(A177,Characters!$A$2:$F$1048576,6,FALSE))*(VLOOKUP(A177,Characters!$A$2:$F$1048576,6,FALSE)-I177))/24)*24)))/30)*(Tables!$K$5*100),(((Tables!$H$2/VLOOKUP(A177,Characters!$A$2:$F$1048576,5,FALSE))*(VLOOKUP(A177,Characters!$A$2:$F$1048576,5,FALSE)-H177))/6)*(Tables!$K$5*100))</f>
        <v>43.518518518518519</v>
      </c>
      <c r="L177" s="47"/>
      <c r="M177" s="49">
        <v>11349</v>
      </c>
      <c r="N177" s="50"/>
    </row>
    <row r="178" spans="1:14" x14ac:dyDescent="0.25">
      <c r="A178" s="12" t="s">
        <v>195</v>
      </c>
      <c r="B178" s="19" t="s">
        <v>28</v>
      </c>
      <c r="C178" s="12" t="s">
        <v>156</v>
      </c>
      <c r="D178" s="12"/>
      <c r="E178" s="47">
        <v>3</v>
      </c>
      <c r="F178" s="47">
        <v>1</v>
      </c>
      <c r="G178" s="47">
        <v>1</v>
      </c>
      <c r="H178" s="47">
        <v>3</v>
      </c>
      <c r="I178" s="47">
        <v>1</v>
      </c>
      <c r="J178" s="47">
        <f>IFERROR((((((((Tables!$H$2/VLOOKUP(A178,Characters!$A$2:$F$1048576,5,FALSE))*(VLOOKUP(A178,Characters!$A$2:$F$1048576,5,FALSE)-H178))/6)*6)+((((Tables!$G$2/VLOOKUP(A178,Characters!$A$2:$F$1048576,6,FALSE))*(VLOOKUP(A178,Characters!$A$2:$F$1048576,6,FALSE)-I178))/24)*24)))/30)*(Tables!$K$5*100),(((Tables!$H$2/VLOOKUP(A178,Characters!$A$2:$F$1048576,5,FALSE))*(VLOOKUP(A178,Characters!$A$2:$F$1048576,5,FALSE)-H178))/6)*(Tables!$K$5*100))</f>
        <v>0</v>
      </c>
      <c r="K178" s="48">
        <f>VLOOKUP(E178,Tables!$E$1:$F$9,2,FALSE)+VLOOKUP(F178,Tables!$C:$D,2,FALSE)+VLOOKUP(G178,Tables!$A:$B,2,FALSE)+IFERROR((((((((Tables!$H$2/VLOOKUP(A178,Characters!$A$2:$F$1048576,5,FALSE))*(VLOOKUP(A178,Characters!$A$2:$F$1048576,5,FALSE)-H178))/6)*6)+((((Tables!$G$2/VLOOKUP(A178,Characters!$A$2:$F$1048576,6,FALSE))*(VLOOKUP(A178,Characters!$A$2:$F$1048576,6,FALSE)-I178))/24)*24)))/30)*(Tables!$K$5*100),(((Tables!$H$2/VLOOKUP(A178,Characters!$A$2:$F$1048576,5,FALSE))*(VLOOKUP(A178,Characters!$A$2:$F$1048576,5,FALSE)-H178))/6)*(Tables!$K$5*100))</f>
        <v>9.5639405074832009</v>
      </c>
      <c r="L178" s="47"/>
      <c r="M178" s="49">
        <v>676</v>
      </c>
      <c r="N178" s="50"/>
    </row>
    <row r="179" spans="1:14" x14ac:dyDescent="0.25">
      <c r="A179" s="12" t="s">
        <v>152</v>
      </c>
      <c r="B179" s="19" t="s">
        <v>29</v>
      </c>
      <c r="C179" s="12" t="s">
        <v>156</v>
      </c>
      <c r="D179" s="12"/>
      <c r="E179" s="47">
        <v>0</v>
      </c>
      <c r="F179" s="47">
        <v>0</v>
      </c>
      <c r="G179" s="47">
        <v>0</v>
      </c>
      <c r="H179" s="47">
        <v>3</v>
      </c>
      <c r="I179" s="47">
        <v>2</v>
      </c>
      <c r="J179" s="47">
        <f>IFERROR((((((((Tables!$H$2/VLOOKUP(A179,Characters!$A$2:$F$1048576,5,FALSE))*(VLOOKUP(A179,Characters!$A$2:$F$1048576,5,FALSE)-H179))/6)*6)+((((Tables!$G$2/VLOOKUP(A179,Characters!$A$2:$F$1048576,6,FALSE))*(VLOOKUP(A179,Characters!$A$2:$F$1048576,6,FALSE)-I179))/24)*24)))/30)*(Tables!$K$5*100),(((Tables!$H$2/VLOOKUP(A179,Characters!$A$2:$F$1048576,5,FALSE))*(VLOOKUP(A179,Characters!$A$2:$F$1048576,5,FALSE)-H179))/6)*(Tables!$K$5*100))</f>
        <v>0</v>
      </c>
      <c r="K179" s="48">
        <f>VLOOKUP(E179,Tables!$E$1:$F$9,2,FALSE)+VLOOKUP(F179,Tables!$C:$D,2,FALSE)+VLOOKUP(G179,Tables!$A:$B,2,FALSE)+IFERROR((((((((Tables!$H$2/VLOOKUP(A179,Characters!$A$2:$F$1048576,5,FALSE))*(VLOOKUP(A179,Characters!$A$2:$F$1048576,5,FALSE)-H179))/6)*6)+((((Tables!$G$2/VLOOKUP(A179,Characters!$A$2:$F$1048576,6,FALSE))*(VLOOKUP(A179,Characters!$A$2:$F$1048576,6,FALSE)-I179))/24)*24)))/30)*(Tables!$K$5*100),(((Tables!$H$2/VLOOKUP(A179,Characters!$A$2:$F$1048576,5,FALSE))*(VLOOKUP(A179,Characters!$A$2:$F$1048576,5,FALSE)-H179))/6)*(Tables!$K$5*100))</f>
        <v>0</v>
      </c>
      <c r="L179" s="47"/>
      <c r="M179" s="49">
        <v>0</v>
      </c>
      <c r="N179" s="50"/>
    </row>
    <row r="180" spans="1:14" x14ac:dyDescent="0.25">
      <c r="A180" s="12" t="s">
        <v>149</v>
      </c>
      <c r="B180" s="19" t="s">
        <v>28</v>
      </c>
      <c r="C180" s="12" t="s">
        <v>10</v>
      </c>
      <c r="D180" s="12" t="s">
        <v>389</v>
      </c>
      <c r="E180" s="47">
        <v>7</v>
      </c>
      <c r="F180" s="47">
        <v>85</v>
      </c>
      <c r="G180" s="47">
        <v>10</v>
      </c>
      <c r="H180" s="47">
        <v>0</v>
      </c>
      <c r="I180" s="47">
        <v>0</v>
      </c>
      <c r="J180" s="47">
        <f>IFERROR((((((((Tables!$H$2/VLOOKUP(A180,Characters!$A$2:$F$1048576,5,FALSE))*(VLOOKUP(A180,Characters!$A$2:$F$1048576,5,FALSE)-H180))/6)*6)+((((Tables!$G$2/VLOOKUP(A180,Characters!$A$2:$F$1048576,6,FALSE))*(VLOOKUP(A180,Characters!$A$2:$F$1048576,6,FALSE)-I180))/24)*24)))/30)*(Tables!$K$5*100),(((Tables!$H$2/VLOOKUP(A180,Characters!$A$2:$F$1048576,5,FALSE))*(VLOOKUP(A180,Characters!$A$2:$F$1048576,5,FALSE)-H180))/6)*(Tables!$K$5*100))</f>
        <v>30</v>
      </c>
      <c r="K180" s="48">
        <f>VLOOKUP(E180,Tables!$E$1:$F$9,2,FALSE)+VLOOKUP(F180,Tables!$C:$D,2,FALSE)+VLOOKUP(G180,Tables!$A:$B,2,FALSE)+IFERROR((((((((Tables!$H$2/VLOOKUP(A180,Characters!$A$2:$F$1048576,5,FALSE))*(VLOOKUP(A180,Characters!$A$2:$F$1048576,5,FALSE)-H180))/6)*6)+((((Tables!$G$2/VLOOKUP(A180,Characters!$A$2:$F$1048576,6,FALSE))*(VLOOKUP(A180,Characters!$A$2:$F$1048576,6,FALSE)-I180))/24)*24)))/30)*(Tables!$K$5*100),(((Tables!$H$2/VLOOKUP(A180,Characters!$A$2:$F$1048576,5,FALSE))*(VLOOKUP(A180,Characters!$A$2:$F$1048576,5,FALSE)-H180))/6)*(Tables!$K$5*100))</f>
        <v>82.914351851851848</v>
      </c>
      <c r="L180" s="47"/>
      <c r="M180" s="49">
        <v>14997</v>
      </c>
      <c r="N180" s="50"/>
    </row>
    <row r="181" spans="1:14" x14ac:dyDescent="0.25">
      <c r="A181" s="12" t="s">
        <v>16</v>
      </c>
      <c r="B181" s="19" t="s">
        <v>28</v>
      </c>
      <c r="C181" s="12" t="s">
        <v>14</v>
      </c>
      <c r="D181" s="12" t="s">
        <v>396</v>
      </c>
      <c r="E181" s="47">
        <v>6</v>
      </c>
      <c r="F181" s="47">
        <v>85</v>
      </c>
      <c r="G181" s="47">
        <v>8</v>
      </c>
      <c r="H181" s="47">
        <v>3</v>
      </c>
      <c r="I181" s="47">
        <v>1</v>
      </c>
      <c r="J181" s="47">
        <f>IFERROR((((((((Tables!$H$2/VLOOKUP(A181,Characters!$A$2:$F$1048576,5,FALSE))*(VLOOKUP(A181,Characters!$A$2:$F$1048576,5,FALSE)-H181))/6)*6)+((((Tables!$G$2/VLOOKUP(A181,Characters!$A$2:$F$1048576,6,FALSE))*(VLOOKUP(A181,Characters!$A$2:$F$1048576,6,FALSE)-I181))/24)*24)))/30)*(Tables!$K$5*100),(((Tables!$H$2/VLOOKUP(A181,Characters!$A$2:$F$1048576,5,FALSE))*(VLOOKUP(A181,Characters!$A$2:$F$1048576,5,FALSE)-H181))/6)*(Tables!$K$5*100))</f>
        <v>0</v>
      </c>
      <c r="K181" s="48">
        <f>VLOOKUP(E181,Tables!$E$1:$F$9,2,FALSE)+VLOOKUP(F181,Tables!$C:$D,2,FALSE)+VLOOKUP(G181,Tables!$A:$B,2,FALSE)+IFERROR((((((((Tables!$H$2/VLOOKUP(A181,Characters!$A$2:$F$1048576,5,FALSE))*(VLOOKUP(A181,Characters!$A$2:$F$1048576,5,FALSE)-H181))/6)*6)+((((Tables!$G$2/VLOOKUP(A181,Characters!$A$2:$F$1048576,6,FALSE))*(VLOOKUP(A181,Characters!$A$2:$F$1048576,6,FALSE)-I181))/24)*24)))/30)*(Tables!$K$5*100),(((Tables!$H$2/VLOOKUP(A181,Characters!$A$2:$F$1048576,5,FALSE))*(VLOOKUP(A181,Characters!$A$2:$F$1048576,5,FALSE)-H181))/6)*(Tables!$K$5*100))</f>
        <v>38.953715482737309</v>
      </c>
      <c r="L181" s="47"/>
      <c r="M181" s="49">
        <v>10798</v>
      </c>
      <c r="N181" s="50"/>
    </row>
    <row r="182" spans="1:14" x14ac:dyDescent="0.25">
      <c r="A182" s="26" t="s">
        <v>269</v>
      </c>
      <c r="B182" s="31" t="s">
        <v>28</v>
      </c>
      <c r="C182" s="26" t="s">
        <v>157</v>
      </c>
      <c r="D182" s="26" t="s">
        <v>388</v>
      </c>
      <c r="E182" s="50">
        <v>3</v>
      </c>
      <c r="F182" s="50">
        <v>1</v>
      </c>
      <c r="G182" s="50">
        <v>1</v>
      </c>
      <c r="H182" s="50">
        <v>3</v>
      </c>
      <c r="I182" s="50">
        <v>1</v>
      </c>
      <c r="J182" s="51">
        <f>IFERROR((((((((Tables!$H$2/VLOOKUP(A182,Characters!$A$2:$F$1048576,5,FALSE))*(VLOOKUP(A182,Characters!$A$2:$F$1048576,5,FALSE)-H182))/6)*6)+((((Tables!$G$2/VLOOKUP(A182,Characters!$A$2:$F$1048576,6,FALSE))*(VLOOKUP(A182,Characters!$A$2:$F$1048576,6,FALSE)-I182))/24)*24)))/30)*(Tables!$K$5*100),(((Tables!$H$2/VLOOKUP(A182,Characters!$A$2:$F$1048576,5,FALSE))*(VLOOKUP(A182,Characters!$A$2:$F$1048576,5,FALSE)-H182))/6)*(Tables!$K$5*100))</f>
        <v>0</v>
      </c>
      <c r="K182" s="52">
        <f>VLOOKUP(E182,Tables!$E$1:$F$9,2,FALSE)+VLOOKUP(F182,Tables!$C:$D,2,FALSE)+VLOOKUP(G182,Tables!$A:$B,2,FALSE)+IFERROR((((((((Tables!$H$2/VLOOKUP(A182,Characters!$A$2:$F$1048576,5,FALSE))*(VLOOKUP(A182,Characters!$A$2:$F$1048576,5,FALSE)-H182))/6)*6)+((((Tables!$G$2/VLOOKUP(A182,Characters!$A$2:$F$1048576,6,FALSE))*(VLOOKUP(A182,Characters!$A$2:$F$1048576,6,FALSE)-I182))/24)*24)))/30)*(Tables!$K$5*100),(((Tables!$H$2/VLOOKUP(A182,Characters!$A$2:$F$1048576,5,FALSE))*(VLOOKUP(A182,Characters!$A$2:$F$1048576,5,FALSE)-H182))/6)*(Tables!$K$5*100))</f>
        <v>9.5639405074832009</v>
      </c>
      <c r="L182" s="50"/>
      <c r="M182" s="49">
        <v>676</v>
      </c>
      <c r="N182" s="50"/>
    </row>
    <row r="183" spans="1:14" x14ac:dyDescent="0.25">
      <c r="A183" s="26" t="s">
        <v>362</v>
      </c>
      <c r="B183" s="31" t="s">
        <v>28</v>
      </c>
      <c r="C183" s="26" t="s">
        <v>157</v>
      </c>
      <c r="D183" s="26" t="s">
        <v>388</v>
      </c>
      <c r="E183" s="50">
        <v>3</v>
      </c>
      <c r="F183" s="50">
        <v>1</v>
      </c>
      <c r="G183" s="50">
        <v>1</v>
      </c>
      <c r="H183" s="50">
        <v>3</v>
      </c>
      <c r="I183" s="50">
        <v>1</v>
      </c>
      <c r="J183" s="51">
        <f>IFERROR((((((((Tables!$H$2/VLOOKUP(A183,Characters!$A$2:$F$1048576,5,FALSE))*(VLOOKUP(A183,Characters!$A$2:$F$1048576,5,FALSE)-H183))/6)*6)+((((Tables!$G$2/VLOOKUP(A183,Characters!$A$2:$F$1048576,6,FALSE))*(VLOOKUP(A183,Characters!$A$2:$F$1048576,6,FALSE)-I183))/24)*24)))/30)*(Tables!$K$5*100),(((Tables!$H$2/VLOOKUP(A183,Characters!$A$2:$F$1048576,5,FALSE))*(VLOOKUP(A183,Characters!$A$2:$F$1048576,5,FALSE)-H183))/6)*(Tables!$K$5*100))</f>
        <v>0</v>
      </c>
      <c r="K183" s="52">
        <f>VLOOKUP(E183,Tables!$E$1:$F$9,2,FALSE)+VLOOKUP(F183,Tables!$C:$D,2,FALSE)+VLOOKUP(G183,Tables!$A:$B,2,FALSE)+IFERROR((((((((Tables!$H$2/VLOOKUP(A183,Characters!$A$2:$F$1048576,5,FALSE))*(VLOOKUP(A183,Characters!$A$2:$F$1048576,5,FALSE)-H183))/6)*6)+((((Tables!$G$2/VLOOKUP(A183,Characters!$A$2:$F$1048576,6,FALSE))*(VLOOKUP(A183,Characters!$A$2:$F$1048576,6,FALSE)-I183))/24)*24)))/30)*(Tables!$K$5*100),(((Tables!$H$2/VLOOKUP(A183,Characters!$A$2:$F$1048576,5,FALSE))*(VLOOKUP(A183,Characters!$A$2:$F$1048576,5,FALSE)-H183))/6)*(Tables!$K$5*100))</f>
        <v>9.5639405074832009</v>
      </c>
      <c r="L183" s="50"/>
      <c r="M183" s="49">
        <v>676</v>
      </c>
      <c r="N183" s="50"/>
    </row>
    <row r="184" spans="1:14" x14ac:dyDescent="0.25">
      <c r="A184" s="12" t="s">
        <v>150</v>
      </c>
      <c r="B184" s="19" t="s">
        <v>29</v>
      </c>
      <c r="C184" s="12" t="s">
        <v>196</v>
      </c>
      <c r="D184" s="12"/>
      <c r="E184" s="47">
        <v>7</v>
      </c>
      <c r="F184" s="47">
        <v>85</v>
      </c>
      <c r="G184" s="47">
        <v>11</v>
      </c>
      <c r="H184" s="47">
        <v>0</v>
      </c>
      <c r="I184" s="47">
        <v>0</v>
      </c>
      <c r="J184" s="47">
        <f>IFERROR((((((((Tables!$H$2/VLOOKUP(A184,Characters!$A$2:$F$1048576,5,FALSE))*(VLOOKUP(A184,Characters!$A$2:$F$1048576,5,FALSE)-H184))/6)*6)+((((Tables!$G$2/VLOOKUP(A184,Characters!$A$2:$F$1048576,6,FALSE))*(VLOOKUP(A184,Characters!$A$2:$F$1048576,6,FALSE)-I184))/24)*24)))/30)*(Tables!$K$5*100),(((Tables!$H$2/VLOOKUP(A184,Characters!$A$2:$F$1048576,5,FALSE))*(VLOOKUP(A184,Characters!$A$2:$F$1048576,5,FALSE)-H184))/6)*(Tables!$K$5*100))</f>
        <v>30</v>
      </c>
      <c r="K184" s="48">
        <f>VLOOKUP(E184,Tables!$E$1:$F$9,2,FALSE)+VLOOKUP(F184,Tables!$C:$D,2,FALSE)+VLOOKUP(G184,Tables!$A:$B,2,FALSE)+IFERROR((((((((Tables!$H$2/VLOOKUP(A184,Characters!$A$2:$F$1048576,5,FALSE))*(VLOOKUP(A184,Characters!$A$2:$F$1048576,5,FALSE)-H184))/6)*6)+((((Tables!$G$2/VLOOKUP(A184,Characters!$A$2:$F$1048576,6,FALSE))*(VLOOKUP(A184,Characters!$A$2:$F$1048576,6,FALSE)-I184))/24)*24)))/30)*(Tables!$K$5*100),(((Tables!$H$2/VLOOKUP(A184,Characters!$A$2:$F$1048576,5,FALSE))*(VLOOKUP(A184,Characters!$A$2:$F$1048576,5,FALSE)-H184))/6)*(Tables!$K$5*100))</f>
        <v>90.300202546296305</v>
      </c>
      <c r="L184" s="47"/>
      <c r="M184" s="49">
        <v>15705</v>
      </c>
      <c r="N184" s="50"/>
    </row>
  </sheetData>
  <sortState ref="G161:G183">
    <sortCondition ref="G160"/>
  </sortState>
  <mergeCells count="6">
    <mergeCell ref="Q59:S62"/>
    <mergeCell ref="E27:E28"/>
    <mergeCell ref="A27:A28"/>
    <mergeCell ref="B27:B28"/>
    <mergeCell ref="C27:C28"/>
    <mergeCell ref="D27:D28"/>
  </mergeCells>
  <conditionalFormatting sqref="F2:F22">
    <cfRule type="top10" dxfId="81" priority="8" stopIfTrue="1" rank="1"/>
    <cfRule type="dataBar" priority="12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{E675DD54-19B5-4A1A-BD7F-CF590CDB2507}</x14:id>
        </ext>
      </extLst>
    </cfRule>
  </conditionalFormatting>
  <conditionalFormatting sqref="M2:M23">
    <cfRule type="top10" dxfId="80" priority="2" stopIfTrue="1" rank="1"/>
    <cfRule type="dataBar" priority="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{98816EB0-DB34-4420-B37F-CE9892729DBC}</x14:id>
        </ext>
      </extLst>
    </cfRule>
  </conditionalFormatting>
  <conditionalFormatting sqref="G33:G184">
    <cfRule type="cellIs" dxfId="79" priority="1" operator="equal">
      <formula>12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5DD54-19B5-4A1A-BD7F-CF590CDB2507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98816EB0-DB34-4420-B37F-CE9892729DB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M2:M23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zoomScaleNormal="100" workbookViewId="0">
      <selection activeCell="G7" sqref="G7"/>
    </sheetView>
  </sheetViews>
  <sheetFormatPr defaultRowHeight="15" x14ac:dyDescent="0.25"/>
  <cols>
    <col min="1" max="1" width="33.140625" style="30" bestFit="1" customWidth="1"/>
    <col min="2" max="2" width="12.28515625" style="30" customWidth="1"/>
    <col min="3" max="3" width="10" style="30" bestFit="1" customWidth="1"/>
    <col min="4" max="4" width="10.5703125" style="30" bestFit="1" customWidth="1"/>
    <col min="5" max="5" width="11.85546875" style="30" bestFit="1" customWidth="1"/>
    <col min="6" max="6" width="7.5703125" style="30" bestFit="1" customWidth="1"/>
    <col min="7" max="8" width="9.140625" style="30"/>
    <col min="9" max="9" width="10" style="30" bestFit="1" customWidth="1"/>
    <col min="10" max="10" width="10" style="46" customWidth="1"/>
    <col min="11" max="11" width="33.140625" style="46" bestFit="1" customWidth="1"/>
    <col min="12" max="13" width="14.85546875" style="46" customWidth="1"/>
    <col min="14" max="14" width="14.85546875" style="45" bestFit="1" customWidth="1"/>
    <col min="15" max="15" width="17.7109375" style="45" customWidth="1"/>
    <col min="16" max="17" width="16.42578125" style="45" bestFit="1" customWidth="1"/>
    <col min="18" max="18" width="11" style="45" bestFit="1" customWidth="1"/>
    <col min="19" max="19" width="6.28515625" style="45" customWidth="1"/>
    <col min="20" max="23" width="12.7109375" style="45" customWidth="1"/>
    <col min="24" max="16384" width="9.140625" style="45"/>
  </cols>
  <sheetData>
    <row r="1" spans="1:23" ht="15.75" thickBot="1" x14ac:dyDescent="0.3">
      <c r="A1" s="22" t="s">
        <v>216</v>
      </c>
      <c r="B1" s="22" t="s">
        <v>275</v>
      </c>
      <c r="C1" s="22" t="s">
        <v>67</v>
      </c>
      <c r="D1" s="22" t="s">
        <v>371</v>
      </c>
      <c r="E1" s="22" t="s">
        <v>372</v>
      </c>
      <c r="F1" s="22" t="s">
        <v>369</v>
      </c>
      <c r="G1" s="22" t="s">
        <v>252</v>
      </c>
      <c r="H1" s="22" t="s">
        <v>271</v>
      </c>
      <c r="I1" s="22" t="s">
        <v>266</v>
      </c>
      <c r="J1" s="42"/>
      <c r="K1" s="63" t="str">
        <f>A1</f>
        <v>Item</v>
      </c>
      <c r="L1" s="60" t="str">
        <f t="shared" ref="L1:P1" si="0">B1</f>
        <v>Asajj</v>
      </c>
      <c r="M1" s="58" t="str">
        <f t="shared" si="0"/>
        <v>BB-8</v>
      </c>
      <c r="N1" s="58" t="str">
        <f t="shared" si="0"/>
        <v>Rey</v>
      </c>
      <c r="O1" s="58" t="str">
        <f t="shared" si="0"/>
        <v>RT</v>
      </c>
      <c r="P1" s="59" t="str">
        <f t="shared" si="0"/>
        <v>Daka</v>
      </c>
      <c r="Q1" s="44"/>
      <c r="R1" s="44"/>
      <c r="S1" s="43"/>
      <c r="T1" s="43"/>
      <c r="U1" s="43"/>
      <c r="V1" s="43"/>
      <c r="W1" s="43"/>
    </row>
    <row r="2" spans="1:23" x14ac:dyDescent="0.25">
      <c r="A2" s="15" t="s">
        <v>240</v>
      </c>
      <c r="B2" s="22">
        <v>50</v>
      </c>
      <c r="C2" s="22">
        <v>150</v>
      </c>
      <c r="D2" s="22">
        <v>150</v>
      </c>
      <c r="E2" s="22">
        <v>100</v>
      </c>
      <c r="F2" s="22"/>
      <c r="G2" s="22">
        <v>20</v>
      </c>
      <c r="H2" s="22">
        <f t="shared" ref="H2:H26" si="1">IF(G2&gt;=B2,0,B2-G2)</f>
        <v>30</v>
      </c>
      <c r="I2" s="22">
        <f t="shared" ref="I2:I26" si="2">IF(SUM(B2:F2,-G2)&lt;0,0,SUM(B2:F2,-G2))</f>
        <v>430</v>
      </c>
      <c r="J2" s="42"/>
      <c r="K2" s="64" t="str">
        <f t="shared" ref="K2:K26" si="3">A2</f>
        <v>Mk 8 BioTech Implant</v>
      </c>
      <c r="L2" s="61">
        <f>IF(B2="","",COUNT($B2:B2))</f>
        <v>1</v>
      </c>
      <c r="M2" s="54">
        <f>IF(C2="","",COUNT($B2:C2))</f>
        <v>2</v>
      </c>
      <c r="N2" s="54">
        <f>IF(D2="","",COUNT($B2:D2))</f>
        <v>3</v>
      </c>
      <c r="O2" s="54">
        <f>IF(E2="","",COUNT($B2:E2))</f>
        <v>4</v>
      </c>
      <c r="P2" s="55" t="str">
        <f>IF(F2="","",COUNT($B2:F2))</f>
        <v/>
      </c>
      <c r="Q2" s="44"/>
      <c r="R2" s="44"/>
      <c r="S2" s="43"/>
      <c r="T2" s="43"/>
      <c r="U2" s="43"/>
      <c r="V2" s="43"/>
      <c r="W2" s="43"/>
    </row>
    <row r="3" spans="1:23" x14ac:dyDescent="0.25">
      <c r="A3" s="15" t="s">
        <v>230</v>
      </c>
      <c r="B3" s="22"/>
      <c r="C3" s="22">
        <v>100</v>
      </c>
      <c r="D3" s="22">
        <v>150</v>
      </c>
      <c r="E3" s="22">
        <v>100</v>
      </c>
      <c r="F3" s="22">
        <v>50</v>
      </c>
      <c r="G3" s="22">
        <v>110</v>
      </c>
      <c r="H3" s="22">
        <f t="shared" si="1"/>
        <v>0</v>
      </c>
      <c r="I3" s="22">
        <f t="shared" si="2"/>
        <v>290</v>
      </c>
      <c r="J3" s="42"/>
      <c r="K3" s="64" t="str">
        <f t="shared" si="3"/>
        <v>Mk 3 Carbanti Sensor Array</v>
      </c>
      <c r="L3" s="61" t="str">
        <f>IF(B3="","",COUNT($B3:B3))</f>
        <v/>
      </c>
      <c r="M3" s="54">
        <f>IF(C3="","",COUNT($B3:C3))</f>
        <v>1</v>
      </c>
      <c r="N3" s="54">
        <f>IF(D3="","",COUNT($B3:D3))</f>
        <v>2</v>
      </c>
      <c r="O3" s="54">
        <f>IF(E3="","",COUNT($B3:E3))</f>
        <v>3</v>
      </c>
      <c r="P3" s="55">
        <f>IF(F3="","",COUNT($B3:F3))</f>
        <v>4</v>
      </c>
      <c r="Q3" s="44"/>
      <c r="R3" s="44"/>
      <c r="S3" s="43"/>
      <c r="T3" s="43"/>
      <c r="U3" s="43"/>
      <c r="V3" s="43"/>
      <c r="W3" s="43"/>
    </row>
    <row r="4" spans="1:23" x14ac:dyDescent="0.25">
      <c r="A4" s="15" t="s">
        <v>246</v>
      </c>
      <c r="B4" s="22"/>
      <c r="C4" s="22">
        <v>50</v>
      </c>
      <c r="D4" s="22">
        <v>150</v>
      </c>
      <c r="E4" s="22">
        <v>50</v>
      </c>
      <c r="F4" s="22">
        <v>50</v>
      </c>
      <c r="G4" s="22">
        <v>28</v>
      </c>
      <c r="H4" s="22">
        <f t="shared" si="1"/>
        <v>0</v>
      </c>
      <c r="I4" s="22">
        <f t="shared" si="2"/>
        <v>272</v>
      </c>
      <c r="J4" s="42"/>
      <c r="K4" s="64" t="str">
        <f t="shared" si="3"/>
        <v>Mk 5 A/KT Stun Guns</v>
      </c>
      <c r="L4" s="61" t="str">
        <f>IF(B4="","",COUNT($B4:B4))</f>
        <v/>
      </c>
      <c r="M4" s="54">
        <f>IF(C4="","",COUNT($B4:C4))</f>
        <v>1</v>
      </c>
      <c r="N4" s="54">
        <f>IF(D4="","",COUNT($B4:D4))</f>
        <v>2</v>
      </c>
      <c r="O4" s="54">
        <f>IF(E4="","",COUNT($B4:E4))</f>
        <v>3</v>
      </c>
      <c r="P4" s="55">
        <f>IF(F4="","",COUNT($B4:F4))</f>
        <v>4</v>
      </c>
      <c r="Q4" s="44"/>
      <c r="R4" s="44"/>
      <c r="S4" s="43"/>
      <c r="T4" s="43"/>
      <c r="U4" s="43"/>
      <c r="V4" s="43"/>
      <c r="W4" s="43"/>
    </row>
    <row r="5" spans="1:23" x14ac:dyDescent="0.25">
      <c r="A5" s="15" t="s">
        <v>249</v>
      </c>
      <c r="B5" s="22"/>
      <c r="C5" s="22">
        <v>50</v>
      </c>
      <c r="D5" s="22">
        <v>50</v>
      </c>
      <c r="E5" s="22">
        <v>50</v>
      </c>
      <c r="F5" s="22"/>
      <c r="G5" s="22">
        <v>13</v>
      </c>
      <c r="H5" s="22">
        <f t="shared" si="1"/>
        <v>0</v>
      </c>
      <c r="I5" s="22">
        <f t="shared" si="2"/>
        <v>137</v>
      </c>
      <c r="J5" s="42"/>
      <c r="K5" s="64" t="str">
        <f t="shared" si="3"/>
        <v>Mk 4 Zaltin Bacta Gel</v>
      </c>
      <c r="L5" s="61" t="str">
        <f>IF(B5="","",COUNT($B5:B5))</f>
        <v/>
      </c>
      <c r="M5" s="54">
        <f>IF(C5="","",COUNT($B5:C5))</f>
        <v>1</v>
      </c>
      <c r="N5" s="54">
        <f>IF(D5="","",COUNT($B5:D5))</f>
        <v>2</v>
      </c>
      <c r="O5" s="54">
        <f>IF(E5="","",COUNT($B5:E5))</f>
        <v>3</v>
      </c>
      <c r="P5" s="55" t="str">
        <f>IF(F5="","",COUNT($B5:F5))</f>
        <v/>
      </c>
      <c r="Q5" s="44"/>
      <c r="R5" s="44"/>
      <c r="S5" s="43"/>
      <c r="T5" s="43"/>
      <c r="U5" s="43"/>
      <c r="V5" s="43"/>
      <c r="W5" s="43"/>
    </row>
    <row r="6" spans="1:23" x14ac:dyDescent="0.25">
      <c r="A6" s="15" t="s">
        <v>250</v>
      </c>
      <c r="B6" s="22"/>
      <c r="C6" s="22">
        <v>50</v>
      </c>
      <c r="D6" s="22"/>
      <c r="E6" s="22"/>
      <c r="F6" s="22">
        <v>100</v>
      </c>
      <c r="G6" s="22">
        <v>43</v>
      </c>
      <c r="H6" s="32">
        <f t="shared" si="1"/>
        <v>0</v>
      </c>
      <c r="I6" s="32">
        <f t="shared" si="2"/>
        <v>107</v>
      </c>
      <c r="J6" s="42"/>
      <c r="K6" s="64" t="str">
        <f t="shared" si="3"/>
        <v>Mk 5 Athakam Medpac</v>
      </c>
      <c r="L6" s="61" t="str">
        <f>IF(B6="","",COUNT($B6:B6))</f>
        <v/>
      </c>
      <c r="M6" s="54">
        <f>IF(C6="","",COUNT($B6:C6))</f>
        <v>1</v>
      </c>
      <c r="N6" s="54" t="str">
        <f>IF(D6="","",COUNT($B6:D6))</f>
        <v/>
      </c>
      <c r="O6" s="54" t="str">
        <f>IF(E6="","",COUNT($B6:E6))</f>
        <v/>
      </c>
      <c r="P6" s="55">
        <f>IF(F6="","",COUNT($B6:F6))</f>
        <v>2</v>
      </c>
      <c r="Q6" s="44"/>
      <c r="R6" s="44"/>
      <c r="S6" s="43"/>
      <c r="T6" s="43"/>
      <c r="U6" s="43"/>
      <c r="V6" s="43"/>
      <c r="W6" s="43"/>
    </row>
    <row r="7" spans="1:23" x14ac:dyDescent="0.25">
      <c r="A7" s="15" t="s">
        <v>255</v>
      </c>
      <c r="B7" s="22"/>
      <c r="C7" s="22"/>
      <c r="D7" s="22">
        <v>150</v>
      </c>
      <c r="E7" s="22"/>
      <c r="F7" s="22"/>
      <c r="G7" s="22">
        <v>45</v>
      </c>
      <c r="H7" s="22">
        <f t="shared" si="1"/>
        <v>0</v>
      </c>
      <c r="I7" s="22">
        <f t="shared" si="2"/>
        <v>105</v>
      </c>
      <c r="J7" s="42"/>
      <c r="K7" s="64" t="str">
        <f t="shared" si="3"/>
        <v>Mk 9 BioTech Implant</v>
      </c>
      <c r="L7" s="61" t="str">
        <f>IF(B7="","",COUNT($B7:B7))</f>
        <v/>
      </c>
      <c r="M7" s="54" t="str">
        <f>IF(C7="","",COUNT($B7:C7))</f>
        <v/>
      </c>
      <c r="N7" s="54">
        <f>IF(D7="","",COUNT($B7:D7))</f>
        <v>1</v>
      </c>
      <c r="O7" s="54" t="str">
        <f>IF(E7="","",COUNT($B7:E7))</f>
        <v/>
      </c>
      <c r="P7" s="55" t="str">
        <f>IF(F7="","",COUNT($B7:F7))</f>
        <v/>
      </c>
      <c r="Q7" s="44"/>
      <c r="R7" s="44"/>
      <c r="S7" s="43"/>
      <c r="T7" s="43"/>
      <c r="U7" s="43"/>
      <c r="V7" s="43"/>
      <c r="W7" s="43"/>
    </row>
    <row r="8" spans="1:23" x14ac:dyDescent="0.25">
      <c r="A8" s="15" t="s">
        <v>236</v>
      </c>
      <c r="B8" s="22"/>
      <c r="C8" s="22"/>
      <c r="D8" s="22"/>
      <c r="E8" s="22">
        <v>50</v>
      </c>
      <c r="F8" s="22">
        <v>50</v>
      </c>
      <c r="G8" s="22">
        <v>6</v>
      </c>
      <c r="H8" s="22">
        <f t="shared" si="1"/>
        <v>0</v>
      </c>
      <c r="I8" s="22">
        <f t="shared" si="2"/>
        <v>94</v>
      </c>
      <c r="J8" s="42"/>
      <c r="K8" s="64" t="str">
        <f t="shared" si="3"/>
        <v>Mk 3 Czerka Stun Cuffs</v>
      </c>
      <c r="L8" s="61" t="str">
        <f>IF(B8="","",COUNT($B8:B8))</f>
        <v/>
      </c>
      <c r="M8" s="54" t="str">
        <f>IF(C8="","",COUNT($B8:C8))</f>
        <v/>
      </c>
      <c r="N8" s="54" t="str">
        <f>IF(D8="","",COUNT($B8:D8))</f>
        <v/>
      </c>
      <c r="O8" s="54">
        <f>IF(E8="","",COUNT($B8:E8))</f>
        <v>1</v>
      </c>
      <c r="P8" s="55">
        <f>IF(F8="","",COUNT($B8:F8))</f>
        <v>2</v>
      </c>
      <c r="Q8" s="44"/>
      <c r="R8" s="44"/>
      <c r="S8" s="43"/>
      <c r="T8" s="43"/>
      <c r="U8" s="43"/>
      <c r="V8" s="43"/>
      <c r="W8" s="43"/>
    </row>
    <row r="9" spans="1:23" x14ac:dyDescent="0.25">
      <c r="A9" s="15" t="s">
        <v>248</v>
      </c>
      <c r="B9" s="22"/>
      <c r="C9" s="22">
        <v>50</v>
      </c>
      <c r="D9" s="22"/>
      <c r="E9" s="22"/>
      <c r="F9" s="22">
        <v>50</v>
      </c>
      <c r="G9" s="22">
        <v>10</v>
      </c>
      <c r="H9" s="22">
        <f t="shared" si="1"/>
        <v>0</v>
      </c>
      <c r="I9" s="22">
        <f t="shared" si="2"/>
        <v>90</v>
      </c>
      <c r="J9" s="42"/>
      <c r="K9" s="64" t="str">
        <f t="shared" si="3"/>
        <v>Mk 6 Arakyd Droid Caller</v>
      </c>
      <c r="L9" s="61" t="str">
        <f>IF(B9="","",COUNT($B9:B9))</f>
        <v/>
      </c>
      <c r="M9" s="54">
        <f>IF(C9="","",COUNT($B9:C9))</f>
        <v>1</v>
      </c>
      <c r="N9" s="54" t="str">
        <f>IF(D9="","",COUNT($B9:D9))</f>
        <v/>
      </c>
      <c r="O9" s="54" t="str">
        <f>IF(E9="","",COUNT($B9:E9))</f>
        <v/>
      </c>
      <c r="P9" s="55">
        <f>IF(F9="","",COUNT($B9:F9))</f>
        <v>2</v>
      </c>
      <c r="Q9" s="44"/>
      <c r="R9" s="44"/>
      <c r="S9" s="43"/>
      <c r="T9" s="43"/>
      <c r="U9" s="43"/>
      <c r="V9" s="43"/>
      <c r="W9" s="43"/>
    </row>
    <row r="10" spans="1:23" x14ac:dyDescent="0.25">
      <c r="A10" s="15" t="s">
        <v>244</v>
      </c>
      <c r="B10" s="22"/>
      <c r="C10" s="22"/>
      <c r="D10" s="22"/>
      <c r="E10" s="22"/>
      <c r="F10" s="22">
        <v>50</v>
      </c>
      <c r="G10" s="22">
        <v>2</v>
      </c>
      <c r="H10" s="22">
        <f t="shared" si="1"/>
        <v>0</v>
      </c>
      <c r="I10" s="22">
        <f t="shared" si="2"/>
        <v>48</v>
      </c>
      <c r="J10" s="42"/>
      <c r="K10" s="64" t="str">
        <f t="shared" si="3"/>
        <v>Mk 7 Merr-Sonn Shield Generator</v>
      </c>
      <c r="L10" s="61" t="str">
        <f>IF(B10="","",COUNT($B10:B10))</f>
        <v/>
      </c>
      <c r="M10" s="54" t="str">
        <f>IF(C10="","",COUNT($B10:C10))</f>
        <v/>
      </c>
      <c r="N10" s="54" t="str">
        <f>IF(D10="","",COUNT($B10:D10))</f>
        <v/>
      </c>
      <c r="O10" s="54" t="str">
        <f>IF(E10="","",COUNT($B10:E10))</f>
        <v/>
      </c>
      <c r="P10" s="55">
        <f>IF(F10="","",COUNT($B10:F10))</f>
        <v>1</v>
      </c>
      <c r="Q10" s="44"/>
      <c r="R10" s="44"/>
      <c r="S10" s="43"/>
      <c r="T10" s="43"/>
      <c r="U10" s="43"/>
      <c r="V10" s="43"/>
      <c r="W10" s="43"/>
    </row>
    <row r="11" spans="1:23" x14ac:dyDescent="0.25">
      <c r="A11" s="15" t="s">
        <v>235</v>
      </c>
      <c r="B11" s="22"/>
      <c r="C11" s="22"/>
      <c r="D11" s="22"/>
      <c r="E11" s="22"/>
      <c r="F11" s="22">
        <v>50</v>
      </c>
      <c r="G11" s="22">
        <v>25</v>
      </c>
      <c r="H11" s="32">
        <f t="shared" si="1"/>
        <v>0</v>
      </c>
      <c r="I11" s="32">
        <f t="shared" si="2"/>
        <v>25</v>
      </c>
      <c r="J11" s="42"/>
      <c r="K11" s="64" t="str">
        <f t="shared" si="3"/>
        <v>Mk 10 TaggeCo Holo Lens</v>
      </c>
      <c r="L11" s="61" t="str">
        <f>IF(B11="","",COUNT($B11:B11))</f>
        <v/>
      </c>
      <c r="M11" s="54" t="str">
        <f>IF(C11="","",COUNT($B11:C11))</f>
        <v/>
      </c>
      <c r="N11" s="54" t="str">
        <f>IF(D11="","",COUNT($B11:D11))</f>
        <v/>
      </c>
      <c r="O11" s="54" t="str">
        <f>IF(E11="","",COUNT($B11:E11))</f>
        <v/>
      </c>
      <c r="P11" s="55">
        <f>IF(F11="","",COUNT($B11:F11))</f>
        <v>1</v>
      </c>
      <c r="Q11" s="44"/>
      <c r="R11" s="44"/>
      <c r="S11" s="43"/>
      <c r="T11" s="43"/>
      <c r="U11" s="43"/>
      <c r="V11" s="43"/>
      <c r="W11" s="43"/>
    </row>
    <row r="12" spans="1:23" x14ac:dyDescent="0.25">
      <c r="A12" s="15" t="s">
        <v>254</v>
      </c>
      <c r="B12" s="22"/>
      <c r="C12" s="22"/>
      <c r="D12" s="22">
        <v>100</v>
      </c>
      <c r="E12" s="22"/>
      <c r="F12" s="22"/>
      <c r="G12" s="22">
        <v>76</v>
      </c>
      <c r="H12" s="32">
        <f t="shared" si="1"/>
        <v>0</v>
      </c>
      <c r="I12" s="32">
        <f t="shared" si="2"/>
        <v>24</v>
      </c>
      <c r="J12" s="42"/>
      <c r="K12" s="64" t="str">
        <f t="shared" si="3"/>
        <v>Mk 10 Neuro-Saac Electrobinoculars</v>
      </c>
      <c r="L12" s="61" t="str">
        <f>IF(B12="","",COUNT($B12:B12))</f>
        <v/>
      </c>
      <c r="M12" s="54" t="str">
        <f>IF(C12="","",COUNT($B12:C12))</f>
        <v/>
      </c>
      <c r="N12" s="54">
        <f>IF(D12="","",COUNT($B12:D12))</f>
        <v>1</v>
      </c>
      <c r="O12" s="54" t="str">
        <f>IF(E12="","",COUNT($B12:E12))</f>
        <v/>
      </c>
      <c r="P12" s="55" t="str">
        <f>IF(F12="","",COUNT($B12:F12))</f>
        <v/>
      </c>
      <c r="Q12" s="44"/>
      <c r="R12" s="44"/>
      <c r="S12" s="43"/>
      <c r="T12" s="43"/>
      <c r="U12" s="43"/>
      <c r="V12" s="43"/>
      <c r="W12" s="43"/>
    </row>
    <row r="13" spans="1:23" x14ac:dyDescent="0.25">
      <c r="A13" s="15" t="s">
        <v>233</v>
      </c>
      <c r="B13" s="22"/>
      <c r="C13" s="22"/>
      <c r="D13" s="22"/>
      <c r="E13" s="22"/>
      <c r="F13" s="22">
        <v>50</v>
      </c>
      <c r="G13" s="22">
        <v>36</v>
      </c>
      <c r="H13" s="32">
        <f t="shared" si="1"/>
        <v>0</v>
      </c>
      <c r="I13" s="32">
        <f t="shared" si="2"/>
        <v>14</v>
      </c>
      <c r="J13" s="42"/>
      <c r="K13" s="64" t="str">
        <f t="shared" si="3"/>
        <v>Mk 7 Nubian Security Scanner</v>
      </c>
      <c r="L13" s="61" t="str">
        <f>IF(B13="","",COUNT($B13:B13))</f>
        <v/>
      </c>
      <c r="M13" s="54" t="str">
        <f>IF(C13="","",COUNT($B13:C13))</f>
        <v/>
      </c>
      <c r="N13" s="54" t="str">
        <f>IF(D13="","",COUNT($B13:D13))</f>
        <v/>
      </c>
      <c r="O13" s="54" t="str">
        <f>IF(E13="","",COUNT($B13:E13))</f>
        <v/>
      </c>
      <c r="P13" s="55">
        <f>IF(F13="","",COUNT($B13:F13))</f>
        <v>1</v>
      </c>
      <c r="Q13" s="44"/>
      <c r="R13" s="44"/>
      <c r="S13" s="43"/>
      <c r="T13" s="43"/>
      <c r="U13" s="43"/>
      <c r="V13" s="43"/>
      <c r="W13" s="43"/>
    </row>
    <row r="14" spans="1:23" x14ac:dyDescent="0.25">
      <c r="A14" s="15" t="s">
        <v>247</v>
      </c>
      <c r="B14" s="22"/>
      <c r="C14" s="22"/>
      <c r="D14" s="22"/>
      <c r="E14" s="22"/>
      <c r="F14" s="22"/>
      <c r="G14" s="22">
        <v>1</v>
      </c>
      <c r="H14" s="32">
        <f t="shared" si="1"/>
        <v>0</v>
      </c>
      <c r="I14" s="32">
        <f t="shared" si="2"/>
        <v>0</v>
      </c>
      <c r="J14" s="42"/>
      <c r="K14" s="64" t="str">
        <f t="shared" si="3"/>
        <v>Mk 4 Chedak Comlink</v>
      </c>
      <c r="L14" s="61" t="str">
        <f>IF(B14="","",COUNT($B14:B14))</f>
        <v/>
      </c>
      <c r="M14" s="54" t="str">
        <f>IF(C14="","",COUNT($B14:C14))</f>
        <v/>
      </c>
      <c r="N14" s="54" t="str">
        <f>IF(D14="","",COUNT($B14:D14))</f>
        <v/>
      </c>
      <c r="O14" s="54" t="str">
        <f>IF(E14="","",COUNT($B14:E14))</f>
        <v/>
      </c>
      <c r="P14" s="55" t="str">
        <f>IF(F14="","",COUNT($B14:F14))</f>
        <v/>
      </c>
      <c r="Q14" s="44"/>
      <c r="R14" s="44"/>
      <c r="S14" s="43"/>
      <c r="T14" s="43"/>
      <c r="U14" s="43"/>
      <c r="V14" s="43"/>
      <c r="W14" s="43"/>
    </row>
    <row r="15" spans="1:23" x14ac:dyDescent="0.25">
      <c r="A15" s="15" t="s">
        <v>241</v>
      </c>
      <c r="B15" s="22"/>
      <c r="C15" s="22"/>
      <c r="D15" s="22"/>
      <c r="E15" s="22"/>
      <c r="F15" s="22"/>
      <c r="G15" s="22">
        <v>5</v>
      </c>
      <c r="H15" s="22">
        <f t="shared" si="1"/>
        <v>0</v>
      </c>
      <c r="I15" s="22">
        <f t="shared" si="2"/>
        <v>0</v>
      </c>
      <c r="J15" s="42"/>
      <c r="K15" s="64" t="str">
        <f t="shared" si="3"/>
        <v>Mk 9 Fabritech Data Pad</v>
      </c>
      <c r="L15" s="61" t="str">
        <f>IF(B15="","",COUNT($B15:B15))</f>
        <v/>
      </c>
      <c r="M15" s="54" t="str">
        <f>IF(C15="","",COUNT($B15:C15))</f>
        <v/>
      </c>
      <c r="N15" s="54" t="str">
        <f>IF(D15="","",COUNT($B15:D15))</f>
        <v/>
      </c>
      <c r="O15" s="54" t="str">
        <f>IF(E15="","",COUNT($B15:E15))</f>
        <v/>
      </c>
      <c r="P15" s="55" t="str">
        <f>IF(F15="","",COUNT($B15:F15))</f>
        <v/>
      </c>
      <c r="Q15" s="44"/>
      <c r="R15" s="44"/>
      <c r="S15" s="43"/>
      <c r="T15" s="43"/>
      <c r="U15" s="43"/>
      <c r="V15" s="43"/>
      <c r="W15" s="43"/>
    </row>
    <row r="16" spans="1:23" x14ac:dyDescent="0.25">
      <c r="A16" s="15" t="s">
        <v>237</v>
      </c>
      <c r="B16" s="22"/>
      <c r="C16" s="22">
        <v>50</v>
      </c>
      <c r="D16" s="22"/>
      <c r="E16" s="22"/>
      <c r="F16" s="22"/>
      <c r="G16" s="22">
        <v>73</v>
      </c>
      <c r="H16" s="22">
        <f t="shared" si="1"/>
        <v>0</v>
      </c>
      <c r="I16" s="22">
        <f t="shared" si="2"/>
        <v>0</v>
      </c>
      <c r="J16" s="42"/>
      <c r="K16" s="64" t="str">
        <f t="shared" si="3"/>
        <v>Mk 5 Merr-Sonn Thermal Detonator</v>
      </c>
      <c r="L16" s="61" t="str">
        <f>IF(B16="","",COUNT($B16:B16))</f>
        <v/>
      </c>
      <c r="M16" s="54">
        <f>IF(C16="","",COUNT($B16:C16))</f>
        <v>1</v>
      </c>
      <c r="N16" s="54" t="str">
        <f>IF(D16="","",COUNT($B16:D16))</f>
        <v/>
      </c>
      <c r="O16" s="54" t="str">
        <f>IF(E16="","",COUNT($B16:E16))</f>
        <v/>
      </c>
      <c r="P16" s="55" t="str">
        <f>IF(F16="","",COUNT($B16:F16))</f>
        <v/>
      </c>
      <c r="Q16" s="44"/>
      <c r="R16" s="44"/>
      <c r="S16" s="43"/>
      <c r="T16" s="43"/>
      <c r="U16" s="43"/>
      <c r="V16" s="43"/>
      <c r="W16" s="43"/>
    </row>
    <row r="17" spans="1:23" x14ac:dyDescent="0.25">
      <c r="A17" s="15" t="s">
        <v>231</v>
      </c>
      <c r="B17" s="22"/>
      <c r="C17" s="22"/>
      <c r="D17" s="22"/>
      <c r="E17" s="22"/>
      <c r="F17" s="22"/>
      <c r="G17" s="22"/>
      <c r="H17" s="32">
        <f t="shared" si="1"/>
        <v>0</v>
      </c>
      <c r="I17" s="32">
        <f t="shared" si="2"/>
        <v>0</v>
      </c>
      <c r="J17" s="42"/>
      <c r="K17" s="64" t="str">
        <f t="shared" si="3"/>
        <v>Mk 6 Nubian Design Tech</v>
      </c>
      <c r="L17" s="61" t="str">
        <f>IF(B17="","",COUNT($B17:B17))</f>
        <v/>
      </c>
      <c r="M17" s="54" t="str">
        <f>IF(C17="","",COUNT($B17:C17))</f>
        <v/>
      </c>
      <c r="N17" s="54" t="str">
        <f>IF(D17="","",COUNT($B17:D17))</f>
        <v/>
      </c>
      <c r="O17" s="54" t="str">
        <f>IF(E17="","",COUNT($B17:E17))</f>
        <v/>
      </c>
      <c r="P17" s="55" t="str">
        <f>IF(F17="","",COUNT($B17:F17))</f>
        <v/>
      </c>
      <c r="Q17" s="44"/>
      <c r="R17" s="44"/>
      <c r="S17" s="43"/>
      <c r="T17" s="43"/>
      <c r="U17" s="43"/>
      <c r="V17" s="43"/>
      <c r="W17" s="43"/>
    </row>
    <row r="18" spans="1:23" x14ac:dyDescent="0.25">
      <c r="A18" s="15" t="s">
        <v>243</v>
      </c>
      <c r="B18" s="22"/>
      <c r="C18" s="22"/>
      <c r="D18" s="22"/>
      <c r="E18" s="22"/>
      <c r="F18" s="22"/>
      <c r="G18" s="22"/>
      <c r="H18" s="32">
        <f t="shared" si="1"/>
        <v>0</v>
      </c>
      <c r="I18" s="32">
        <f t="shared" si="2"/>
        <v>0</v>
      </c>
      <c r="J18" s="42"/>
      <c r="K18" s="64" t="str">
        <f t="shared" si="3"/>
        <v>Mk 10 BlasTech Weapon Mod</v>
      </c>
      <c r="L18" s="61" t="str">
        <f>IF(B18="","",COUNT($B18:B18))</f>
        <v/>
      </c>
      <c r="M18" s="54" t="str">
        <f>IF(C18="","",COUNT($B18:C18))</f>
        <v/>
      </c>
      <c r="N18" s="54" t="str">
        <f>IF(D18="","",COUNT($B18:D18))</f>
        <v/>
      </c>
      <c r="O18" s="54" t="str">
        <f>IF(E18="","",COUNT($B18:E18))</f>
        <v/>
      </c>
      <c r="P18" s="55" t="str">
        <f>IF(F18="","",COUNT($B18:F18))</f>
        <v/>
      </c>
      <c r="Q18" s="44"/>
      <c r="R18" s="44"/>
      <c r="S18" s="43"/>
      <c r="T18" s="43"/>
      <c r="U18" s="43"/>
      <c r="V18" s="43"/>
      <c r="W18" s="43"/>
    </row>
    <row r="19" spans="1:23" x14ac:dyDescent="0.25">
      <c r="A19" s="15" t="s">
        <v>242</v>
      </c>
      <c r="B19" s="22"/>
      <c r="C19" s="22"/>
      <c r="D19" s="22"/>
      <c r="E19" s="22"/>
      <c r="F19" s="22"/>
      <c r="G19" s="22"/>
      <c r="H19" s="32">
        <f t="shared" si="1"/>
        <v>0</v>
      </c>
      <c r="I19" s="32">
        <f t="shared" si="2"/>
        <v>0</v>
      </c>
      <c r="J19" s="42"/>
      <c r="K19" s="64" t="str">
        <f t="shared" si="3"/>
        <v>Mk 11 BlasTech Weapon Mod</v>
      </c>
      <c r="L19" s="61" t="str">
        <f>IF(B19="","",COUNT($B19:B19))</f>
        <v/>
      </c>
      <c r="M19" s="54" t="str">
        <f>IF(C19="","",COUNT($B19:C19))</f>
        <v/>
      </c>
      <c r="N19" s="54" t="str">
        <f>IF(D19="","",COUNT($B19:D19))</f>
        <v/>
      </c>
      <c r="O19" s="54" t="str">
        <f>IF(E19="","",COUNT($B19:E19))</f>
        <v/>
      </c>
      <c r="P19" s="55" t="str">
        <f>IF(F19="","",COUNT($B19:F19))</f>
        <v/>
      </c>
      <c r="Q19" s="44"/>
      <c r="R19" s="44"/>
      <c r="S19" s="43"/>
      <c r="T19" s="43"/>
      <c r="U19" s="43"/>
      <c r="V19" s="43"/>
      <c r="W19" s="43"/>
    </row>
    <row r="20" spans="1:23" x14ac:dyDescent="0.25">
      <c r="A20" s="15" t="s">
        <v>239</v>
      </c>
      <c r="B20" s="22"/>
      <c r="C20" s="22"/>
      <c r="D20" s="22"/>
      <c r="E20" s="22"/>
      <c r="F20" s="22"/>
      <c r="G20" s="22"/>
      <c r="H20" s="32">
        <f t="shared" si="1"/>
        <v>0</v>
      </c>
      <c r="I20" s="32">
        <f t="shared" si="2"/>
        <v>0</v>
      </c>
      <c r="J20" s="42"/>
      <c r="K20" s="64" t="str">
        <f t="shared" si="3"/>
        <v>Mk 3 Sienar Holo Projector</v>
      </c>
      <c r="L20" s="61" t="str">
        <f>IF(B20="","",COUNT($B20:B20))</f>
        <v/>
      </c>
      <c r="M20" s="54" t="str">
        <f>IF(C20="","",COUNT($B20:C20))</f>
        <v/>
      </c>
      <c r="N20" s="54" t="str">
        <f>IF(D20="","",COUNT($B20:D20))</f>
        <v/>
      </c>
      <c r="O20" s="54" t="str">
        <f>IF(E20="","",COUNT($B20:E20))</f>
        <v/>
      </c>
      <c r="P20" s="55" t="str">
        <f>IF(F20="","",COUNT($B20:F20))</f>
        <v/>
      </c>
      <c r="Q20" s="44"/>
      <c r="R20" s="44"/>
      <c r="S20" s="43"/>
      <c r="T20" s="43"/>
      <c r="U20" s="43"/>
      <c r="V20" s="43"/>
      <c r="W20" s="43"/>
    </row>
    <row r="21" spans="1:23" x14ac:dyDescent="0.25">
      <c r="A21" s="15" t="s">
        <v>234</v>
      </c>
      <c r="B21" s="22"/>
      <c r="C21" s="22"/>
      <c r="D21" s="22"/>
      <c r="E21" s="22"/>
      <c r="F21" s="22"/>
      <c r="G21" s="22"/>
      <c r="H21" s="32">
        <f t="shared" si="1"/>
        <v>0</v>
      </c>
      <c r="I21" s="32">
        <f t="shared" si="2"/>
        <v>0</v>
      </c>
      <c r="J21" s="42"/>
      <c r="K21" s="64" t="str">
        <f t="shared" si="3"/>
        <v>Mk 5 Arakyd Droid Caller</v>
      </c>
      <c r="L21" s="61" t="str">
        <f>IF(B21="","",COUNT($B21:B21))</f>
        <v/>
      </c>
      <c r="M21" s="54" t="str">
        <f>IF(C21="","",COUNT($B21:C21))</f>
        <v/>
      </c>
      <c r="N21" s="54" t="str">
        <f>IF(D21="","",COUNT($B21:D21))</f>
        <v/>
      </c>
      <c r="O21" s="54" t="str">
        <f>IF(E21="","",COUNT($B21:E21))</f>
        <v/>
      </c>
      <c r="P21" s="55" t="str">
        <f>IF(F21="","",COUNT($B21:F21))</f>
        <v/>
      </c>
      <c r="Q21" s="44"/>
      <c r="R21" s="44"/>
      <c r="S21" s="43"/>
      <c r="T21" s="43"/>
      <c r="U21" s="43"/>
      <c r="V21" s="43"/>
      <c r="W21" s="43"/>
    </row>
    <row r="22" spans="1:23" x14ac:dyDescent="0.25">
      <c r="A22" s="15" t="s">
        <v>232</v>
      </c>
      <c r="B22" s="22"/>
      <c r="C22" s="22"/>
      <c r="D22" s="22"/>
      <c r="E22" s="22"/>
      <c r="F22" s="22"/>
      <c r="G22" s="22"/>
      <c r="H22" s="32">
        <f t="shared" si="1"/>
        <v>0</v>
      </c>
      <c r="I22" s="32">
        <f t="shared" si="2"/>
        <v>0</v>
      </c>
      <c r="J22" s="42"/>
      <c r="K22" s="64" t="str">
        <f t="shared" si="3"/>
        <v>Mk 5 CEC Fusion Furnace</v>
      </c>
      <c r="L22" s="61" t="str">
        <f>IF(B22="","",COUNT($B22:B22))</f>
        <v/>
      </c>
      <c r="M22" s="54" t="str">
        <f>IF(C22="","",COUNT($B22:C22))</f>
        <v/>
      </c>
      <c r="N22" s="54" t="str">
        <f>IF(D22="","",COUNT($B22:D22))</f>
        <v/>
      </c>
      <c r="O22" s="54" t="str">
        <f>IF(E22="","",COUNT($B22:E22))</f>
        <v/>
      </c>
      <c r="P22" s="55" t="str">
        <f>IF(F22="","",COUNT($B22:F22))</f>
        <v/>
      </c>
      <c r="Q22" s="44"/>
      <c r="R22" s="44"/>
      <c r="S22" s="43"/>
      <c r="T22" s="43"/>
      <c r="U22" s="43"/>
      <c r="V22" s="43"/>
      <c r="W22" s="43"/>
    </row>
    <row r="23" spans="1:23" x14ac:dyDescent="0.25">
      <c r="A23" s="15" t="s">
        <v>251</v>
      </c>
      <c r="B23" s="22"/>
      <c r="C23" s="22"/>
      <c r="D23" s="22"/>
      <c r="E23" s="22"/>
      <c r="F23" s="22"/>
      <c r="G23" s="22"/>
      <c r="H23" s="32">
        <f t="shared" si="1"/>
        <v>0</v>
      </c>
      <c r="I23" s="32">
        <f t="shared" si="2"/>
        <v>0</v>
      </c>
      <c r="J23" s="42"/>
      <c r="K23" s="64" t="str">
        <f t="shared" si="3"/>
        <v>Mk 6 CEC Fusion Furnace</v>
      </c>
      <c r="L23" s="61" t="str">
        <f>IF(B23="","",COUNT($B23:B23))</f>
        <v/>
      </c>
      <c r="M23" s="54" t="str">
        <f>IF(C23="","",COUNT($B23:C23))</f>
        <v/>
      </c>
      <c r="N23" s="54" t="str">
        <f>IF(D23="","",COUNT($B23:D23))</f>
        <v/>
      </c>
      <c r="O23" s="54" t="str">
        <f>IF(E23="","",COUNT($B23:E23))</f>
        <v/>
      </c>
      <c r="P23" s="55" t="str">
        <f>IF(F23="","",COUNT($B23:F23))</f>
        <v/>
      </c>
      <c r="Q23" s="44"/>
      <c r="R23" s="44"/>
      <c r="S23" s="43"/>
      <c r="T23" s="43"/>
      <c r="U23" s="43"/>
      <c r="V23" s="43"/>
      <c r="W23" s="43"/>
    </row>
    <row r="24" spans="1:23" x14ac:dyDescent="0.25">
      <c r="A24" s="15" t="s">
        <v>245</v>
      </c>
      <c r="B24" s="22"/>
      <c r="C24" s="22"/>
      <c r="D24" s="22"/>
      <c r="E24" s="22"/>
      <c r="F24" s="22"/>
      <c r="G24" s="22"/>
      <c r="H24" s="32">
        <f t="shared" si="1"/>
        <v>0</v>
      </c>
      <c r="I24" s="32">
        <f t="shared" si="2"/>
        <v>0</v>
      </c>
      <c r="J24" s="42"/>
      <c r="K24" s="64" t="str">
        <f t="shared" si="3"/>
        <v>Mk 6 Chiewab Hypo Syringe</v>
      </c>
      <c r="L24" s="61" t="str">
        <f>IF(B24="","",COUNT($B24:B24))</f>
        <v/>
      </c>
      <c r="M24" s="54" t="str">
        <f>IF(C24="","",COUNT($B24:C24))</f>
        <v/>
      </c>
      <c r="N24" s="54" t="str">
        <f>IF(D24="","",COUNT($B24:D24))</f>
        <v/>
      </c>
      <c r="O24" s="54" t="str">
        <f>IF(E24="","",COUNT($B24:E24))</f>
        <v/>
      </c>
      <c r="P24" s="55" t="str">
        <f>IF(F24="","",COUNT($B24:F24))</f>
        <v/>
      </c>
      <c r="Q24" s="44"/>
      <c r="R24" s="44"/>
      <c r="S24" s="43"/>
      <c r="T24" s="43"/>
      <c r="U24" s="43"/>
      <c r="V24" s="43"/>
      <c r="W24" s="43"/>
    </row>
    <row r="25" spans="1:23" x14ac:dyDescent="0.25">
      <c r="A25" s="15" t="s">
        <v>238</v>
      </c>
      <c r="B25" s="22"/>
      <c r="C25" s="22"/>
      <c r="D25" s="22"/>
      <c r="E25" s="22"/>
      <c r="F25" s="22"/>
      <c r="G25" s="22"/>
      <c r="H25" s="32">
        <f t="shared" si="1"/>
        <v>0</v>
      </c>
      <c r="I25" s="32">
        <f t="shared" si="2"/>
        <v>0</v>
      </c>
      <c r="J25" s="42"/>
      <c r="K25" s="64" t="str">
        <f t="shared" si="3"/>
        <v>Mk 6 Merr-Sonn Thermal Detonator</v>
      </c>
      <c r="L25" s="61" t="str">
        <f>IF(B25="","",COUNT($B25:B25))</f>
        <v/>
      </c>
      <c r="M25" s="54" t="str">
        <f>IF(C25="","",COUNT($B25:C25))</f>
        <v/>
      </c>
      <c r="N25" s="54" t="str">
        <f>IF(D25="","",COUNT($B25:D25))</f>
        <v/>
      </c>
      <c r="O25" s="54" t="str">
        <f>IF(E25="","",COUNT($B25:E25))</f>
        <v/>
      </c>
      <c r="P25" s="55" t="str">
        <f>IF(F25="","",COUNT($B25:F25))</f>
        <v/>
      </c>
      <c r="Q25" s="44"/>
      <c r="R25" s="44"/>
      <c r="S25" s="43"/>
      <c r="T25" s="43"/>
      <c r="U25" s="43"/>
      <c r="V25" s="43"/>
      <c r="W25" s="43"/>
    </row>
    <row r="26" spans="1:23" ht="15.75" thickBot="1" x14ac:dyDescent="0.3">
      <c r="A26" s="15" t="s">
        <v>253</v>
      </c>
      <c r="B26" s="22"/>
      <c r="C26" s="22"/>
      <c r="D26" s="22"/>
      <c r="E26" s="22"/>
      <c r="F26" s="22"/>
      <c r="G26" s="22"/>
      <c r="H26" s="32">
        <f t="shared" si="1"/>
        <v>0</v>
      </c>
      <c r="I26" s="32">
        <f t="shared" si="2"/>
        <v>0</v>
      </c>
      <c r="J26" s="42"/>
      <c r="K26" s="65" t="str">
        <f t="shared" si="3"/>
        <v>Mk 9 Neuro-Saac Electrobinoculars</v>
      </c>
      <c r="L26" s="62" t="str">
        <f>IF(B26="","",COUNT($B26:B26))</f>
        <v/>
      </c>
      <c r="M26" s="56" t="str">
        <f>IF(C26="","",COUNT($B26:C26))</f>
        <v/>
      </c>
      <c r="N26" s="56" t="str">
        <f>IF(D26="","",COUNT($B26:D26))</f>
        <v/>
      </c>
      <c r="O26" s="56" t="str">
        <f>IF(E26="","",COUNT($B26:E26))</f>
        <v/>
      </c>
      <c r="P26" s="57" t="str">
        <f>IF(F26="","",COUNT($B26:F26))</f>
        <v/>
      </c>
      <c r="Q26" s="44"/>
      <c r="R26" s="44"/>
      <c r="S26" s="43"/>
      <c r="T26" s="43"/>
      <c r="U26" s="43"/>
      <c r="V26" s="43"/>
      <c r="W26" s="43"/>
    </row>
    <row r="27" spans="1:23" x14ac:dyDescent="0.25">
      <c r="A27" s="66" t="s">
        <v>217</v>
      </c>
      <c r="B27" s="67">
        <f>SUBTOTAL(109,Table6[Asajj])</f>
        <v>50</v>
      </c>
      <c r="C27" s="67">
        <f>SUBTOTAL(109,Table6[BB-8])</f>
        <v>500</v>
      </c>
      <c r="D27" s="67">
        <f>SUBTOTAL(109,Table6[Rey])</f>
        <v>750</v>
      </c>
      <c r="E27" s="67">
        <f>SUBTOTAL(109,Table6[RT])</f>
        <v>350</v>
      </c>
      <c r="F27" s="67">
        <f>SUBTOTAL(109,Table6[Daka])</f>
        <v>450</v>
      </c>
      <c r="G27" s="67">
        <f>SUBTOTAL(109,Table6[Have])</f>
        <v>493</v>
      </c>
      <c r="H27" s="67">
        <f>SUBTOTAL(109,Table6[Amount])</f>
        <v>30</v>
      </c>
      <c r="I27" s="67">
        <f>SUBTOTAL(109,Table6[Need])</f>
        <v>1636</v>
      </c>
      <c r="J27" s="44"/>
      <c r="K27" s="44"/>
      <c r="L27" s="43"/>
      <c r="M27" s="43"/>
      <c r="N27" s="43"/>
      <c r="O27" s="43"/>
      <c r="P27" s="43"/>
      <c r="Q27" s="44"/>
      <c r="R27" s="44"/>
      <c r="S27" s="43"/>
      <c r="T27" s="43"/>
      <c r="U27" s="43"/>
      <c r="V27" s="43"/>
      <c r="W27" s="43"/>
    </row>
    <row r="28" spans="1:23" x14ac:dyDescent="0.25">
      <c r="A28" s="8"/>
      <c r="B28" s="8"/>
      <c r="C28" s="8"/>
      <c r="D28" s="8"/>
      <c r="E28" s="8"/>
      <c r="F28" s="8"/>
      <c r="G28" s="8"/>
      <c r="H28" s="8"/>
      <c r="I28" s="8"/>
      <c r="J28" s="43"/>
      <c r="K28" s="43"/>
      <c r="L28" s="43"/>
      <c r="M28" s="43"/>
      <c r="N28" s="43"/>
      <c r="O28" s="43"/>
      <c r="P28" s="43"/>
      <c r="Q28" s="43"/>
      <c r="R28" s="43"/>
      <c r="S28" s="44"/>
      <c r="T28" s="44"/>
      <c r="U28" s="43"/>
      <c r="V28" s="43"/>
      <c r="W28" s="43"/>
    </row>
    <row r="29" spans="1:23" x14ac:dyDescent="0.25">
      <c r="A29" s="8"/>
      <c r="B29" s="8"/>
      <c r="C29" s="8"/>
      <c r="D29" s="8"/>
      <c r="E29" s="8"/>
      <c r="F29" s="8"/>
      <c r="G29" s="8"/>
      <c r="H29" s="8"/>
      <c r="I29" s="8"/>
      <c r="J29" s="43"/>
      <c r="K29" s="43"/>
      <c r="L29" s="43"/>
      <c r="M29" s="43"/>
      <c r="N29" s="43"/>
      <c r="O29" s="43"/>
      <c r="P29" s="43"/>
      <c r="Q29" s="43"/>
      <c r="R29" s="43"/>
      <c r="S29" s="44"/>
      <c r="T29" s="44"/>
      <c r="U29" s="43"/>
      <c r="V29" s="43"/>
      <c r="W29" s="43"/>
    </row>
    <row r="30" spans="1:23" x14ac:dyDescent="0.25">
      <c r="A30" s="8"/>
      <c r="B30" s="8"/>
      <c r="C30" s="8"/>
      <c r="D30" s="8"/>
      <c r="E30" s="8"/>
      <c r="F30" s="8"/>
      <c r="G30" s="8"/>
      <c r="H30" s="8"/>
      <c r="I30" s="24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3"/>
      <c r="V30" s="43"/>
      <c r="W30" s="43"/>
    </row>
    <row r="31" spans="1:23" x14ac:dyDescent="0.25">
      <c r="A31" s="8"/>
      <c r="B31" s="22" t="s">
        <v>265</v>
      </c>
      <c r="C31" s="22" t="s">
        <v>176</v>
      </c>
      <c r="D31" s="22" t="s">
        <v>177</v>
      </c>
      <c r="E31" s="22" t="s">
        <v>178</v>
      </c>
      <c r="F31" s="22" t="s">
        <v>179</v>
      </c>
      <c r="G31" s="22" t="s">
        <v>173</v>
      </c>
      <c r="H31" s="22" t="s">
        <v>172</v>
      </c>
      <c r="I31" s="22" t="s">
        <v>156</v>
      </c>
      <c r="J31" s="53" t="s">
        <v>366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spans="1:23" x14ac:dyDescent="0.25">
      <c r="A32" s="13"/>
      <c r="B32" s="38" t="s">
        <v>275</v>
      </c>
      <c r="C32" s="15" t="s">
        <v>50</v>
      </c>
      <c r="D32" s="15" t="s">
        <v>192</v>
      </c>
      <c r="E32" s="15" t="s">
        <v>23</v>
      </c>
      <c r="F32" s="15" t="s">
        <v>9</v>
      </c>
      <c r="G32" s="15" t="s">
        <v>273</v>
      </c>
      <c r="H32" s="15" t="s">
        <v>189</v>
      </c>
      <c r="I32" s="15" t="s">
        <v>194</v>
      </c>
      <c r="J32" s="38" t="s">
        <v>277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1:23" x14ac:dyDescent="0.25">
      <c r="A33" s="13"/>
      <c r="B33" s="38" t="s">
        <v>367</v>
      </c>
      <c r="C33" s="15" t="s">
        <v>136</v>
      </c>
      <c r="D33" s="15" t="s">
        <v>115</v>
      </c>
      <c r="E33" s="15"/>
      <c r="F33" s="15" t="s">
        <v>152</v>
      </c>
      <c r="G33" s="15" t="s">
        <v>58</v>
      </c>
      <c r="H33" s="15" t="s">
        <v>16</v>
      </c>
      <c r="I33" s="15" t="s">
        <v>256</v>
      </c>
      <c r="J33" s="38" t="s">
        <v>275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1:23" x14ac:dyDescent="0.25">
      <c r="A34" s="13"/>
      <c r="B34" s="37" t="s">
        <v>68</v>
      </c>
      <c r="C34" s="30" t="s">
        <v>283</v>
      </c>
      <c r="D34" s="15"/>
      <c r="E34" s="15"/>
      <c r="F34" s="15"/>
      <c r="G34" s="15" t="s">
        <v>272</v>
      </c>
      <c r="H34" s="15" t="s">
        <v>191</v>
      </c>
      <c r="I34" s="15" t="s">
        <v>276</v>
      </c>
      <c r="J34" s="37" t="s">
        <v>279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1:23" x14ac:dyDescent="0.25">
      <c r="A35" s="13"/>
      <c r="B35" s="37" t="s">
        <v>368</v>
      </c>
      <c r="C35" s="15" t="s">
        <v>190</v>
      </c>
      <c r="D35" s="15"/>
      <c r="E35" s="15"/>
      <c r="F35" s="15"/>
      <c r="G35" s="15"/>
      <c r="I35" s="15" t="s">
        <v>269</v>
      </c>
      <c r="J35" s="37" t="s">
        <v>278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1:23" x14ac:dyDescent="0.25">
      <c r="A36" s="13"/>
      <c r="B36" s="37" t="s">
        <v>369</v>
      </c>
      <c r="C36" s="15" t="s">
        <v>229</v>
      </c>
      <c r="D36" s="15"/>
      <c r="E36" s="15"/>
      <c r="F36" s="15"/>
      <c r="G36" s="15"/>
      <c r="I36" s="15" t="s">
        <v>362</v>
      </c>
      <c r="J36" s="37" t="s">
        <v>287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1:23" x14ac:dyDescent="0.25">
      <c r="A37" s="8"/>
      <c r="B37" s="41" t="s">
        <v>189</v>
      </c>
      <c r="D37" s="15"/>
      <c r="E37" s="15"/>
      <c r="F37" s="15"/>
      <c r="G37" s="15"/>
      <c r="H37" s="15"/>
      <c r="I37" s="15" t="s">
        <v>365</v>
      </c>
      <c r="J37" s="37" t="s">
        <v>280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1:23" x14ac:dyDescent="0.25">
      <c r="A38" s="8"/>
      <c r="B38" s="41" t="s">
        <v>370</v>
      </c>
      <c r="D38" s="15"/>
      <c r="E38" s="15"/>
      <c r="F38" s="15"/>
      <c r="G38" s="15"/>
      <c r="H38" s="15"/>
      <c r="I38" s="15" t="s">
        <v>363</v>
      </c>
      <c r="J38" s="39" t="s">
        <v>282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1:23" x14ac:dyDescent="0.25">
      <c r="A39" s="8"/>
      <c r="D39" s="15"/>
      <c r="E39" s="15"/>
      <c r="F39" s="15"/>
      <c r="G39" s="15"/>
      <c r="H39" s="15"/>
      <c r="I39" s="15"/>
      <c r="J39" s="39" t="s">
        <v>286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1:23" x14ac:dyDescent="0.25">
      <c r="A40" s="8"/>
      <c r="D40" s="15"/>
      <c r="E40" s="15"/>
      <c r="F40" s="15"/>
      <c r="G40" s="15"/>
      <c r="H40" s="15"/>
      <c r="I40" s="15"/>
      <c r="J40" s="40" t="s">
        <v>281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1:23" x14ac:dyDescent="0.25">
      <c r="A41" s="8"/>
      <c r="D41" s="15"/>
      <c r="E41" s="15"/>
      <c r="F41" s="15"/>
      <c r="G41" s="15"/>
      <c r="H41" s="15"/>
      <c r="I41" s="15"/>
      <c r="J41" s="37" t="s">
        <v>282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3" x14ac:dyDescent="0.25">
      <c r="A42" s="8"/>
      <c r="D42" s="15"/>
      <c r="E42" s="15"/>
      <c r="F42" s="15"/>
      <c r="G42" s="15"/>
      <c r="H42" s="15"/>
      <c r="I42" s="15"/>
      <c r="J42" s="37" t="s">
        <v>288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1:23" x14ac:dyDescent="0.25">
      <c r="A43" s="8"/>
      <c r="E43" s="15"/>
      <c r="F43" s="15"/>
      <c r="G43" s="15"/>
      <c r="H43" s="15"/>
      <c r="I43" s="15"/>
      <c r="J43" s="37" t="s">
        <v>285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3" x14ac:dyDescent="0.25">
      <c r="A44" s="8"/>
      <c r="B44" s="15"/>
      <c r="C44" s="15"/>
      <c r="E44" s="15"/>
      <c r="F44" s="15"/>
      <c r="G44" s="15"/>
      <c r="H44" s="15"/>
      <c r="I44" s="15"/>
      <c r="J44" s="41" t="s">
        <v>283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1:23" x14ac:dyDescent="0.25">
      <c r="A45" s="8"/>
      <c r="B45" s="15"/>
      <c r="C45" s="15"/>
      <c r="E45" s="15"/>
      <c r="F45" s="15"/>
      <c r="G45" s="15"/>
      <c r="H45" s="15"/>
      <c r="I45" s="15"/>
      <c r="J45" s="37" t="s">
        <v>290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</row>
    <row r="46" spans="1:23" x14ac:dyDescent="0.25">
      <c r="A46" s="8"/>
      <c r="B46" s="15"/>
      <c r="C46" s="15"/>
      <c r="D46" s="15"/>
      <c r="E46" s="15"/>
      <c r="F46" s="15"/>
      <c r="G46" s="15"/>
      <c r="H46" s="15"/>
      <c r="I46" s="15"/>
      <c r="J46" s="37" t="s">
        <v>291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</row>
    <row r="47" spans="1:23" x14ac:dyDescent="0.25">
      <c r="A47" s="8"/>
      <c r="B47" s="15"/>
      <c r="C47" s="15"/>
      <c r="D47" s="15"/>
      <c r="E47" s="15"/>
      <c r="F47" s="15"/>
      <c r="G47" s="15"/>
      <c r="H47" s="15"/>
      <c r="I47" s="15"/>
      <c r="J47" s="41" t="s">
        <v>289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</row>
    <row r="48" spans="1:23" x14ac:dyDescent="0.25">
      <c r="A48" s="8"/>
      <c r="B48" s="15"/>
      <c r="C48" s="15"/>
      <c r="D48" s="15"/>
      <c r="E48" s="15"/>
      <c r="F48" s="15"/>
      <c r="G48" s="15"/>
      <c r="H48" s="15"/>
      <c r="I48" s="15"/>
      <c r="J48" s="41" t="s">
        <v>190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</row>
    <row r="49" spans="1:23" x14ac:dyDescent="0.25">
      <c r="A49" s="8"/>
      <c r="B49" s="15"/>
      <c r="C49" s="15"/>
      <c r="D49" s="15"/>
      <c r="E49" s="15"/>
      <c r="F49" s="15"/>
      <c r="G49" s="15"/>
      <c r="H49" s="15"/>
      <c r="I49" s="15"/>
      <c r="J49" s="41" t="s">
        <v>292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</row>
    <row r="50" spans="1:23" x14ac:dyDescent="0.25">
      <c r="A50" s="8"/>
      <c r="B50" s="15"/>
      <c r="C50" s="15"/>
      <c r="D50" s="15"/>
      <c r="E50" s="15"/>
      <c r="F50" s="15"/>
      <c r="G50" s="15"/>
      <c r="H50" s="15"/>
      <c r="I50" s="15"/>
      <c r="J50" s="37" t="s">
        <v>286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1:23" x14ac:dyDescent="0.25">
      <c r="A51" s="8"/>
      <c r="J51" s="41" t="s">
        <v>281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</row>
    <row r="52" spans="1:23" x14ac:dyDescent="0.25">
      <c r="A52" s="8"/>
      <c r="J52" s="37" t="s">
        <v>284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</row>
    <row r="53" spans="1:23" x14ac:dyDescent="0.25">
      <c r="A53" s="8"/>
      <c r="B53" s="8"/>
      <c r="C53" s="13"/>
      <c r="D53" s="13"/>
      <c r="E53" s="13"/>
      <c r="F53" s="13"/>
      <c r="G53" s="13"/>
      <c r="H53" s="13"/>
      <c r="I53" s="1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</row>
    <row r="54" spans="1:23" x14ac:dyDescent="0.25">
      <c r="A54" s="8"/>
      <c r="B54" s="8"/>
      <c r="C54" s="13"/>
      <c r="D54" s="13"/>
      <c r="E54" s="13"/>
      <c r="F54" s="13"/>
      <c r="G54" s="13"/>
      <c r="H54" s="13"/>
      <c r="I54" s="1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</row>
    <row r="55" spans="1:23" x14ac:dyDescent="0.25">
      <c r="A55" s="8"/>
      <c r="B55" s="8"/>
      <c r="C55" s="13"/>
      <c r="D55" s="13"/>
      <c r="E55" s="13"/>
      <c r="F55" s="13"/>
      <c r="G55" s="13"/>
      <c r="H55" s="13"/>
      <c r="I55" s="1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</row>
    <row r="57" spans="1:23" x14ac:dyDescent="0.25">
      <c r="A57" s="8"/>
      <c r="B57" s="8"/>
      <c r="C57" s="8"/>
      <c r="D57" s="8"/>
      <c r="E57" s="8"/>
      <c r="F57" s="8"/>
      <c r="G57" s="8"/>
      <c r="H57" s="8"/>
      <c r="I57" s="8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</row>
    <row r="58" spans="1:23" x14ac:dyDescent="0.25">
      <c r="A58" s="8"/>
      <c r="B58" s="8"/>
      <c r="C58" s="8"/>
      <c r="D58" s="8"/>
      <c r="E58" s="8"/>
      <c r="F58" s="8"/>
      <c r="G58" s="8"/>
      <c r="H58" s="8"/>
      <c r="I58" s="8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</row>
    <row r="59" spans="1:23" x14ac:dyDescent="0.25">
      <c r="A59" s="8"/>
      <c r="B59" s="8"/>
      <c r="C59" s="8"/>
      <c r="D59" s="8"/>
      <c r="E59" s="8"/>
      <c r="F59" s="8"/>
      <c r="G59" s="8"/>
      <c r="H59" s="8"/>
      <c r="I59" s="8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</row>
    <row r="60" spans="1:23" x14ac:dyDescent="0.25">
      <c r="A60" s="8"/>
      <c r="B60" s="8"/>
      <c r="C60" s="8"/>
      <c r="D60" s="8"/>
      <c r="E60" s="8"/>
      <c r="F60" s="8"/>
      <c r="G60" s="8"/>
      <c r="H60" s="8"/>
      <c r="I60" s="8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</row>
    <row r="61" spans="1:23" x14ac:dyDescent="0.25">
      <c r="A61" s="8"/>
      <c r="B61" s="9"/>
      <c r="C61" s="9"/>
      <c r="D61" s="9"/>
      <c r="E61" s="9"/>
      <c r="F61" s="9"/>
      <c r="G61" s="8"/>
      <c r="H61" s="8"/>
      <c r="I61" s="9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</row>
    <row r="62" spans="1:23" x14ac:dyDescent="0.25">
      <c r="A62" s="8"/>
      <c r="B62" s="8"/>
      <c r="C62" s="8"/>
      <c r="D62" s="8"/>
      <c r="E62" s="8"/>
      <c r="F62" s="8"/>
      <c r="G62" s="8"/>
      <c r="H62" s="8"/>
      <c r="I62" s="8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</row>
    <row r="63" spans="1:23" x14ac:dyDescent="0.25">
      <c r="A63" s="8"/>
      <c r="B63" s="8"/>
      <c r="C63" s="8"/>
      <c r="D63" s="8"/>
      <c r="E63" s="8"/>
      <c r="F63" s="8"/>
      <c r="G63" s="8"/>
      <c r="H63" s="8"/>
      <c r="I63" s="8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</row>
    <row r="64" spans="1:23" x14ac:dyDescent="0.25">
      <c r="A64" s="8"/>
      <c r="B64" s="8"/>
      <c r="C64" s="8"/>
      <c r="D64" s="8"/>
      <c r="E64" s="8"/>
      <c r="F64" s="8"/>
      <c r="G64" s="8"/>
      <c r="H64" s="8"/>
      <c r="I64" s="8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</row>
    <row r="65" spans="1:23" x14ac:dyDescent="0.25">
      <c r="A65" s="8"/>
      <c r="B65" s="8"/>
      <c r="C65" s="8"/>
      <c r="D65" s="8"/>
      <c r="E65" s="8"/>
      <c r="F65" s="8"/>
      <c r="G65" s="8"/>
      <c r="H65" s="8"/>
      <c r="I65" s="8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</row>
    <row r="66" spans="1:23" x14ac:dyDescent="0.25">
      <c r="A66" s="8"/>
      <c r="B66" s="8"/>
      <c r="C66" s="8"/>
      <c r="D66" s="8"/>
      <c r="E66" s="8"/>
      <c r="F66" s="8"/>
      <c r="G66" s="8"/>
      <c r="H66" s="8"/>
      <c r="I66" s="8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</row>
    <row r="67" spans="1:23" x14ac:dyDescent="0.25">
      <c r="A67" s="8"/>
      <c r="B67" s="8"/>
      <c r="C67" s="8"/>
      <c r="D67" s="8"/>
      <c r="E67" s="8"/>
      <c r="F67" s="8"/>
      <c r="G67" s="8"/>
      <c r="H67" s="8"/>
      <c r="I67" s="8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</row>
    <row r="68" spans="1:23" x14ac:dyDescent="0.25">
      <c r="A68" s="8"/>
      <c r="B68" s="8"/>
      <c r="C68" s="8"/>
      <c r="D68" s="8"/>
      <c r="E68" s="8"/>
      <c r="F68" s="8"/>
      <c r="G68" s="8"/>
      <c r="H68" s="8"/>
      <c r="I68" s="8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</row>
    <row r="69" spans="1:23" x14ac:dyDescent="0.25">
      <c r="A69" s="8"/>
      <c r="B69" s="8"/>
      <c r="C69" s="8"/>
      <c r="D69" s="8"/>
      <c r="E69" s="8"/>
      <c r="F69" s="8"/>
      <c r="G69" s="8"/>
      <c r="H69" s="8"/>
      <c r="I69" s="8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</row>
    <row r="70" spans="1:23" x14ac:dyDescent="0.25">
      <c r="A70" s="8"/>
      <c r="B70" s="8"/>
      <c r="C70" s="8"/>
      <c r="D70" s="8"/>
      <c r="E70" s="8"/>
      <c r="F70" s="8"/>
      <c r="G70" s="8"/>
      <c r="H70" s="8"/>
      <c r="I70" s="8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</row>
    <row r="71" spans="1:23" x14ac:dyDescent="0.25">
      <c r="A71" s="8"/>
      <c r="B71" s="8"/>
      <c r="C71" s="8"/>
      <c r="D71" s="8"/>
      <c r="E71" s="8"/>
      <c r="F71" s="8"/>
      <c r="G71" s="8"/>
      <c r="H71" s="8"/>
      <c r="I71" s="8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</row>
    <row r="72" spans="1:23" x14ac:dyDescent="0.25">
      <c r="A72" s="8"/>
      <c r="B72" s="8"/>
      <c r="C72" s="8"/>
      <c r="D72" s="8"/>
      <c r="E72" s="8"/>
      <c r="F72" s="8"/>
      <c r="G72" s="8"/>
      <c r="H72" s="8"/>
      <c r="I72" s="8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</row>
    <row r="73" spans="1:23" x14ac:dyDescent="0.25">
      <c r="A73" s="8"/>
      <c r="B73" s="8"/>
      <c r="C73" s="8"/>
      <c r="D73" s="8"/>
      <c r="E73" s="8"/>
      <c r="F73" s="8"/>
      <c r="G73" s="8"/>
      <c r="H73" s="8"/>
      <c r="I73" s="8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</row>
    <row r="74" spans="1:23" x14ac:dyDescent="0.25">
      <c r="A74" s="8"/>
      <c r="B74" s="8"/>
      <c r="C74" s="8"/>
      <c r="D74" s="8"/>
      <c r="E74" s="8"/>
      <c r="F74" s="8"/>
      <c r="G74" s="8"/>
      <c r="H74" s="8"/>
      <c r="I74" s="8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</row>
    <row r="75" spans="1:23" x14ac:dyDescent="0.25">
      <c r="A75" s="8"/>
      <c r="B75" s="8"/>
      <c r="C75" s="8"/>
      <c r="D75" s="8"/>
      <c r="E75" s="8"/>
      <c r="F75" s="8"/>
      <c r="G75" s="8"/>
      <c r="H75" s="8"/>
      <c r="I75" s="8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</row>
    <row r="76" spans="1:23" x14ac:dyDescent="0.25">
      <c r="A76" s="8"/>
      <c r="B76" s="8"/>
      <c r="C76" s="8"/>
      <c r="D76" s="8"/>
      <c r="E76" s="8"/>
      <c r="F76" s="8"/>
      <c r="G76" s="8"/>
      <c r="H76" s="8"/>
      <c r="I76" s="8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</row>
    <row r="77" spans="1:23" x14ac:dyDescent="0.25">
      <c r="A77" s="8"/>
      <c r="B77" s="8"/>
      <c r="C77" s="8"/>
      <c r="D77" s="8"/>
      <c r="E77" s="8"/>
      <c r="F77" s="8"/>
      <c r="G77" s="8"/>
      <c r="H77" s="8"/>
      <c r="I77" s="8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</row>
    <row r="78" spans="1:23" x14ac:dyDescent="0.25">
      <c r="A78" s="8"/>
      <c r="B78" s="8"/>
      <c r="C78" s="8"/>
      <c r="D78" s="8"/>
      <c r="E78" s="8"/>
      <c r="F78" s="8"/>
      <c r="G78" s="8"/>
      <c r="H78" s="8"/>
      <c r="I78" s="8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</row>
    <row r="79" spans="1:23" x14ac:dyDescent="0.25">
      <c r="A79" s="8"/>
      <c r="B79" s="8"/>
      <c r="C79" s="8"/>
      <c r="D79" s="8"/>
      <c r="E79" s="8"/>
      <c r="F79" s="8"/>
      <c r="G79" s="8"/>
      <c r="H79" s="8"/>
      <c r="I79" s="8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</row>
    <row r="80" spans="1:23" x14ac:dyDescent="0.25">
      <c r="A80" s="8"/>
      <c r="B80" s="8"/>
      <c r="C80" s="8"/>
      <c r="D80" s="8"/>
      <c r="E80" s="8"/>
      <c r="F80" s="8"/>
      <c r="G80" s="8"/>
      <c r="H80" s="8"/>
      <c r="I80" s="8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</row>
    <row r="81" spans="1:23" x14ac:dyDescent="0.25">
      <c r="A81" s="8"/>
      <c r="B81" s="8"/>
      <c r="C81" s="8"/>
      <c r="D81" s="8"/>
      <c r="E81" s="8"/>
      <c r="F81" s="8"/>
      <c r="G81" s="8"/>
      <c r="H81" s="8"/>
      <c r="I81" s="8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</row>
    <row r="82" spans="1:23" x14ac:dyDescent="0.25">
      <c r="A82" s="8"/>
      <c r="B82" s="8"/>
      <c r="C82" s="8"/>
      <c r="D82" s="8"/>
      <c r="E82" s="8"/>
      <c r="F82" s="8"/>
      <c r="G82" s="8"/>
      <c r="H82" s="8"/>
      <c r="I82" s="8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</row>
    <row r="83" spans="1:23" x14ac:dyDescent="0.25">
      <c r="A83" s="8"/>
      <c r="B83" s="8"/>
      <c r="C83" s="8"/>
      <c r="D83" s="8"/>
      <c r="E83" s="8"/>
      <c r="F83" s="8"/>
      <c r="G83" s="8"/>
      <c r="H83" s="8"/>
      <c r="I83" s="8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</row>
    <row r="84" spans="1:23" x14ac:dyDescent="0.25">
      <c r="A84" s="8"/>
      <c r="B84" s="8"/>
      <c r="C84" s="8"/>
      <c r="D84" s="8"/>
      <c r="E84" s="8"/>
      <c r="F84" s="8"/>
      <c r="G84" s="8"/>
      <c r="H84" s="8"/>
      <c r="I84" s="8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</row>
    <row r="85" spans="1:23" x14ac:dyDescent="0.25">
      <c r="A85" s="8"/>
      <c r="B85" s="8"/>
      <c r="C85" s="8"/>
      <c r="D85" s="8"/>
      <c r="E85" s="8"/>
      <c r="F85" s="8"/>
      <c r="G85" s="8"/>
      <c r="H85" s="8"/>
      <c r="I85" s="8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</row>
    <row r="86" spans="1:23" x14ac:dyDescent="0.25">
      <c r="A86" s="8"/>
      <c r="B86" s="8"/>
      <c r="C86" s="8"/>
      <c r="D86" s="8"/>
      <c r="E86" s="8"/>
      <c r="F86" s="8"/>
      <c r="G86" s="8"/>
      <c r="H86" s="8"/>
      <c r="I86" s="8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</row>
    <row r="87" spans="1:23" x14ac:dyDescent="0.25">
      <c r="A87" s="8"/>
      <c r="B87" s="8"/>
      <c r="C87" s="8"/>
      <c r="D87" s="8"/>
      <c r="E87" s="8"/>
      <c r="F87" s="8"/>
      <c r="G87" s="8"/>
      <c r="H87" s="8"/>
      <c r="I87" s="8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</row>
    <row r="88" spans="1:23" x14ac:dyDescent="0.25">
      <c r="A88" s="8"/>
      <c r="B88" s="8"/>
      <c r="C88" s="8"/>
      <c r="D88" s="8"/>
      <c r="E88" s="8"/>
      <c r="F88" s="8"/>
      <c r="G88" s="8"/>
      <c r="H88" s="8"/>
      <c r="I88" s="8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</row>
    <row r="89" spans="1:23" x14ac:dyDescent="0.25">
      <c r="A89" s="8"/>
      <c r="B89" s="8"/>
      <c r="C89" s="8"/>
      <c r="D89" s="8"/>
      <c r="E89" s="8"/>
      <c r="F89" s="8"/>
      <c r="G89" s="8"/>
      <c r="H89" s="8"/>
      <c r="I89" s="8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</row>
    <row r="90" spans="1:23" x14ac:dyDescent="0.25">
      <c r="A90" s="8"/>
      <c r="B90" s="8"/>
      <c r="C90" s="8"/>
      <c r="D90" s="8"/>
      <c r="E90" s="8"/>
      <c r="F90" s="8"/>
      <c r="G90" s="8"/>
      <c r="H90" s="8"/>
      <c r="I90" s="8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</row>
    <row r="91" spans="1:23" x14ac:dyDescent="0.25">
      <c r="A91" s="8"/>
      <c r="B91" s="8"/>
      <c r="C91" s="8"/>
      <c r="D91" s="8"/>
      <c r="E91" s="8"/>
      <c r="F91" s="8"/>
      <c r="G91" s="8"/>
      <c r="H91" s="8"/>
      <c r="I91" s="8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</row>
    <row r="92" spans="1:23" x14ac:dyDescent="0.25">
      <c r="A92" s="8"/>
      <c r="B92" s="8"/>
      <c r="C92" s="8"/>
      <c r="D92" s="8"/>
      <c r="E92" s="8"/>
      <c r="F92" s="8"/>
      <c r="G92" s="8"/>
      <c r="H92" s="8"/>
      <c r="I92" s="8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</row>
    <row r="93" spans="1:23" x14ac:dyDescent="0.25">
      <c r="A93" s="8"/>
      <c r="B93" s="8"/>
      <c r="C93" s="8"/>
      <c r="D93" s="8"/>
      <c r="E93" s="8"/>
      <c r="F93" s="8"/>
      <c r="G93" s="8"/>
      <c r="H93" s="8"/>
      <c r="I93" s="8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</row>
    <row r="94" spans="1:23" x14ac:dyDescent="0.25">
      <c r="A94" s="8"/>
      <c r="B94" s="8"/>
      <c r="C94" s="8"/>
      <c r="D94" s="8"/>
      <c r="E94" s="8"/>
      <c r="F94" s="8"/>
      <c r="G94" s="8"/>
      <c r="H94" s="8"/>
      <c r="I94" s="8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</row>
    <row r="95" spans="1:23" x14ac:dyDescent="0.25">
      <c r="A95" s="8"/>
      <c r="B95" s="8"/>
      <c r="C95" s="8"/>
      <c r="D95" s="8"/>
      <c r="E95" s="8"/>
      <c r="F95" s="8"/>
      <c r="G95" s="8"/>
      <c r="H95" s="8"/>
      <c r="I95" s="8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</row>
    <row r="96" spans="1:23" x14ac:dyDescent="0.25">
      <c r="A96" s="8"/>
      <c r="B96" s="8"/>
      <c r="C96" s="8"/>
      <c r="D96" s="8"/>
      <c r="E96" s="8"/>
      <c r="F96" s="8"/>
      <c r="G96" s="8"/>
      <c r="H96" s="8"/>
      <c r="I96" s="8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</row>
    <row r="97" spans="1:23" x14ac:dyDescent="0.25">
      <c r="A97" s="8"/>
      <c r="B97" s="8"/>
      <c r="C97" s="8"/>
      <c r="D97" s="8"/>
      <c r="E97" s="8"/>
      <c r="F97" s="8"/>
      <c r="G97" s="8"/>
      <c r="H97" s="8"/>
      <c r="I97" s="8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</row>
    <row r="98" spans="1:23" x14ac:dyDescent="0.25">
      <c r="A98" s="8"/>
      <c r="B98" s="8"/>
      <c r="C98" s="8"/>
      <c r="D98" s="8"/>
      <c r="E98" s="8"/>
      <c r="F98" s="8"/>
      <c r="G98" s="8"/>
      <c r="H98" s="8"/>
      <c r="I98" s="8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</row>
    <row r="99" spans="1:23" x14ac:dyDescent="0.25">
      <c r="A99" s="8"/>
      <c r="B99" s="8"/>
      <c r="C99" s="8"/>
      <c r="D99" s="8"/>
      <c r="E99" s="8"/>
      <c r="F99" s="8"/>
      <c r="G99" s="8"/>
      <c r="H99" s="8"/>
      <c r="I99" s="8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</row>
    <row r="100" spans="1:23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</row>
    <row r="101" spans="1:23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</row>
    <row r="102" spans="1:23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</row>
    <row r="103" spans="1:23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</row>
    <row r="104" spans="1:23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</row>
    <row r="105" spans="1:23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</row>
    <row r="106" spans="1:23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</row>
    <row r="107" spans="1:23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</row>
    <row r="108" spans="1:23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</row>
    <row r="109" spans="1:23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</row>
    <row r="110" spans="1:23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</row>
    <row r="111" spans="1:23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</row>
    <row r="112" spans="1:23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</row>
    <row r="113" spans="1:23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</row>
    <row r="114" spans="1:23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</row>
    <row r="115" spans="1:23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</row>
    <row r="116" spans="1:23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</row>
    <row r="117" spans="1:23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</row>
    <row r="119" spans="1:23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</row>
    <row r="120" spans="1:2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</row>
    <row r="121" spans="1:2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</row>
    <row r="122" spans="1:2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</row>
    <row r="123" spans="1:2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</row>
    <row r="124" spans="1:23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</row>
    <row r="125" spans="1:23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</row>
    <row r="126" spans="1:23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</row>
    <row r="127" spans="1:23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</row>
    <row r="128" spans="1:23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</row>
    <row r="129" spans="1:23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</row>
    <row r="130" spans="1:23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</row>
    <row r="131" spans="1:23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</row>
    <row r="132" spans="1:23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</row>
    <row r="133" spans="1:23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</row>
    <row r="134" spans="1:23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</row>
    <row r="135" spans="1:23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</row>
    <row r="136" spans="1:23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</row>
    <row r="137" spans="1:23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</row>
    <row r="138" spans="1:23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</row>
    <row r="139" spans="1:23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</row>
    <row r="140" spans="1:23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</row>
    <row r="141" spans="1:23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</row>
    <row r="142" spans="1:23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</row>
    <row r="143" spans="1:23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</row>
    <row r="144" spans="1:23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</row>
    <row r="145" spans="1:23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</row>
    <row r="146" spans="1:23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</row>
    <row r="147" spans="1:23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</row>
    <row r="148" spans="1:23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</row>
    <row r="149" spans="1:23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</row>
    <row r="150" spans="1:23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</row>
    <row r="151" spans="1:23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</row>
    <row r="152" spans="1:23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</row>
    <row r="153" spans="1:23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</row>
    <row r="154" spans="1:23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</row>
    <row r="155" spans="1:23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</row>
    <row r="156" spans="1:23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</row>
    <row r="157" spans="1:23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</row>
    <row r="158" spans="1:23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</row>
    <row r="159" spans="1:23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</row>
    <row r="160" spans="1:23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</row>
    <row r="161" spans="1:23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</row>
    <row r="162" spans="1:23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</row>
    <row r="163" spans="1:23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</row>
    <row r="164" spans="1:23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</row>
    <row r="165" spans="1:23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</row>
    <row r="166" spans="1:23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</row>
    <row r="167" spans="1:23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</row>
    <row r="168" spans="1:23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</row>
    <row r="169" spans="1:23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</row>
    <row r="170" spans="1:23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</row>
    <row r="171" spans="1:23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</row>
    <row r="172" spans="1:23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</row>
    <row r="173" spans="1:23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</row>
    <row r="174" spans="1:23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</row>
    <row r="175" spans="1:23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</row>
    <row r="177" spans="1:23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</row>
    <row r="178" spans="1:23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</row>
    <row r="179" spans="1:23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</row>
    <row r="180" spans="1:23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</row>
    <row r="181" spans="1:23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</row>
    <row r="182" spans="1:23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</row>
    <row r="183" spans="1:23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</row>
    <row r="184" spans="1:23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</row>
    <row r="185" spans="1:23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</row>
    <row r="186" spans="1:23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</row>
    <row r="187" spans="1:23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</row>
    <row r="188" spans="1:23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</row>
    <row r="189" spans="1:23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</row>
    <row r="190" spans="1:23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</row>
    <row r="191" spans="1:23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</row>
    <row r="192" spans="1:23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</row>
    <row r="193" spans="1:23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</row>
    <row r="194" spans="1:23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</row>
    <row r="195" spans="1:23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</row>
    <row r="196" spans="1:23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</row>
    <row r="197" spans="1:23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</row>
    <row r="198" spans="1:23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</row>
    <row r="199" spans="1:23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</row>
    <row r="200" spans="1:23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</row>
    <row r="201" spans="1:23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</row>
    <row r="202" spans="1:23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</row>
    <row r="203" spans="1:23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</row>
    <row r="204" spans="1:23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</row>
    <row r="205" spans="1:23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</row>
    <row r="206" spans="1:23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</row>
  </sheetData>
  <sortState ref="A2:F22">
    <sortCondition ref="A5"/>
  </sortState>
  <conditionalFormatting sqref="I2:I26">
    <cfRule type="colorScale" priority="9">
      <colorScale>
        <cfvo type="percentile" val="10"/>
        <cfvo type="percentile" val="50"/>
        <cfvo type="percentile" val="99"/>
        <color theme="1"/>
        <color theme="1" tint="4.9989318521683403E-2"/>
        <color theme="1" tint="0.499984740745262"/>
      </colorScale>
    </cfRule>
  </conditionalFormatting>
  <conditionalFormatting sqref="L2:L26">
    <cfRule type="expression" dxfId="45" priority="7">
      <formula>$G2&gt;=SUM($B2:B2)</formula>
    </cfRule>
  </conditionalFormatting>
  <conditionalFormatting sqref="M2:M26">
    <cfRule type="expression" dxfId="44" priority="6">
      <formula>$G2&gt;=SUM($B2:C2)</formula>
    </cfRule>
  </conditionalFormatting>
  <conditionalFormatting sqref="N2:N26">
    <cfRule type="expression" dxfId="43" priority="5">
      <formula>$G2&gt;=SUM($B2:D2)</formula>
    </cfRule>
  </conditionalFormatting>
  <conditionalFormatting sqref="O2:O26">
    <cfRule type="expression" dxfId="42" priority="4">
      <formula>$G2&gt;=SUM($B2:E2)</formula>
    </cfRule>
  </conditionalFormatting>
  <conditionalFormatting sqref="P2:P26">
    <cfRule type="expression" dxfId="41" priority="3">
      <formula>$G2&gt;=SUM($B2:F2)</formula>
    </cfRule>
  </conditionalFormatting>
  <conditionalFormatting sqref="L2:P26">
    <cfRule type="containsBlanks" dxfId="40" priority="2">
      <formula>LEN(TRIM(L2))=0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workbookViewId="0">
      <selection activeCell="C8" sqref="C8"/>
    </sheetView>
  </sheetViews>
  <sheetFormatPr defaultRowHeight="15" x14ac:dyDescent="0.25"/>
  <cols>
    <col min="3" max="3" width="9.140625" style="34"/>
    <col min="9" max="9" width="9.140625" style="34"/>
  </cols>
  <sheetData>
    <row r="1" spans="1:9" x14ac:dyDescent="0.25">
      <c r="A1" t="s">
        <v>293</v>
      </c>
      <c r="G1" t="s">
        <v>325</v>
      </c>
    </row>
    <row r="2" spans="1:9" x14ac:dyDescent="0.25">
      <c r="B2" t="s">
        <v>294</v>
      </c>
      <c r="C2" s="34" t="s">
        <v>356</v>
      </c>
      <c r="H2" t="s">
        <v>326</v>
      </c>
    </row>
    <row r="3" spans="1:9" x14ac:dyDescent="0.25">
      <c r="B3" t="s">
        <v>295</v>
      </c>
      <c r="C3" s="34" t="s">
        <v>356</v>
      </c>
      <c r="H3" t="s">
        <v>327</v>
      </c>
      <c r="I3" s="34" t="s">
        <v>356</v>
      </c>
    </row>
    <row r="4" spans="1:9" x14ac:dyDescent="0.25">
      <c r="B4" t="s">
        <v>296</v>
      </c>
      <c r="C4" s="34" t="s">
        <v>356</v>
      </c>
      <c r="H4" t="s">
        <v>328</v>
      </c>
      <c r="I4" s="34" t="s">
        <v>356</v>
      </c>
    </row>
    <row r="5" spans="1:9" x14ac:dyDescent="0.25">
      <c r="A5" t="s">
        <v>297</v>
      </c>
      <c r="G5" t="s">
        <v>329</v>
      </c>
    </row>
    <row r="6" spans="1:9" x14ac:dyDescent="0.25">
      <c r="B6" t="s">
        <v>298</v>
      </c>
      <c r="H6" t="s">
        <v>330</v>
      </c>
    </row>
    <row r="7" spans="1:9" x14ac:dyDescent="0.25">
      <c r="B7" t="s">
        <v>299</v>
      </c>
      <c r="C7" s="34" t="s">
        <v>356</v>
      </c>
      <c r="D7" s="33"/>
      <c r="H7" t="s">
        <v>331</v>
      </c>
    </row>
    <row r="8" spans="1:9" x14ac:dyDescent="0.25">
      <c r="B8" t="s">
        <v>300</v>
      </c>
      <c r="C8" s="34" t="s">
        <v>356</v>
      </c>
      <c r="H8" t="s">
        <v>332</v>
      </c>
    </row>
    <row r="9" spans="1:9" x14ac:dyDescent="0.25">
      <c r="A9" t="s">
        <v>301</v>
      </c>
      <c r="G9" t="s">
        <v>333</v>
      </c>
    </row>
    <row r="10" spans="1:9" x14ac:dyDescent="0.25">
      <c r="B10" t="s">
        <v>302</v>
      </c>
      <c r="H10" t="s">
        <v>334</v>
      </c>
    </row>
    <row r="11" spans="1:9" x14ac:dyDescent="0.25">
      <c r="B11" t="s">
        <v>303</v>
      </c>
      <c r="H11" t="s">
        <v>335</v>
      </c>
    </row>
    <row r="12" spans="1:9" x14ac:dyDescent="0.25">
      <c r="B12" s="35" t="s">
        <v>304</v>
      </c>
      <c r="H12" s="35" t="s">
        <v>336</v>
      </c>
    </row>
    <row r="13" spans="1:9" x14ac:dyDescent="0.25">
      <c r="A13" t="s">
        <v>305</v>
      </c>
      <c r="G13" t="s">
        <v>337</v>
      </c>
    </row>
    <row r="14" spans="1:9" x14ac:dyDescent="0.25">
      <c r="B14" t="s">
        <v>306</v>
      </c>
      <c r="H14" t="s">
        <v>338</v>
      </c>
    </row>
    <row r="15" spans="1:9" x14ac:dyDescent="0.25">
      <c r="B15" t="s">
        <v>307</v>
      </c>
      <c r="H15" t="s">
        <v>339</v>
      </c>
    </row>
    <row r="16" spans="1:9" x14ac:dyDescent="0.25">
      <c r="B16" s="36" t="s">
        <v>308</v>
      </c>
      <c r="D16" s="33"/>
      <c r="H16" s="36" t="s">
        <v>340</v>
      </c>
    </row>
    <row r="17" spans="1:20" x14ac:dyDescent="0.25">
      <c r="D17" s="33"/>
    </row>
    <row r="18" spans="1:20" x14ac:dyDescent="0.25">
      <c r="A18" t="s">
        <v>309</v>
      </c>
      <c r="G18" t="s">
        <v>341</v>
      </c>
    </row>
    <row r="19" spans="1:20" x14ac:dyDescent="0.25">
      <c r="B19" t="s">
        <v>310</v>
      </c>
      <c r="H19" t="s">
        <v>342</v>
      </c>
    </row>
    <row r="20" spans="1:20" x14ac:dyDescent="0.25">
      <c r="B20" t="s">
        <v>311</v>
      </c>
      <c r="H20" t="s">
        <v>343</v>
      </c>
      <c r="I20" s="34" t="s">
        <v>356</v>
      </c>
    </row>
    <row r="21" spans="1:20" x14ac:dyDescent="0.25">
      <c r="B21" t="s">
        <v>312</v>
      </c>
      <c r="C21" s="34" t="s">
        <v>356</v>
      </c>
      <c r="H21" t="s">
        <v>344</v>
      </c>
      <c r="I21" s="34" t="s">
        <v>356</v>
      </c>
    </row>
    <row r="22" spans="1:20" x14ac:dyDescent="0.25">
      <c r="A22" t="s">
        <v>313</v>
      </c>
      <c r="G22" t="s">
        <v>345</v>
      </c>
      <c r="T22">
        <f>4*18</f>
        <v>72</v>
      </c>
    </row>
    <row r="23" spans="1:20" x14ac:dyDescent="0.25">
      <c r="B23" t="s">
        <v>314</v>
      </c>
      <c r="H23" t="s">
        <v>346</v>
      </c>
      <c r="T23">
        <f>5*15</f>
        <v>75</v>
      </c>
    </row>
    <row r="24" spans="1:20" x14ac:dyDescent="0.25">
      <c r="B24" t="s">
        <v>315</v>
      </c>
      <c r="C24" s="34" t="s">
        <v>356</v>
      </c>
      <c r="H24" t="s">
        <v>347</v>
      </c>
    </row>
    <row r="25" spans="1:20" x14ac:dyDescent="0.25">
      <c r="B25" t="s">
        <v>316</v>
      </c>
      <c r="H25" t="s">
        <v>348</v>
      </c>
    </row>
    <row r="26" spans="1:20" x14ac:dyDescent="0.25">
      <c r="A26" t="s">
        <v>317</v>
      </c>
      <c r="D26" s="33"/>
      <c r="G26" t="s">
        <v>349</v>
      </c>
    </row>
    <row r="27" spans="1:20" x14ac:dyDescent="0.25">
      <c r="B27" t="s">
        <v>318</v>
      </c>
      <c r="H27" t="s">
        <v>350</v>
      </c>
    </row>
    <row r="28" spans="1:20" x14ac:dyDescent="0.25">
      <c r="B28" t="s">
        <v>319</v>
      </c>
      <c r="H28" t="s">
        <v>351</v>
      </c>
    </row>
    <row r="29" spans="1:20" x14ac:dyDescent="0.25">
      <c r="B29" s="35" t="s">
        <v>320</v>
      </c>
      <c r="H29" s="35" t="s">
        <v>320</v>
      </c>
    </row>
    <row r="30" spans="1:20" x14ac:dyDescent="0.25">
      <c r="A30" t="s">
        <v>321</v>
      </c>
      <c r="G30" t="s">
        <v>352</v>
      </c>
    </row>
    <row r="31" spans="1:20" x14ac:dyDescent="0.25">
      <c r="B31" t="s">
        <v>322</v>
      </c>
      <c r="H31" t="s">
        <v>353</v>
      </c>
    </row>
    <row r="32" spans="1:20" x14ac:dyDescent="0.25">
      <c r="B32" t="s">
        <v>323</v>
      </c>
      <c r="H32" t="s">
        <v>354</v>
      </c>
    </row>
    <row r="33" spans="2:8" x14ac:dyDescent="0.25">
      <c r="B33" s="36" t="s">
        <v>324</v>
      </c>
      <c r="H33" s="36" t="s">
        <v>355</v>
      </c>
    </row>
    <row r="43" spans="2:8" x14ac:dyDescent="0.25">
      <c r="D43" s="33"/>
    </row>
    <row r="53" spans="4:4" x14ac:dyDescent="0.25">
      <c r="D53" s="33"/>
    </row>
    <row r="62" spans="4:4" x14ac:dyDescent="0.25">
      <c r="D62" s="33"/>
    </row>
    <row r="79" spans="4:4" x14ac:dyDescent="0.25">
      <c r="D79" s="33"/>
    </row>
    <row r="88" spans="4:4" x14ac:dyDescent="0.25">
      <c r="D88" s="33"/>
    </row>
    <row r="97" spans="4:4" x14ac:dyDescent="0.25">
      <c r="D97" s="33"/>
    </row>
    <row r="114" spans="4:4" x14ac:dyDescent="0.25">
      <c r="D114" s="33"/>
    </row>
    <row r="123" spans="4:4" x14ac:dyDescent="0.25">
      <c r="D123" s="33"/>
    </row>
    <row r="132" spans="4:4" x14ac:dyDescent="0.25">
      <c r="D132" s="33"/>
    </row>
  </sheetData>
  <sortState ref="A1:B64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A3" sqref="A3"/>
    </sheetView>
  </sheetViews>
  <sheetFormatPr defaultRowHeight="15" x14ac:dyDescent="0.25"/>
  <cols>
    <col min="4" max="4" width="6.42578125" customWidth="1"/>
    <col min="10" max="10" width="15.28515625" customWidth="1"/>
    <col min="11" max="12" width="16.85546875" customWidth="1"/>
    <col min="13" max="13" width="16.140625" customWidth="1"/>
    <col min="14" max="14" width="13.85546875" customWidth="1"/>
    <col min="15" max="15" width="12" customWidth="1"/>
    <col min="17" max="18" width="12" customWidth="1"/>
    <col min="19" max="19" width="11.140625" customWidth="1"/>
    <col min="20" max="20" width="15" bestFit="1" customWidth="1"/>
    <col min="21" max="22" width="13.140625" bestFit="1" customWidth="1"/>
    <col min="24" max="24" width="17.7109375" bestFit="1" customWidth="1"/>
  </cols>
  <sheetData>
    <row r="1" spans="1:18" x14ac:dyDescent="0.25">
      <c r="A1" s="1" t="s">
        <v>23</v>
      </c>
      <c r="B1" s="1"/>
      <c r="C1" s="1" t="s">
        <v>24</v>
      </c>
      <c r="D1" s="1"/>
      <c r="E1" s="1" t="s">
        <v>25</v>
      </c>
      <c r="F1" s="1"/>
      <c r="G1" t="s">
        <v>259</v>
      </c>
      <c r="H1" s="1" t="s">
        <v>260</v>
      </c>
      <c r="R1" t="s">
        <v>181</v>
      </c>
    </row>
    <row r="2" spans="1:18" x14ac:dyDescent="0.25">
      <c r="A2">
        <v>0</v>
      </c>
      <c r="B2" s="6">
        <f t="shared" ref="B2:B12" si="0">(((IFERROR(A2^2,0)/MAX(A$2:A$100))/(MAX(A$2:A$100)/MAX(A$2:A$100)))^2)/((((IFERROR($A$14^2,0)/MAX(A$2:A$100))/(MAX(A$2:A$100)/MAX(A$2:A$100)))^2)/((VLOOKUP(A$1,$J$2:$K$5,2,FALSE)*100)))</f>
        <v>0</v>
      </c>
      <c r="C2">
        <v>0</v>
      </c>
      <c r="D2" s="6">
        <f>(((IFERROR(LOG(C2),0)/MAX(C$2:C$100))/(LOG(MAX(C$2:C$100))/MAX(C$2:C$100)))^2)*(VLOOKUP(C$1,$J$2:$K$5,2,FALSE)*100)</f>
        <v>0</v>
      </c>
      <c r="E2">
        <v>0</v>
      </c>
      <c r="F2" s="6">
        <f>(((IFERROR(LOG(E2),0)/MAX(E$2:E$100))/(LOG(MAX(E$2:E$100))/MAX(E$2:E$100)))^2)*(VLOOKUP(E$1,$J$2:$K$5,2,FALSE)*100)</f>
        <v>0</v>
      </c>
      <c r="G2">
        <v>24</v>
      </c>
      <c r="H2" s="6">
        <v>6</v>
      </c>
      <c r="J2" t="s">
        <v>24</v>
      </c>
      <c r="K2" s="4">
        <v>7.0000000000000007E-2</v>
      </c>
      <c r="R2" t="e">
        <f>INDEX($N$8:O39,MATCH(INDEX(O8:O39,MATCH(TRUE,INDEX((O8:O39&lt;&gt;""),0),0)),O8:O39,0),1)</f>
        <v>#N/A</v>
      </c>
    </row>
    <row r="3" spans="1:18" x14ac:dyDescent="0.25">
      <c r="A3">
        <v>1</v>
      </c>
      <c r="B3" s="6">
        <f t="shared" si="0"/>
        <v>1.5914351851851853E-3</v>
      </c>
      <c r="C3">
        <v>1</v>
      </c>
      <c r="D3" s="6">
        <f t="shared" ref="D3:D66" si="1">(((IFERROR(LOG(C3),0)/MAX(C$2:C$100))/(LOG(MAX(C$2:C$100))/MAX(C$2:C$100)))^2)*(VLOOKUP(C$1,$J$2:$K$5,2,FALSE)*100)</f>
        <v>0</v>
      </c>
      <c r="E3">
        <v>1</v>
      </c>
      <c r="F3" s="6">
        <f t="shared" ref="F3:F9" si="2">(((IFERROR(LOG(E3),0)/MAX(E$2:E$100))/(LOG(MAX(E$2:E$100))/MAX(E$2:E$100)))^2)*(VLOOKUP(E$1,$J$2:$K$5,2,FALSE)*100)</f>
        <v>0</v>
      </c>
      <c r="J3" t="s">
        <v>25</v>
      </c>
      <c r="K3" s="4">
        <v>0.3</v>
      </c>
    </row>
    <row r="4" spans="1:18" x14ac:dyDescent="0.25">
      <c r="A4">
        <v>2</v>
      </c>
      <c r="B4" s="6">
        <f t="shared" si="0"/>
        <v>2.5462962962962965E-2</v>
      </c>
      <c r="C4">
        <v>2</v>
      </c>
      <c r="D4" s="6">
        <f t="shared" si="1"/>
        <v>0.17039800911468564</v>
      </c>
      <c r="E4">
        <v>2</v>
      </c>
      <c r="F4" s="6">
        <f t="shared" si="2"/>
        <v>3.8065068044222845</v>
      </c>
      <c r="G4" s="3"/>
      <c r="H4" s="3"/>
      <c r="I4" s="3"/>
      <c r="J4" t="s">
        <v>23</v>
      </c>
      <c r="K4" s="4">
        <v>0.33</v>
      </c>
    </row>
    <row r="5" spans="1:18" x14ac:dyDescent="0.25">
      <c r="A5">
        <v>3</v>
      </c>
      <c r="B5" s="6">
        <f t="shared" si="0"/>
        <v>0.12890625</v>
      </c>
      <c r="C5">
        <v>3</v>
      </c>
      <c r="D5" s="6">
        <f t="shared" si="1"/>
        <v>0.42805788301396142</v>
      </c>
      <c r="E5">
        <v>3</v>
      </c>
      <c r="F5" s="6">
        <f t="shared" si="2"/>
        <v>9.5623490722980158</v>
      </c>
      <c r="G5" s="3"/>
      <c r="H5" s="3"/>
      <c r="I5" s="3"/>
      <c r="J5" t="s">
        <v>258</v>
      </c>
      <c r="K5" s="4">
        <v>0.3</v>
      </c>
    </row>
    <row r="6" spans="1:18" x14ac:dyDescent="0.25">
      <c r="A6">
        <v>4</v>
      </c>
      <c r="B6" s="6">
        <f t="shared" si="0"/>
        <v>0.40740740740740744</v>
      </c>
      <c r="C6">
        <v>4</v>
      </c>
      <c r="D6" s="6">
        <f t="shared" si="1"/>
        <v>0.68159203645874256</v>
      </c>
      <c r="E6">
        <v>4</v>
      </c>
      <c r="F6" s="6">
        <f t="shared" si="2"/>
        <v>15.226027217689138</v>
      </c>
      <c r="G6" s="3"/>
      <c r="H6" s="3"/>
      <c r="I6" s="3"/>
    </row>
    <row r="7" spans="1:18" x14ac:dyDescent="0.25">
      <c r="A7">
        <v>5</v>
      </c>
      <c r="B7" s="6">
        <f t="shared" si="0"/>
        <v>0.99464699074074103</v>
      </c>
      <c r="C7">
        <v>5</v>
      </c>
      <c r="D7" s="6">
        <f t="shared" si="1"/>
        <v>0.91867531970207006</v>
      </c>
      <c r="E7">
        <v>5</v>
      </c>
      <c r="F7" s="6">
        <f t="shared" si="2"/>
        <v>20.52221075627207</v>
      </c>
      <c r="G7" s="3"/>
      <c r="H7" s="3"/>
      <c r="I7" s="3"/>
    </row>
    <row r="8" spans="1:18" x14ac:dyDescent="0.25">
      <c r="A8">
        <v>6</v>
      </c>
      <c r="B8" s="6">
        <f t="shared" si="0"/>
        <v>2.0625</v>
      </c>
      <c r="C8">
        <v>6</v>
      </c>
      <c r="D8" s="6">
        <f t="shared" si="1"/>
        <v>1.1386048014172843</v>
      </c>
      <c r="E8">
        <v>6</v>
      </c>
      <c r="F8" s="6">
        <f t="shared" si="2"/>
        <v>25.43519696421879</v>
      </c>
      <c r="G8" s="7"/>
      <c r="H8" s="7"/>
      <c r="I8" s="7"/>
      <c r="K8" s="5"/>
    </row>
    <row r="9" spans="1:18" x14ac:dyDescent="0.25">
      <c r="A9">
        <v>7</v>
      </c>
      <c r="B9" s="6">
        <f t="shared" si="0"/>
        <v>3.8210358796296289</v>
      </c>
      <c r="C9">
        <v>7</v>
      </c>
      <c r="D9" s="6">
        <f t="shared" si="1"/>
        <v>1.3429478879432635</v>
      </c>
      <c r="E9">
        <v>7</v>
      </c>
      <c r="F9" s="6">
        <f t="shared" si="2"/>
        <v>30</v>
      </c>
      <c r="G9" s="7"/>
      <c r="H9" s="7"/>
      <c r="I9" s="7"/>
      <c r="K9" s="5"/>
    </row>
    <row r="10" spans="1:18" x14ac:dyDescent="0.25">
      <c r="A10">
        <v>8</v>
      </c>
      <c r="B10" s="6">
        <f t="shared" si="0"/>
        <v>6.518518518518519</v>
      </c>
      <c r="C10">
        <v>8</v>
      </c>
      <c r="D10" s="6">
        <f t="shared" si="1"/>
        <v>1.5335820820321702</v>
      </c>
      <c r="G10" s="7"/>
      <c r="H10" s="7"/>
      <c r="I10" s="7"/>
      <c r="K10" s="5"/>
    </row>
    <row r="11" spans="1:18" x14ac:dyDescent="0.25">
      <c r="A11">
        <v>9</v>
      </c>
      <c r="B11" s="6">
        <f t="shared" si="0"/>
        <v>10.44140625</v>
      </c>
      <c r="C11">
        <v>9</v>
      </c>
      <c r="D11" s="6">
        <f t="shared" si="1"/>
        <v>1.7122315320558457</v>
      </c>
      <c r="G11" s="5"/>
      <c r="H11" s="5"/>
      <c r="I11" s="5"/>
      <c r="K11" s="5"/>
      <c r="L11" s="6">
        <v>0</v>
      </c>
      <c r="M11" s="6">
        <f t="shared" ref="M11:M23" si="3">EXP(COUNT($L$11:$L$23)-_xlfn.RANK.AVG(L11,$L$11:$L$23))</f>
        <v>1</v>
      </c>
    </row>
    <row r="12" spans="1:18" x14ac:dyDescent="0.25">
      <c r="A12">
        <v>10</v>
      </c>
      <c r="B12" s="6">
        <f t="shared" si="0"/>
        <v>15.914351851851857</v>
      </c>
      <c r="C12">
        <v>10</v>
      </c>
      <c r="D12" s="6">
        <f t="shared" si="1"/>
        <v>1.8803771781692784</v>
      </c>
      <c r="J12" s="5"/>
      <c r="L12" s="6">
        <v>6.6806803160982637E-4</v>
      </c>
      <c r="M12" s="6">
        <f t="shared" si="3"/>
        <v>2.7182818284590451</v>
      </c>
    </row>
    <row r="13" spans="1:18" x14ac:dyDescent="0.25">
      <c r="A13">
        <v>11</v>
      </c>
      <c r="B13" s="6">
        <f>(((IFERROR(A13^2,0)/MAX(A$2:A$100))/(MAX(A$2:A$100)/MAX(A$2:A$100)))^2)/((((IFERROR($A$14^2,0)/MAX(A$2:A$100))/(MAX(A$2:A$100)/MAX(A$2:A$100)))^2)/((VLOOKUP(A$1,$J$2:$K$5,2,FALSE)*100)))</f>
        <v>23.300202546296301</v>
      </c>
      <c r="C13">
        <v>11</v>
      </c>
      <c r="D13" s="6">
        <f t="shared" si="1"/>
        <v>2.0392666516815572</v>
      </c>
      <c r="J13" s="5"/>
      <c r="L13" s="6">
        <v>1.8159971904993942E-3</v>
      </c>
      <c r="M13" s="6">
        <f t="shared" si="3"/>
        <v>7.3890560989306504</v>
      </c>
    </row>
    <row r="14" spans="1:18" x14ac:dyDescent="0.25">
      <c r="A14">
        <v>12</v>
      </c>
      <c r="B14" s="6">
        <f>(((IFERROR(A14^2,0)/MAX(A$2:A$100))/(MAX(A$2:A$100)/MAX(A$2:A$100)))^2)/((((IFERROR($A$14^2,0)/MAX(A$2:A$100))/(MAX(A$2:A$100)/MAX(A$2:A$100)))^2)/((VLOOKUP(A$1,$J$2:$K$5,2,FALSE)*100)))</f>
        <v>33</v>
      </c>
      <c r="C14">
        <v>12</v>
      </c>
      <c r="D14" s="6">
        <f t="shared" si="1"/>
        <v>2.1899477380499781</v>
      </c>
      <c r="J14" s="5"/>
      <c r="L14" s="6">
        <v>4.936392163467182E-3</v>
      </c>
      <c r="M14" s="6">
        <f t="shared" si="3"/>
        <v>20.085536923187668</v>
      </c>
    </row>
    <row r="15" spans="1:18" x14ac:dyDescent="0.25">
      <c r="C15">
        <v>13</v>
      </c>
      <c r="D15" s="6">
        <f t="shared" si="1"/>
        <v>2.3333032382358709</v>
      </c>
      <c r="J15" s="5"/>
      <c r="L15" s="6">
        <v>1.3418505116100474E-2</v>
      </c>
      <c r="M15" s="6">
        <f t="shared" si="3"/>
        <v>54.598150033144236</v>
      </c>
    </row>
    <row r="16" spans="1:18" x14ac:dyDescent="0.25">
      <c r="C16">
        <v>14</v>
      </c>
      <c r="D16" s="6">
        <f t="shared" si="1"/>
        <v>2.4700812762518072</v>
      </c>
      <c r="L16" s="6">
        <v>3.6475278622180647E-2</v>
      </c>
      <c r="M16" s="6">
        <f t="shared" si="3"/>
        <v>148.4131591025766</v>
      </c>
    </row>
    <row r="17" spans="3:19" x14ac:dyDescent="0.25">
      <c r="C17">
        <v>15</v>
      </c>
      <c r="D17" s="6">
        <f t="shared" si="1"/>
        <v>2.6009201306160836</v>
      </c>
      <c r="L17" s="6">
        <v>9.9150087066654347E-2</v>
      </c>
      <c r="M17" s="6">
        <f t="shared" si="3"/>
        <v>403.42879349273511</v>
      </c>
    </row>
    <row r="18" spans="3:19" x14ac:dyDescent="0.25">
      <c r="C18">
        <v>16</v>
      </c>
      <c r="D18" s="6">
        <f t="shared" si="1"/>
        <v>2.7263681458349702</v>
      </c>
      <c r="I18" s="6"/>
      <c r="L18" s="6">
        <v>0.26951787996341869</v>
      </c>
      <c r="M18" s="6">
        <f t="shared" si="3"/>
        <v>1096.6331584284585</v>
      </c>
      <c r="S18" s="16"/>
    </row>
    <row r="19" spans="3:19" x14ac:dyDescent="0.25">
      <c r="C19">
        <v>17</v>
      </c>
      <c r="D19" s="6">
        <f t="shared" si="1"/>
        <v>2.8468995999311391</v>
      </c>
      <c r="I19" s="6"/>
      <c r="L19" s="6">
        <v>0.73262555554936726</v>
      </c>
      <c r="M19" s="6">
        <f t="shared" si="3"/>
        <v>2980.9579870417283</v>
      </c>
      <c r="S19" s="16"/>
    </row>
    <row r="20" spans="3:19" x14ac:dyDescent="0.25">
      <c r="C20">
        <v>18</v>
      </c>
      <c r="D20" s="6">
        <f t="shared" si="1"/>
        <v>2.9629273597478041</v>
      </c>
      <c r="I20" s="6"/>
      <c r="L20" s="6">
        <v>1.9914827347145578</v>
      </c>
      <c r="M20" s="6">
        <f t="shared" si="3"/>
        <v>8103.0839275753842</v>
      </c>
      <c r="S20" s="16"/>
    </row>
    <row r="21" spans="3:19" x14ac:dyDescent="0.25">
      <c r="C21">
        <v>19</v>
      </c>
      <c r="D21" s="6">
        <f t="shared" si="1"/>
        <v>3.0748130170710217</v>
      </c>
      <c r="I21" s="6"/>
      <c r="L21" s="6">
        <v>5.4134113294645081</v>
      </c>
      <c r="M21" s="6">
        <f t="shared" si="3"/>
        <v>22026.465794806718</v>
      </c>
      <c r="S21" s="17"/>
    </row>
    <row r="22" spans="3:19" x14ac:dyDescent="0.25">
      <c r="C22">
        <v>20</v>
      </c>
      <c r="D22" s="6">
        <f t="shared" si="1"/>
        <v>3.1828750548658578</v>
      </c>
      <c r="I22" s="6"/>
      <c r="L22" s="6">
        <v>14.715177646857693</v>
      </c>
      <c r="M22" s="6">
        <f t="shared" si="3"/>
        <v>59874.141715197817</v>
      </c>
    </row>
    <row r="23" spans="3:19" x14ac:dyDescent="0.25">
      <c r="C23">
        <v>21</v>
      </c>
      <c r="D23" s="6">
        <f t="shared" si="1"/>
        <v>3.2873954700927257</v>
      </c>
      <c r="I23" s="6"/>
      <c r="L23" s="6">
        <v>40</v>
      </c>
      <c r="M23" s="6">
        <f t="shared" si="3"/>
        <v>162754.79141900392</v>
      </c>
    </row>
    <row r="24" spans="3:19" x14ac:dyDescent="0.25">
      <c r="C24">
        <v>22</v>
      </c>
      <c r="D24" s="6">
        <f t="shared" si="1"/>
        <v>3.3886251817646214</v>
      </c>
      <c r="I24" s="6"/>
    </row>
    <row r="25" spans="3:19" x14ac:dyDescent="0.25">
      <c r="C25">
        <v>23</v>
      </c>
      <c r="D25" s="6">
        <f t="shared" si="1"/>
        <v>3.4867884773415359</v>
      </c>
      <c r="I25" s="6"/>
    </row>
    <row r="26" spans="3:19" x14ac:dyDescent="0.25">
      <c r="C26">
        <v>24</v>
      </c>
      <c r="D26" s="6">
        <f t="shared" si="1"/>
        <v>3.5820866929120423</v>
      </c>
      <c r="I26" s="6"/>
    </row>
    <row r="27" spans="3:19" x14ac:dyDescent="0.25">
      <c r="C27">
        <v>25</v>
      </c>
      <c r="D27" s="6">
        <f t="shared" si="1"/>
        <v>3.6747012788082802</v>
      </c>
      <c r="I27" s="6"/>
    </row>
    <row r="28" spans="3:19" x14ac:dyDescent="0.25">
      <c r="C28">
        <v>26</v>
      </c>
      <c r="D28" s="6">
        <f t="shared" si="1"/>
        <v>3.764796368990857</v>
      </c>
      <c r="I28" s="6"/>
    </row>
    <row r="29" spans="3:19" x14ac:dyDescent="0.25">
      <c r="C29">
        <v>27</v>
      </c>
      <c r="D29" s="6">
        <f t="shared" si="1"/>
        <v>3.8525209471256532</v>
      </c>
      <c r="I29" s="6"/>
    </row>
    <row r="30" spans="3:19" x14ac:dyDescent="0.25">
      <c r="C30">
        <v>28</v>
      </c>
      <c r="D30" s="6">
        <f t="shared" si="1"/>
        <v>3.9380106827897223</v>
      </c>
      <c r="I30" s="6"/>
    </row>
    <row r="31" spans="3:19" x14ac:dyDescent="0.25">
      <c r="C31">
        <v>29</v>
      </c>
      <c r="D31" s="6">
        <f t="shared" si="1"/>
        <v>4.0213894962208174</v>
      </c>
    </row>
    <row r="32" spans="3:19" x14ac:dyDescent="0.25">
      <c r="C32">
        <v>30</v>
      </c>
      <c r="D32" s="6">
        <f t="shared" si="1"/>
        <v>4.1027708983719267</v>
      </c>
    </row>
    <row r="33" spans="3:4" x14ac:dyDescent="0.25">
      <c r="C33">
        <v>31</v>
      </c>
      <c r="D33" s="6">
        <f t="shared" si="1"/>
        <v>4.1822591439366343</v>
      </c>
    </row>
    <row r="34" spans="3:4" x14ac:dyDescent="0.25">
      <c r="C34">
        <v>32</v>
      </c>
      <c r="D34" s="6">
        <f t="shared" si="1"/>
        <v>4.2599502278671402</v>
      </c>
    </row>
    <row r="35" spans="3:4" x14ac:dyDescent="0.25">
      <c r="C35">
        <v>33</v>
      </c>
      <c r="D35" s="6">
        <f t="shared" si="1"/>
        <v>4.3359327502610787</v>
      </c>
    </row>
    <row r="36" spans="3:4" x14ac:dyDescent="0.25">
      <c r="C36">
        <v>34</v>
      </c>
      <c r="D36" s="6">
        <f t="shared" si="1"/>
        <v>4.4102886700044532</v>
      </c>
    </row>
    <row r="37" spans="3:4" x14ac:dyDescent="0.25">
      <c r="C37">
        <v>35</v>
      </c>
      <c r="D37" s="6">
        <f t="shared" si="1"/>
        <v>4.4830939639682672</v>
      </c>
    </row>
    <row r="38" spans="3:4" x14ac:dyDescent="0.25">
      <c r="C38">
        <v>36</v>
      </c>
      <c r="D38" s="6">
        <f t="shared" si="1"/>
        <v>4.554419205669137</v>
      </c>
    </row>
    <row r="39" spans="3:4" x14ac:dyDescent="0.25">
      <c r="C39">
        <v>37</v>
      </c>
      <c r="D39" s="6">
        <f t="shared" si="1"/>
        <v>4.6243300749694258</v>
      </c>
    </row>
    <row r="40" spans="3:4" x14ac:dyDescent="0.25">
      <c r="C40">
        <v>38</v>
      </c>
      <c r="D40" s="6">
        <f t="shared" si="1"/>
        <v>4.6928878084942749</v>
      </c>
    </row>
    <row r="41" spans="3:4" x14ac:dyDescent="0.25">
      <c r="C41">
        <v>39</v>
      </c>
      <c r="D41" s="6">
        <f t="shared" si="1"/>
        <v>4.7601495988920925</v>
      </c>
    </row>
    <row r="42" spans="3:4" x14ac:dyDescent="0.25">
      <c r="C42">
        <v>40</v>
      </c>
      <c r="D42" s="6">
        <f t="shared" si="1"/>
        <v>4.826168949791807</v>
      </c>
    </row>
    <row r="43" spans="3:4" x14ac:dyDescent="0.25">
      <c r="C43">
        <v>41</v>
      </c>
      <c r="D43" s="6">
        <f t="shared" si="1"/>
        <v>4.8909959922598762</v>
      </c>
    </row>
    <row r="44" spans="3:4" x14ac:dyDescent="0.25">
      <c r="C44">
        <v>42</v>
      </c>
      <c r="D44" s="6">
        <f t="shared" si="1"/>
        <v>4.9546777676899074</v>
      </c>
    </row>
    <row r="45" spans="3:4" x14ac:dyDescent="0.25">
      <c r="C45">
        <v>43</v>
      </c>
      <c r="D45" s="6">
        <f t="shared" si="1"/>
        <v>5.0172584813336343</v>
      </c>
    </row>
    <row r="46" spans="3:4" x14ac:dyDescent="0.25">
      <c r="C46">
        <v>44</v>
      </c>
      <c r="D46" s="6">
        <f t="shared" si="1"/>
        <v>5.0787797300770574</v>
      </c>
    </row>
    <row r="47" spans="3:4" x14ac:dyDescent="0.25">
      <c r="C47">
        <v>45</v>
      </c>
      <c r="D47" s="6">
        <f t="shared" si="1"/>
        <v>5.1392807075580187</v>
      </c>
    </row>
    <row r="48" spans="3:4" x14ac:dyDescent="0.25">
      <c r="C48">
        <v>46</v>
      </c>
      <c r="D48" s="6">
        <f t="shared" si="1"/>
        <v>5.1987983892943177</v>
      </c>
    </row>
    <row r="49" spans="3:10" x14ac:dyDescent="0.25">
      <c r="C49">
        <v>47</v>
      </c>
      <c r="D49" s="6">
        <f t="shared" si="1"/>
        <v>5.257367700130267</v>
      </c>
    </row>
    <row r="50" spans="3:10" x14ac:dyDescent="0.25">
      <c r="C50">
        <v>48</v>
      </c>
      <c r="D50" s="6">
        <f t="shared" si="1"/>
        <v>5.3150216660034779</v>
      </c>
    </row>
    <row r="51" spans="3:10" x14ac:dyDescent="0.25">
      <c r="C51">
        <v>49</v>
      </c>
      <c r="D51" s="6">
        <f t="shared" si="1"/>
        <v>5.3717915517730539</v>
      </c>
      <c r="J51" s="2"/>
    </row>
    <row r="52" spans="3:10" x14ac:dyDescent="0.25">
      <c r="C52">
        <v>50</v>
      </c>
      <c r="D52" s="6">
        <f t="shared" si="1"/>
        <v>5.4277069866280101</v>
      </c>
      <c r="J52" s="2"/>
    </row>
    <row r="53" spans="3:10" x14ac:dyDescent="0.25">
      <c r="C53">
        <v>51</v>
      </c>
      <c r="D53" s="6">
        <f t="shared" si="1"/>
        <v>5.4827960784043048</v>
      </c>
      <c r="J53" s="2"/>
    </row>
    <row r="54" spans="3:10" x14ac:dyDescent="0.25">
      <c r="C54">
        <v>52</v>
      </c>
      <c r="D54" s="6">
        <f t="shared" si="1"/>
        <v>5.5370855179752168</v>
      </c>
      <c r="J54" s="2"/>
    </row>
    <row r="55" spans="3:10" x14ac:dyDescent="0.25">
      <c r="C55">
        <v>53</v>
      </c>
      <c r="D55" s="6">
        <f t="shared" si="1"/>
        <v>5.5906006747390293</v>
      </c>
      <c r="J55" s="2"/>
    </row>
    <row r="56" spans="3:10" x14ac:dyDescent="0.25">
      <c r="C56">
        <v>54</v>
      </c>
      <c r="D56" s="6">
        <f t="shared" si="1"/>
        <v>5.6433656841062509</v>
      </c>
      <c r="J56" s="2"/>
    </row>
    <row r="57" spans="3:10" x14ac:dyDescent="0.25">
      <c r="C57">
        <v>55</v>
      </c>
      <c r="D57" s="6">
        <f t="shared" si="1"/>
        <v>5.6954035277831485</v>
      </c>
      <c r="J57" s="2"/>
    </row>
    <row r="58" spans="3:10" x14ac:dyDescent="0.25">
      <c r="C58">
        <v>56</v>
      </c>
      <c r="D58" s="6">
        <f t="shared" si="1"/>
        <v>5.7467361075570098</v>
      </c>
      <c r="J58" s="2"/>
    </row>
    <row r="59" spans="3:10" x14ac:dyDescent="0.25">
      <c r="C59">
        <v>57</v>
      </c>
      <c r="D59" s="6">
        <f t="shared" si="1"/>
        <v>5.7973843132087293</v>
      </c>
      <c r="J59" s="2"/>
    </row>
    <row r="60" spans="3:10" x14ac:dyDescent="0.25">
      <c r="C60">
        <v>58</v>
      </c>
      <c r="D60" s="6">
        <f t="shared" si="1"/>
        <v>5.8473680851089389</v>
      </c>
      <c r="J60" s="2"/>
    </row>
    <row r="61" spans="3:10" x14ac:dyDescent="0.25">
      <c r="C61">
        <v>59</v>
      </c>
      <c r="D61" s="6">
        <f t="shared" si="1"/>
        <v>5.8967064719930251</v>
      </c>
      <c r="J61" s="2"/>
    </row>
    <row r="62" spans="3:10" x14ac:dyDescent="0.25">
      <c r="C62">
        <v>60</v>
      </c>
      <c r="D62" s="6">
        <f t="shared" si="1"/>
        <v>5.9454176843571442</v>
      </c>
      <c r="J62" s="2"/>
    </row>
    <row r="63" spans="3:10" x14ac:dyDescent="0.25">
      <c r="C63">
        <v>61</v>
      </c>
      <c r="D63" s="6">
        <f t="shared" si="1"/>
        <v>5.9935191438704782</v>
      </c>
      <c r="J63" s="2"/>
    </row>
    <row r="64" spans="3:10" x14ac:dyDescent="0.25">
      <c r="C64">
        <v>62</v>
      </c>
      <c r="D64" s="6">
        <f t="shared" si="1"/>
        <v>6.0410275291578097</v>
      </c>
    </row>
    <row r="65" spans="3:4" x14ac:dyDescent="0.25">
      <c r="C65">
        <v>63</v>
      </c>
      <c r="D65" s="6">
        <f t="shared" si="1"/>
        <v>6.0879588182701108</v>
      </c>
    </row>
    <row r="66" spans="3:4" x14ac:dyDescent="0.25">
      <c r="C66">
        <v>64</v>
      </c>
      <c r="D66" s="6">
        <f t="shared" si="1"/>
        <v>6.1343283281286807</v>
      </c>
    </row>
    <row r="67" spans="3:4" x14ac:dyDescent="0.25">
      <c r="C67">
        <v>65</v>
      </c>
      <c r="D67" s="6">
        <f t="shared" ref="D67:D87" si="4">(((IFERROR(LOG(C67),0)/MAX(C$2:C$100))/(LOG(MAX(C$2:C$100))/MAX(C$2:C$100)))^2)*(VLOOKUP(C$1,$J$2:$K$5,2,FALSE)*100)</f>
        <v>6.1801507511999505</v>
      </c>
    </row>
    <row r="68" spans="3:4" x14ac:dyDescent="0.25">
      <c r="C68">
        <v>66</v>
      </c>
      <c r="D68" s="6">
        <f t="shared" si="4"/>
        <v>6.2254401896327805</v>
      </c>
    </row>
    <row r="69" spans="3:4" x14ac:dyDescent="0.25">
      <c r="C69">
        <v>67</v>
      </c>
      <c r="D69" s="6">
        <f t="shared" si="4"/>
        <v>6.270210187067649</v>
      </c>
    </row>
    <row r="70" spans="3:4" x14ac:dyDescent="0.25">
      <c r="C70">
        <v>68</v>
      </c>
      <c r="D70" s="6">
        <f t="shared" si="4"/>
        <v>6.3144737583071393</v>
      </c>
    </row>
    <row r="71" spans="3:4" x14ac:dyDescent="0.25">
      <c r="C71">
        <v>69</v>
      </c>
      <c r="D71" s="6">
        <f t="shared" si="4"/>
        <v>6.3582434170192643</v>
      </c>
    </row>
    <row r="72" spans="3:4" x14ac:dyDescent="0.25">
      <c r="C72">
        <v>70</v>
      </c>
      <c r="D72" s="6">
        <f t="shared" si="4"/>
        <v>6.401531201629334</v>
      </c>
    </row>
    <row r="73" spans="3:4" x14ac:dyDescent="0.25">
      <c r="C73">
        <v>71</v>
      </c>
      <c r="D73" s="6">
        <f t="shared" si="4"/>
        <v>6.4443486995416626</v>
      </c>
    </row>
    <row r="74" spans="3:4" x14ac:dyDescent="0.25">
      <c r="C74">
        <v>72</v>
      </c>
      <c r="D74" s="6">
        <f t="shared" si="4"/>
        <v>6.4867070698198397</v>
      </c>
    </row>
    <row r="75" spans="3:4" x14ac:dyDescent="0.25">
      <c r="C75">
        <v>73</v>
      </c>
      <c r="D75" s="6">
        <f t="shared" si="4"/>
        <v>6.5286170644425692</v>
      </c>
    </row>
    <row r="76" spans="3:4" x14ac:dyDescent="0.25">
      <c r="C76">
        <v>74</v>
      </c>
      <c r="D76" s="6">
        <f t="shared" si="4"/>
        <v>6.5700890482420551</v>
      </c>
    </row>
    <row r="77" spans="3:4" x14ac:dyDescent="0.25">
      <c r="C77">
        <v>75</v>
      </c>
      <c r="D77" s="6">
        <f t="shared" si="4"/>
        <v>6.6111330176223424</v>
      </c>
    </row>
    <row r="78" spans="3:4" x14ac:dyDescent="0.25">
      <c r="C78">
        <v>76</v>
      </c>
      <c r="D78" s="6">
        <f t="shared" si="4"/>
        <v>6.6517586181469008</v>
      </c>
    </row>
    <row r="79" spans="3:4" x14ac:dyDescent="0.25">
      <c r="C79">
        <v>77</v>
      </c>
      <c r="D79" s="6">
        <f t="shared" si="4"/>
        <v>6.6919751610769955</v>
      </c>
    </row>
    <row r="80" spans="3:4" x14ac:dyDescent="0.25">
      <c r="C80">
        <v>78</v>
      </c>
      <c r="D80" s="6">
        <f t="shared" si="4"/>
        <v>6.7317916389357171</v>
      </c>
    </row>
    <row r="81" spans="3:4" x14ac:dyDescent="0.25">
      <c r="C81">
        <v>79</v>
      </c>
      <c r="D81" s="6">
        <f t="shared" si="4"/>
        <v>6.771216740166202</v>
      </c>
    </row>
    <row r="82" spans="3:4" x14ac:dyDescent="0.25">
      <c r="C82">
        <v>80</v>
      </c>
      <c r="D82" s="6">
        <f t="shared" si="4"/>
        <v>6.8102588629471308</v>
      </c>
    </row>
    <row r="83" spans="3:4" x14ac:dyDescent="0.25">
      <c r="C83">
        <v>81</v>
      </c>
      <c r="D83" s="6">
        <f t="shared" si="4"/>
        <v>6.8489261282233826</v>
      </c>
    </row>
    <row r="84" spans="3:4" x14ac:dyDescent="0.25">
      <c r="C84">
        <v>82</v>
      </c>
      <c r="D84" s="6">
        <f t="shared" si="4"/>
        <v>6.887226392005191</v>
      </c>
    </row>
    <row r="85" spans="3:4" x14ac:dyDescent="0.25">
      <c r="C85">
        <v>83</v>
      </c>
      <c r="D85" s="6">
        <f t="shared" si="4"/>
        <v>6.9251672569848726</v>
      </c>
    </row>
    <row r="86" spans="3:4" x14ac:dyDescent="0.25">
      <c r="C86">
        <v>84</v>
      </c>
      <c r="D86" s="6">
        <f t="shared" si="4"/>
        <v>6.9627560835164584</v>
      </c>
    </row>
    <row r="87" spans="3:4" x14ac:dyDescent="0.25">
      <c r="C87">
        <v>85</v>
      </c>
      <c r="D87" s="6">
        <f t="shared" si="4"/>
        <v>7.0000000000000009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124" workbookViewId="0">
      <selection activeCell="A153" sqref="A153"/>
    </sheetView>
  </sheetViews>
  <sheetFormatPr defaultRowHeight="15" x14ac:dyDescent="0.25"/>
  <cols>
    <col min="1" max="1" width="27.140625" customWidth="1"/>
    <col min="2" max="2" width="27.7109375" bestFit="1" customWidth="1"/>
    <col min="3" max="4" width="27.140625" customWidth="1"/>
    <col min="5" max="5" width="15.28515625" customWidth="1"/>
    <col min="6" max="6" width="12.7109375" customWidth="1"/>
    <col min="14" max="14" width="14.28515625" bestFit="1" customWidth="1"/>
  </cols>
  <sheetData>
    <row r="1" spans="1:6" x14ac:dyDescent="0.25">
      <c r="A1" t="s">
        <v>257</v>
      </c>
      <c r="B1" t="s">
        <v>257</v>
      </c>
      <c r="C1" t="s">
        <v>160</v>
      </c>
      <c r="D1" t="s">
        <v>27</v>
      </c>
      <c r="E1" t="s">
        <v>182</v>
      </c>
      <c r="F1" t="s">
        <v>183</v>
      </c>
    </row>
    <row r="2" spans="1:6" x14ac:dyDescent="0.25">
      <c r="A2" t="s">
        <v>90</v>
      </c>
      <c r="B2" t="str">
        <f t="shared" ref="B2:B33" si="0">A2</f>
        <v>Aayla Secura</v>
      </c>
      <c r="C2" t="s">
        <v>200</v>
      </c>
      <c r="D2" t="s">
        <v>169</v>
      </c>
      <c r="E2">
        <v>4</v>
      </c>
    </row>
    <row r="3" spans="1:6" x14ac:dyDescent="0.25">
      <c r="A3" t="s">
        <v>91</v>
      </c>
      <c r="B3" t="str">
        <f t="shared" si="0"/>
        <v>Admiral Ackbar</v>
      </c>
      <c r="C3" t="s">
        <v>10</v>
      </c>
      <c r="E3">
        <v>4</v>
      </c>
    </row>
    <row r="4" spans="1:6" x14ac:dyDescent="0.25">
      <c r="A4" t="s">
        <v>92</v>
      </c>
      <c r="B4" t="str">
        <f t="shared" si="0"/>
        <v>Ahsoka Tano</v>
      </c>
      <c r="C4" t="s">
        <v>200</v>
      </c>
      <c r="D4" t="s">
        <v>169</v>
      </c>
      <c r="E4">
        <v>4</v>
      </c>
    </row>
    <row r="5" spans="1:6" x14ac:dyDescent="0.25">
      <c r="A5" t="s">
        <v>93</v>
      </c>
      <c r="B5" t="str">
        <f t="shared" si="0"/>
        <v>Ahsoka Tano (Fulcrum)</v>
      </c>
      <c r="C5" t="s">
        <v>10</v>
      </c>
      <c r="D5" t="s">
        <v>74</v>
      </c>
      <c r="E5">
        <v>3</v>
      </c>
      <c r="F5">
        <v>1</v>
      </c>
    </row>
    <row r="6" spans="1:6" x14ac:dyDescent="0.25">
      <c r="A6" t="s">
        <v>184</v>
      </c>
      <c r="B6" t="str">
        <f t="shared" si="0"/>
        <v>Amilyn Holdo</v>
      </c>
      <c r="C6" t="s">
        <v>12</v>
      </c>
      <c r="E6">
        <v>3</v>
      </c>
      <c r="F6">
        <v>1</v>
      </c>
    </row>
    <row r="7" spans="1:6" x14ac:dyDescent="0.25">
      <c r="A7" t="s">
        <v>60</v>
      </c>
      <c r="B7" t="str">
        <f t="shared" si="0"/>
        <v>Asajj Ventress</v>
      </c>
      <c r="C7" t="s">
        <v>201</v>
      </c>
      <c r="D7" t="s">
        <v>21</v>
      </c>
      <c r="E7">
        <v>3</v>
      </c>
      <c r="F7">
        <v>2</v>
      </c>
    </row>
    <row r="8" spans="1:6" x14ac:dyDescent="0.25">
      <c r="A8" t="s">
        <v>94</v>
      </c>
      <c r="B8" t="str">
        <f t="shared" si="0"/>
        <v>B2 Super Battle Droid</v>
      </c>
      <c r="C8" t="s">
        <v>198</v>
      </c>
      <c r="D8" t="s">
        <v>19</v>
      </c>
      <c r="E8">
        <v>3</v>
      </c>
    </row>
    <row r="9" spans="1:6" x14ac:dyDescent="0.25">
      <c r="A9" t="s">
        <v>95</v>
      </c>
      <c r="B9" t="str">
        <f t="shared" si="0"/>
        <v>Barriss Offee</v>
      </c>
      <c r="C9" t="s">
        <v>200</v>
      </c>
      <c r="D9" t="s">
        <v>162</v>
      </c>
      <c r="E9">
        <v>3</v>
      </c>
      <c r="F9">
        <v>1</v>
      </c>
    </row>
    <row r="10" spans="1:6" x14ac:dyDescent="0.25">
      <c r="A10" t="s">
        <v>96</v>
      </c>
      <c r="B10" t="str">
        <f t="shared" si="0"/>
        <v>Baze Malbus</v>
      </c>
      <c r="C10" t="s">
        <v>202</v>
      </c>
      <c r="D10" t="s">
        <v>30</v>
      </c>
      <c r="E10">
        <v>5</v>
      </c>
    </row>
    <row r="11" spans="1:6" x14ac:dyDescent="0.25">
      <c r="A11" t="s">
        <v>67</v>
      </c>
      <c r="B11" t="str">
        <f t="shared" si="0"/>
        <v>BB-8</v>
      </c>
      <c r="C11" t="s">
        <v>203</v>
      </c>
      <c r="D11" t="s">
        <v>12</v>
      </c>
      <c r="E11">
        <v>3</v>
      </c>
      <c r="F11">
        <v>2</v>
      </c>
    </row>
    <row r="12" spans="1:6" x14ac:dyDescent="0.25">
      <c r="A12" t="s">
        <v>97</v>
      </c>
      <c r="B12" t="str">
        <f t="shared" si="0"/>
        <v>Biggs Darklighter</v>
      </c>
      <c r="C12" t="s">
        <v>10</v>
      </c>
      <c r="D12" t="s">
        <v>74</v>
      </c>
      <c r="E12">
        <v>3</v>
      </c>
    </row>
    <row r="13" spans="1:6" x14ac:dyDescent="0.25">
      <c r="A13" t="s">
        <v>3</v>
      </c>
      <c r="B13" t="str">
        <f t="shared" si="0"/>
        <v>Bistan</v>
      </c>
      <c r="C13" t="s">
        <v>202</v>
      </c>
      <c r="E13">
        <v>4</v>
      </c>
    </row>
    <row r="14" spans="1:6" x14ac:dyDescent="0.25">
      <c r="A14" t="s">
        <v>39</v>
      </c>
      <c r="B14" t="str">
        <f t="shared" si="0"/>
        <v>Boba Fett</v>
      </c>
      <c r="C14" t="s">
        <v>196</v>
      </c>
      <c r="D14" t="s">
        <v>18</v>
      </c>
      <c r="E14">
        <v>5</v>
      </c>
      <c r="F14">
        <v>1</v>
      </c>
    </row>
    <row r="15" spans="1:6" x14ac:dyDescent="0.25">
      <c r="A15" t="s">
        <v>98</v>
      </c>
      <c r="B15" t="str">
        <f t="shared" si="0"/>
        <v>Bodhi Rook</v>
      </c>
      <c r="C15" t="s">
        <v>202</v>
      </c>
      <c r="E15">
        <v>3</v>
      </c>
      <c r="F15">
        <v>1</v>
      </c>
    </row>
    <row r="16" spans="1:6" x14ac:dyDescent="0.25">
      <c r="A16" t="s">
        <v>256</v>
      </c>
      <c r="B16" t="str">
        <f t="shared" si="0"/>
        <v>Bossk</v>
      </c>
      <c r="C16" t="s">
        <v>196</v>
      </c>
      <c r="D16" t="s">
        <v>18</v>
      </c>
      <c r="E16">
        <v>4</v>
      </c>
      <c r="F16">
        <v>2</v>
      </c>
    </row>
    <row r="17" spans="1:6" x14ac:dyDescent="0.25">
      <c r="A17" t="s">
        <v>38</v>
      </c>
      <c r="B17" t="str">
        <f t="shared" si="0"/>
        <v>Cad Bane</v>
      </c>
      <c r="C17" t="s">
        <v>196</v>
      </c>
      <c r="D17" t="s">
        <v>18</v>
      </c>
      <c r="E17">
        <v>3</v>
      </c>
    </row>
    <row r="18" spans="1:6" x14ac:dyDescent="0.25">
      <c r="A18" t="s">
        <v>163</v>
      </c>
      <c r="B18" t="str">
        <f t="shared" si="0"/>
        <v>Captain Han Solo</v>
      </c>
      <c r="C18" t="s">
        <v>204</v>
      </c>
      <c r="D18" t="s">
        <v>170</v>
      </c>
      <c r="E18">
        <v>3</v>
      </c>
      <c r="F18">
        <v>1</v>
      </c>
    </row>
    <row r="19" spans="1:6" x14ac:dyDescent="0.25">
      <c r="A19" t="s">
        <v>45</v>
      </c>
      <c r="B19" t="str">
        <f t="shared" si="0"/>
        <v>Captain Phasma</v>
      </c>
      <c r="C19" t="s">
        <v>36</v>
      </c>
      <c r="D19" t="s">
        <v>36</v>
      </c>
      <c r="E19">
        <v>3</v>
      </c>
      <c r="F19">
        <v>1</v>
      </c>
    </row>
    <row r="20" spans="1:6" x14ac:dyDescent="0.25">
      <c r="A20" t="s">
        <v>99</v>
      </c>
      <c r="B20" t="str">
        <f t="shared" si="0"/>
        <v>Cassian Andor</v>
      </c>
      <c r="C20" t="s">
        <v>202</v>
      </c>
      <c r="D20" t="s">
        <v>30</v>
      </c>
      <c r="E20">
        <v>3</v>
      </c>
      <c r="F20">
        <v>1</v>
      </c>
    </row>
    <row r="21" spans="1:6" x14ac:dyDescent="0.25">
      <c r="A21" t="s">
        <v>75</v>
      </c>
      <c r="B21" t="str">
        <f t="shared" si="0"/>
        <v>CC-2224 "Cody"</v>
      </c>
      <c r="C21" t="s">
        <v>197</v>
      </c>
      <c r="D21" t="s">
        <v>32</v>
      </c>
      <c r="E21">
        <v>3</v>
      </c>
      <c r="F21">
        <v>1</v>
      </c>
    </row>
    <row r="22" spans="1:6" x14ac:dyDescent="0.25">
      <c r="A22" t="s">
        <v>100</v>
      </c>
      <c r="B22" t="str">
        <f t="shared" si="0"/>
        <v>Chief Chirpa</v>
      </c>
      <c r="C22" t="s">
        <v>14</v>
      </c>
      <c r="D22" t="s">
        <v>14</v>
      </c>
      <c r="E22">
        <v>3</v>
      </c>
      <c r="F22">
        <v>1</v>
      </c>
    </row>
    <row r="23" spans="1:6" x14ac:dyDescent="0.25">
      <c r="A23" t="s">
        <v>101</v>
      </c>
      <c r="B23" t="str">
        <f t="shared" si="0"/>
        <v>Chief Nebit</v>
      </c>
      <c r="C23" t="s">
        <v>83</v>
      </c>
      <c r="D23" t="s">
        <v>83</v>
      </c>
      <c r="E23">
        <v>4</v>
      </c>
    </row>
    <row r="24" spans="1:6" x14ac:dyDescent="0.25">
      <c r="A24" t="s">
        <v>102</v>
      </c>
      <c r="B24" t="str">
        <f t="shared" si="0"/>
        <v>Chirrut Imwe</v>
      </c>
      <c r="C24" t="s">
        <v>202</v>
      </c>
      <c r="D24" t="s">
        <v>30</v>
      </c>
      <c r="E24">
        <v>5</v>
      </c>
    </row>
    <row r="25" spans="1:6" x14ac:dyDescent="0.25">
      <c r="A25" t="s">
        <v>76</v>
      </c>
      <c r="B25" t="str">
        <f t="shared" si="0"/>
        <v>Chopper</v>
      </c>
      <c r="C25" t="s">
        <v>205</v>
      </c>
      <c r="D25" t="s">
        <v>31</v>
      </c>
      <c r="E25">
        <v>4</v>
      </c>
    </row>
    <row r="26" spans="1:6" x14ac:dyDescent="0.25">
      <c r="A26" t="s">
        <v>103</v>
      </c>
      <c r="B26" t="str">
        <f t="shared" si="0"/>
        <v>Clone Sergeant - Phase I</v>
      </c>
      <c r="C26" t="s">
        <v>197</v>
      </c>
      <c r="D26" t="s">
        <v>32</v>
      </c>
      <c r="E26">
        <v>3</v>
      </c>
    </row>
    <row r="27" spans="1:6" x14ac:dyDescent="0.25">
      <c r="A27" t="s">
        <v>104</v>
      </c>
      <c r="B27" t="str">
        <f t="shared" si="0"/>
        <v>Clone Wars Chewbacca</v>
      </c>
      <c r="C27" t="s">
        <v>212</v>
      </c>
      <c r="E27">
        <v>3</v>
      </c>
      <c r="F27">
        <v>1</v>
      </c>
    </row>
    <row r="28" spans="1:6" x14ac:dyDescent="0.25">
      <c r="A28" t="s">
        <v>53</v>
      </c>
      <c r="B28" t="str">
        <f t="shared" si="0"/>
        <v>Colonel Starck</v>
      </c>
      <c r="C28" t="s">
        <v>206</v>
      </c>
      <c r="D28" t="s">
        <v>228</v>
      </c>
      <c r="E28">
        <v>3</v>
      </c>
      <c r="F28">
        <v>1</v>
      </c>
    </row>
    <row r="29" spans="1:6" x14ac:dyDescent="0.25">
      <c r="A29" t="s">
        <v>61</v>
      </c>
      <c r="B29" t="str">
        <f t="shared" si="0"/>
        <v>Commander Luke Skywalker</v>
      </c>
      <c r="C29" t="s">
        <v>10</v>
      </c>
      <c r="D29" t="s">
        <v>73</v>
      </c>
      <c r="E29">
        <v>3</v>
      </c>
      <c r="F29">
        <v>3</v>
      </c>
    </row>
    <row r="30" spans="1:6" x14ac:dyDescent="0.25">
      <c r="A30" t="s">
        <v>105</v>
      </c>
      <c r="B30" t="str">
        <f t="shared" si="0"/>
        <v>Coruscant Underworld Police</v>
      </c>
      <c r="C30" t="s">
        <v>158</v>
      </c>
      <c r="E30">
        <v>3</v>
      </c>
    </row>
    <row r="31" spans="1:6" x14ac:dyDescent="0.25">
      <c r="A31" t="s">
        <v>106</v>
      </c>
      <c r="B31" t="str">
        <f t="shared" si="0"/>
        <v>Count Dooku</v>
      </c>
      <c r="C31" t="s">
        <v>207</v>
      </c>
      <c r="E31">
        <v>3</v>
      </c>
      <c r="F31">
        <v>1</v>
      </c>
    </row>
    <row r="32" spans="1:6" x14ac:dyDescent="0.25">
      <c r="A32" t="s">
        <v>77</v>
      </c>
      <c r="B32" t="str">
        <f t="shared" si="0"/>
        <v>CT-21-0408 "Echo"</v>
      </c>
      <c r="C32" t="s">
        <v>197</v>
      </c>
      <c r="D32" t="s">
        <v>32</v>
      </c>
      <c r="E32">
        <v>4</v>
      </c>
    </row>
    <row r="33" spans="1:6" x14ac:dyDescent="0.25">
      <c r="A33" t="s">
        <v>78</v>
      </c>
      <c r="B33" t="str">
        <f t="shared" si="0"/>
        <v>CT-5555 "Fives"</v>
      </c>
      <c r="C33" t="s">
        <v>197</v>
      </c>
      <c r="D33" t="s">
        <v>32</v>
      </c>
      <c r="E33">
        <v>3</v>
      </c>
      <c r="F33">
        <v>1</v>
      </c>
    </row>
    <row r="34" spans="1:6" x14ac:dyDescent="0.25">
      <c r="A34" t="s">
        <v>79</v>
      </c>
      <c r="B34" t="str">
        <f t="shared" ref="B34:B65" si="1">A34</f>
        <v>CT-7567 "Rex"</v>
      </c>
      <c r="C34" t="s">
        <v>197</v>
      </c>
      <c r="D34" t="s">
        <v>32</v>
      </c>
      <c r="E34">
        <v>4</v>
      </c>
    </row>
    <row r="35" spans="1:6" x14ac:dyDescent="0.25">
      <c r="A35" t="s">
        <v>69</v>
      </c>
      <c r="B35" t="str">
        <f t="shared" si="1"/>
        <v>Darth Maul</v>
      </c>
      <c r="C35" t="s">
        <v>22</v>
      </c>
      <c r="D35" t="s">
        <v>222</v>
      </c>
      <c r="E35">
        <v>3</v>
      </c>
      <c r="F35">
        <v>1</v>
      </c>
    </row>
    <row r="36" spans="1:6" x14ac:dyDescent="0.25">
      <c r="A36" t="s">
        <v>107</v>
      </c>
      <c r="B36" t="str">
        <f t="shared" si="1"/>
        <v>Darth Nihilus</v>
      </c>
      <c r="C36" t="s">
        <v>22</v>
      </c>
      <c r="D36" t="s">
        <v>220</v>
      </c>
      <c r="E36">
        <v>3</v>
      </c>
      <c r="F36">
        <v>2</v>
      </c>
    </row>
    <row r="37" spans="1:6" x14ac:dyDescent="0.25">
      <c r="A37" t="s">
        <v>70</v>
      </c>
      <c r="B37" t="str">
        <f t="shared" si="1"/>
        <v>Darth Sidious</v>
      </c>
      <c r="C37" t="s">
        <v>22</v>
      </c>
      <c r="E37">
        <v>3</v>
      </c>
      <c r="F37">
        <v>1</v>
      </c>
    </row>
    <row r="38" spans="1:6" x14ac:dyDescent="0.25">
      <c r="A38" t="s">
        <v>193</v>
      </c>
      <c r="B38" t="str">
        <f t="shared" si="1"/>
        <v>Darth Sion</v>
      </c>
      <c r="C38" t="s">
        <v>22</v>
      </c>
      <c r="D38" t="s">
        <v>219</v>
      </c>
      <c r="E38">
        <v>4</v>
      </c>
      <c r="F38">
        <v>1</v>
      </c>
    </row>
    <row r="39" spans="1:6" x14ac:dyDescent="0.25">
      <c r="A39" t="s">
        <v>194</v>
      </c>
      <c r="B39" t="str">
        <f t="shared" si="1"/>
        <v>Darth Traya</v>
      </c>
      <c r="C39" t="s">
        <v>22</v>
      </c>
      <c r="D39" t="s">
        <v>219</v>
      </c>
      <c r="E39">
        <v>3</v>
      </c>
      <c r="F39">
        <v>2</v>
      </c>
    </row>
    <row r="40" spans="1:6" x14ac:dyDescent="0.25">
      <c r="A40" t="s">
        <v>40</v>
      </c>
      <c r="B40" t="str">
        <f t="shared" si="1"/>
        <v>Darth Vader</v>
      </c>
      <c r="C40" t="s">
        <v>208</v>
      </c>
      <c r="D40" t="s">
        <v>221</v>
      </c>
      <c r="E40">
        <v>3</v>
      </c>
      <c r="F40">
        <v>2</v>
      </c>
    </row>
    <row r="41" spans="1:6" x14ac:dyDescent="0.25">
      <c r="A41" t="s">
        <v>80</v>
      </c>
      <c r="B41" t="str">
        <f t="shared" si="1"/>
        <v>Dathcha</v>
      </c>
      <c r="C41" t="s">
        <v>83</v>
      </c>
      <c r="D41" t="s">
        <v>83</v>
      </c>
      <c r="E41">
        <v>4</v>
      </c>
    </row>
    <row r="42" spans="1:6" x14ac:dyDescent="0.25">
      <c r="A42" t="s">
        <v>50</v>
      </c>
      <c r="B42" t="str">
        <f t="shared" si="1"/>
        <v>Death Trooper</v>
      </c>
      <c r="C42" t="s">
        <v>206</v>
      </c>
      <c r="D42" t="s">
        <v>35</v>
      </c>
      <c r="E42">
        <v>3</v>
      </c>
      <c r="F42">
        <v>1</v>
      </c>
    </row>
    <row r="43" spans="1:6" x14ac:dyDescent="0.25">
      <c r="A43" t="s">
        <v>17</v>
      </c>
      <c r="B43" t="str">
        <f t="shared" si="1"/>
        <v>Dengar</v>
      </c>
      <c r="C43" t="s">
        <v>196</v>
      </c>
      <c r="D43" t="s">
        <v>18</v>
      </c>
      <c r="E43">
        <v>5</v>
      </c>
      <c r="F43">
        <v>1</v>
      </c>
    </row>
    <row r="44" spans="1:6" x14ac:dyDescent="0.25">
      <c r="A44" t="s">
        <v>108</v>
      </c>
      <c r="B44" t="str">
        <f t="shared" si="1"/>
        <v>Director Krennic</v>
      </c>
      <c r="C44" t="s">
        <v>20</v>
      </c>
      <c r="E44">
        <v>4</v>
      </c>
      <c r="F44">
        <v>1</v>
      </c>
    </row>
    <row r="45" spans="1:6" x14ac:dyDescent="0.25">
      <c r="A45" t="s">
        <v>109</v>
      </c>
      <c r="B45" t="str">
        <f t="shared" si="1"/>
        <v>Eeth Koth</v>
      </c>
      <c r="C45" t="s">
        <v>200</v>
      </c>
      <c r="E45">
        <v>4</v>
      </c>
    </row>
    <row r="46" spans="1:6" x14ac:dyDescent="0.25">
      <c r="A46" t="s">
        <v>43</v>
      </c>
      <c r="B46" t="str">
        <f t="shared" si="1"/>
        <v>Emperor Palpatine</v>
      </c>
      <c r="C46" t="s">
        <v>208</v>
      </c>
      <c r="D46" t="s">
        <v>221</v>
      </c>
      <c r="E46">
        <v>3</v>
      </c>
      <c r="F46">
        <v>2</v>
      </c>
    </row>
    <row r="47" spans="1:6" x14ac:dyDescent="0.25">
      <c r="A47" t="s">
        <v>276</v>
      </c>
      <c r="B47" t="str">
        <f t="shared" si="1"/>
        <v>Enfys Nest</v>
      </c>
      <c r="C47" t="s">
        <v>157</v>
      </c>
      <c r="E47">
        <v>3</v>
      </c>
      <c r="F47">
        <v>1</v>
      </c>
    </row>
    <row r="48" spans="1:6" x14ac:dyDescent="0.25">
      <c r="A48" t="s">
        <v>44</v>
      </c>
      <c r="B48" t="str">
        <f t="shared" si="1"/>
        <v>Ewok Elder</v>
      </c>
      <c r="C48" t="s">
        <v>14</v>
      </c>
      <c r="D48" t="s">
        <v>14</v>
      </c>
      <c r="E48">
        <v>3</v>
      </c>
    </row>
    <row r="49" spans="1:6" x14ac:dyDescent="0.25">
      <c r="A49" t="s">
        <v>110</v>
      </c>
      <c r="B49" t="str">
        <f t="shared" si="1"/>
        <v>Ewok Scout</v>
      </c>
      <c r="C49" t="s">
        <v>14</v>
      </c>
      <c r="D49" t="s">
        <v>14</v>
      </c>
      <c r="E49">
        <v>3</v>
      </c>
    </row>
    <row r="50" spans="1:6" x14ac:dyDescent="0.25">
      <c r="A50" t="s">
        <v>111</v>
      </c>
      <c r="B50" t="str">
        <f t="shared" si="1"/>
        <v>Ezra Bridger</v>
      </c>
      <c r="C50" t="s">
        <v>209</v>
      </c>
      <c r="D50" t="s">
        <v>31</v>
      </c>
      <c r="E50">
        <v>3</v>
      </c>
      <c r="F50">
        <v>1</v>
      </c>
    </row>
    <row r="51" spans="1:6" x14ac:dyDescent="0.25">
      <c r="A51" t="s">
        <v>13</v>
      </c>
      <c r="B51" t="str">
        <f t="shared" si="1"/>
        <v>Finn</v>
      </c>
      <c r="C51" t="s">
        <v>12</v>
      </c>
      <c r="D51" t="s">
        <v>12</v>
      </c>
      <c r="E51">
        <v>3</v>
      </c>
      <c r="F51">
        <v>1</v>
      </c>
    </row>
    <row r="52" spans="1:6" x14ac:dyDescent="0.25">
      <c r="A52" t="s">
        <v>180</v>
      </c>
      <c r="B52" t="str">
        <f t="shared" si="1"/>
        <v>First Order Executioner</v>
      </c>
      <c r="C52" t="s">
        <v>36</v>
      </c>
      <c r="E52">
        <v>3</v>
      </c>
    </row>
    <row r="53" spans="1:6" x14ac:dyDescent="0.25">
      <c r="A53" t="s">
        <v>48</v>
      </c>
      <c r="B53" t="str">
        <f t="shared" si="1"/>
        <v>First Order Officer</v>
      </c>
      <c r="C53" t="s">
        <v>36</v>
      </c>
      <c r="D53" t="s">
        <v>36</v>
      </c>
      <c r="E53">
        <v>3</v>
      </c>
    </row>
    <row r="54" spans="1:6" x14ac:dyDescent="0.25">
      <c r="A54" t="s">
        <v>155</v>
      </c>
      <c r="B54" t="str">
        <f t="shared" si="1"/>
        <v>First Order SF TIE Pilot</v>
      </c>
      <c r="C54" t="s">
        <v>36</v>
      </c>
      <c r="E54">
        <v>3</v>
      </c>
    </row>
    <row r="55" spans="1:6" x14ac:dyDescent="0.25">
      <c r="A55" t="s">
        <v>47</v>
      </c>
      <c r="B55" t="str">
        <f t="shared" si="1"/>
        <v>First Order Stormtrooper</v>
      </c>
      <c r="C55" t="s">
        <v>36</v>
      </c>
      <c r="D55" t="s">
        <v>36</v>
      </c>
      <c r="E55">
        <v>2</v>
      </c>
      <c r="F55">
        <v>1</v>
      </c>
    </row>
    <row r="56" spans="1:6" x14ac:dyDescent="0.25">
      <c r="A56" t="s">
        <v>112</v>
      </c>
      <c r="B56" t="str">
        <f t="shared" si="1"/>
        <v>First Order TIE Pilot</v>
      </c>
      <c r="C56" t="s">
        <v>36</v>
      </c>
      <c r="D56" t="s">
        <v>36</v>
      </c>
      <c r="E56">
        <v>2</v>
      </c>
      <c r="F56">
        <v>1</v>
      </c>
    </row>
    <row r="57" spans="1:6" x14ac:dyDescent="0.25">
      <c r="A57" t="s">
        <v>113</v>
      </c>
      <c r="B57" t="str">
        <f t="shared" si="1"/>
        <v>Gamorrean Guard</v>
      </c>
      <c r="C57" t="s">
        <v>157</v>
      </c>
      <c r="E57">
        <v>3</v>
      </c>
    </row>
    <row r="58" spans="1:6" x14ac:dyDescent="0.25">
      <c r="A58" t="s">
        <v>114</v>
      </c>
      <c r="B58" t="str">
        <f t="shared" si="1"/>
        <v>Gar Saxon</v>
      </c>
      <c r="C58" t="s">
        <v>20</v>
      </c>
      <c r="E58">
        <v>3</v>
      </c>
      <c r="F58">
        <v>1</v>
      </c>
    </row>
    <row r="59" spans="1:6" x14ac:dyDescent="0.25">
      <c r="A59" t="s">
        <v>81</v>
      </c>
      <c r="B59" t="str">
        <f t="shared" si="1"/>
        <v>Garazeb "Zeb" Orrelios</v>
      </c>
      <c r="C59" t="s">
        <v>210</v>
      </c>
      <c r="D59" t="s">
        <v>31</v>
      </c>
      <c r="E59">
        <v>3</v>
      </c>
      <c r="F59">
        <v>1</v>
      </c>
    </row>
    <row r="60" spans="1:6" x14ac:dyDescent="0.25">
      <c r="A60" t="s">
        <v>115</v>
      </c>
      <c r="B60" t="str">
        <f t="shared" si="1"/>
        <v>General Grievous</v>
      </c>
      <c r="C60" t="s">
        <v>198</v>
      </c>
      <c r="D60" t="s">
        <v>19</v>
      </c>
      <c r="E60">
        <v>3</v>
      </c>
    </row>
    <row r="61" spans="1:6" x14ac:dyDescent="0.25">
      <c r="A61" t="s">
        <v>56</v>
      </c>
      <c r="B61" t="str">
        <f t="shared" si="1"/>
        <v>General Kenobi</v>
      </c>
      <c r="C61" t="s">
        <v>200</v>
      </c>
      <c r="D61" t="s">
        <v>162</v>
      </c>
      <c r="E61">
        <v>5</v>
      </c>
    </row>
    <row r="62" spans="1:6" x14ac:dyDescent="0.25">
      <c r="A62" t="s">
        <v>49</v>
      </c>
      <c r="B62" t="str">
        <f t="shared" si="1"/>
        <v>General Veers</v>
      </c>
      <c r="C62" t="s">
        <v>206</v>
      </c>
      <c r="D62" t="s">
        <v>228</v>
      </c>
      <c r="E62">
        <v>3</v>
      </c>
      <c r="F62">
        <v>1</v>
      </c>
    </row>
    <row r="63" spans="1:6" x14ac:dyDescent="0.25">
      <c r="A63" t="s">
        <v>116</v>
      </c>
      <c r="B63" t="str">
        <f t="shared" si="1"/>
        <v>Geonosian Soldier</v>
      </c>
      <c r="C63" t="s">
        <v>211</v>
      </c>
      <c r="E63">
        <v>3</v>
      </c>
    </row>
    <row r="64" spans="1:6" x14ac:dyDescent="0.25">
      <c r="A64" t="s">
        <v>117</v>
      </c>
      <c r="B64" t="str">
        <f t="shared" si="1"/>
        <v>Geonosian Spy</v>
      </c>
      <c r="C64" t="s">
        <v>211</v>
      </c>
      <c r="E64">
        <v>3</v>
      </c>
    </row>
    <row r="65" spans="1:6" x14ac:dyDescent="0.25">
      <c r="A65" t="s">
        <v>118</v>
      </c>
      <c r="B65" t="str">
        <f t="shared" si="1"/>
        <v>Grand Admiral Thrawn</v>
      </c>
      <c r="C65" t="s">
        <v>20</v>
      </c>
      <c r="D65" t="s">
        <v>161</v>
      </c>
      <c r="E65">
        <v>3</v>
      </c>
      <c r="F65">
        <v>2</v>
      </c>
    </row>
    <row r="66" spans="1:6" x14ac:dyDescent="0.25">
      <c r="A66" t="s">
        <v>119</v>
      </c>
      <c r="B66" t="str">
        <f t="shared" ref="B66:B97" si="2">A66</f>
        <v>Grand Master Yoda</v>
      </c>
      <c r="C66" t="s">
        <v>200</v>
      </c>
      <c r="D66" t="s">
        <v>169</v>
      </c>
      <c r="E66">
        <v>3</v>
      </c>
      <c r="F66">
        <v>2</v>
      </c>
    </row>
    <row r="67" spans="1:6" x14ac:dyDescent="0.25">
      <c r="A67" t="s">
        <v>41</v>
      </c>
      <c r="B67" t="str">
        <f t="shared" si="2"/>
        <v>Grand Moff Tarkin</v>
      </c>
      <c r="C67" t="s">
        <v>20</v>
      </c>
      <c r="D67" t="s">
        <v>161</v>
      </c>
      <c r="E67">
        <v>3</v>
      </c>
      <c r="F67">
        <v>2</v>
      </c>
    </row>
    <row r="68" spans="1:6" x14ac:dyDescent="0.25">
      <c r="A68" t="s">
        <v>82</v>
      </c>
      <c r="B68" t="str">
        <f t="shared" si="2"/>
        <v>Greedo</v>
      </c>
      <c r="C68" t="s">
        <v>196</v>
      </c>
      <c r="D68" t="s">
        <v>18</v>
      </c>
      <c r="E68">
        <v>4</v>
      </c>
      <c r="F68">
        <v>1</v>
      </c>
    </row>
    <row r="69" spans="1:6" x14ac:dyDescent="0.25">
      <c r="A69" t="s">
        <v>64</v>
      </c>
      <c r="B69" t="str">
        <f t="shared" si="2"/>
        <v>Han Solo</v>
      </c>
      <c r="C69" t="s">
        <v>204</v>
      </c>
      <c r="D69" t="s">
        <v>73</v>
      </c>
      <c r="E69">
        <v>3</v>
      </c>
      <c r="F69">
        <v>1</v>
      </c>
    </row>
    <row r="70" spans="1:6" x14ac:dyDescent="0.25">
      <c r="A70" t="s">
        <v>120</v>
      </c>
      <c r="B70" t="str">
        <f t="shared" si="2"/>
        <v>Hera Syndulla</v>
      </c>
      <c r="C70" t="s">
        <v>210</v>
      </c>
      <c r="D70" t="s">
        <v>31</v>
      </c>
      <c r="E70">
        <v>3</v>
      </c>
      <c r="F70">
        <v>1</v>
      </c>
    </row>
    <row r="71" spans="1:6" x14ac:dyDescent="0.25">
      <c r="A71" t="s">
        <v>9</v>
      </c>
      <c r="B71" t="str">
        <f t="shared" si="2"/>
        <v>Hermit Yoda</v>
      </c>
      <c r="C71" t="s">
        <v>11</v>
      </c>
      <c r="D71" t="s">
        <v>162</v>
      </c>
      <c r="E71">
        <v>3</v>
      </c>
      <c r="F71">
        <v>2</v>
      </c>
    </row>
    <row r="72" spans="1:6" x14ac:dyDescent="0.25">
      <c r="A72" t="s">
        <v>37</v>
      </c>
      <c r="B72" t="str">
        <f t="shared" si="2"/>
        <v>HK-47</v>
      </c>
      <c r="C72" t="s">
        <v>19</v>
      </c>
      <c r="D72" t="s">
        <v>19</v>
      </c>
      <c r="E72">
        <v>4</v>
      </c>
    </row>
    <row r="73" spans="1:6" x14ac:dyDescent="0.25">
      <c r="A73" t="s">
        <v>121</v>
      </c>
      <c r="B73" t="str">
        <f t="shared" si="2"/>
        <v>Hoth Rebel Scout</v>
      </c>
      <c r="C73" t="s">
        <v>10</v>
      </c>
      <c r="E73">
        <v>3</v>
      </c>
    </row>
    <row r="74" spans="1:6" x14ac:dyDescent="0.25">
      <c r="A74" t="s">
        <v>122</v>
      </c>
      <c r="B74" t="str">
        <f t="shared" si="2"/>
        <v>Hoth Rebel Soldier</v>
      </c>
      <c r="C74" t="s">
        <v>10</v>
      </c>
      <c r="E74">
        <v>3</v>
      </c>
    </row>
    <row r="75" spans="1:6" x14ac:dyDescent="0.25">
      <c r="A75" t="s">
        <v>123</v>
      </c>
      <c r="B75" t="str">
        <f t="shared" si="2"/>
        <v>IG-100 MagnaGuard</v>
      </c>
      <c r="C75" t="s">
        <v>198</v>
      </c>
      <c r="E75">
        <v>3</v>
      </c>
    </row>
    <row r="76" spans="1:6" x14ac:dyDescent="0.25">
      <c r="A76" t="s">
        <v>124</v>
      </c>
      <c r="B76" t="str">
        <f t="shared" si="2"/>
        <v>IG-86 Sentinel Droid</v>
      </c>
      <c r="C76" t="s">
        <v>198</v>
      </c>
      <c r="D76" t="s">
        <v>19</v>
      </c>
      <c r="E76">
        <v>3</v>
      </c>
    </row>
    <row r="77" spans="1:6" x14ac:dyDescent="0.25">
      <c r="A77" t="s">
        <v>34</v>
      </c>
      <c r="B77" t="str">
        <f t="shared" si="2"/>
        <v>IG-88</v>
      </c>
      <c r="C77" t="s">
        <v>225</v>
      </c>
      <c r="D77" t="s">
        <v>18</v>
      </c>
      <c r="E77">
        <v>3</v>
      </c>
      <c r="F77">
        <v>1</v>
      </c>
    </row>
    <row r="78" spans="1:6" x14ac:dyDescent="0.25">
      <c r="A78" t="s">
        <v>125</v>
      </c>
      <c r="B78" t="str">
        <f t="shared" si="2"/>
        <v>Ima-Gun Di</v>
      </c>
      <c r="C78" t="s">
        <v>200</v>
      </c>
      <c r="D78" t="s">
        <v>169</v>
      </c>
      <c r="E78">
        <v>4</v>
      </c>
    </row>
    <row r="79" spans="1:6" x14ac:dyDescent="0.25">
      <c r="A79" t="s">
        <v>153</v>
      </c>
      <c r="B79" t="str">
        <f t="shared" si="2"/>
        <v>Imperial Probe Droid</v>
      </c>
      <c r="C79" t="s">
        <v>199</v>
      </c>
      <c r="D79" t="s">
        <v>227</v>
      </c>
      <c r="E79">
        <v>3</v>
      </c>
      <c r="F79">
        <v>1</v>
      </c>
    </row>
    <row r="80" spans="1:6" x14ac:dyDescent="0.25">
      <c r="A80" t="s">
        <v>126</v>
      </c>
      <c r="B80" t="str">
        <f t="shared" si="2"/>
        <v>Imperial Super Commando</v>
      </c>
      <c r="C80" t="s">
        <v>20</v>
      </c>
      <c r="E80">
        <v>3</v>
      </c>
    </row>
    <row r="81" spans="1:6" x14ac:dyDescent="0.25">
      <c r="A81" t="s">
        <v>83</v>
      </c>
      <c r="B81" t="str">
        <f t="shared" si="2"/>
        <v>Jawa</v>
      </c>
      <c r="C81" t="s">
        <v>83</v>
      </c>
      <c r="D81" t="s">
        <v>83</v>
      </c>
      <c r="E81">
        <v>3</v>
      </c>
    </row>
    <row r="82" spans="1:6" x14ac:dyDescent="0.25">
      <c r="A82" t="s">
        <v>127</v>
      </c>
      <c r="B82" t="str">
        <f t="shared" si="2"/>
        <v>Jawa Engineer</v>
      </c>
      <c r="C82" t="s">
        <v>83</v>
      </c>
      <c r="D82" t="s">
        <v>83</v>
      </c>
      <c r="E82">
        <v>4</v>
      </c>
    </row>
    <row r="83" spans="1:6" x14ac:dyDescent="0.25">
      <c r="A83" t="s">
        <v>128</v>
      </c>
      <c r="B83" t="str">
        <f t="shared" si="2"/>
        <v>Jawa Scavenger</v>
      </c>
      <c r="C83" t="s">
        <v>83</v>
      </c>
      <c r="D83" t="s">
        <v>83</v>
      </c>
      <c r="E83">
        <v>4</v>
      </c>
    </row>
    <row r="84" spans="1:6" x14ac:dyDescent="0.25">
      <c r="A84" t="s">
        <v>129</v>
      </c>
      <c r="B84" t="str">
        <f t="shared" si="2"/>
        <v>Jedi Consular</v>
      </c>
      <c r="C84" t="s">
        <v>200</v>
      </c>
      <c r="E84">
        <v>3</v>
      </c>
    </row>
    <row r="85" spans="1:6" x14ac:dyDescent="0.25">
      <c r="A85" t="s">
        <v>55</v>
      </c>
      <c r="B85" t="str">
        <f t="shared" si="2"/>
        <v>Jedi Knight Anakin</v>
      </c>
      <c r="C85" t="s">
        <v>200</v>
      </c>
      <c r="D85" t="s">
        <v>162</v>
      </c>
      <c r="E85">
        <v>4</v>
      </c>
    </row>
    <row r="86" spans="1:6" x14ac:dyDescent="0.25">
      <c r="A86" t="s">
        <v>130</v>
      </c>
      <c r="B86" t="str">
        <f t="shared" si="2"/>
        <v>Jedi Knight Guardian</v>
      </c>
      <c r="C86" t="s">
        <v>200</v>
      </c>
      <c r="E86">
        <v>3</v>
      </c>
    </row>
    <row r="87" spans="1:6" x14ac:dyDescent="0.25">
      <c r="A87" t="s">
        <v>131</v>
      </c>
      <c r="B87" t="str">
        <f t="shared" si="2"/>
        <v>Jyn Erso</v>
      </c>
      <c r="C87" t="s">
        <v>202</v>
      </c>
      <c r="D87" t="s">
        <v>30</v>
      </c>
      <c r="E87">
        <v>3</v>
      </c>
      <c r="F87">
        <v>2</v>
      </c>
    </row>
    <row r="88" spans="1:6" x14ac:dyDescent="0.25">
      <c r="A88" t="s">
        <v>84</v>
      </c>
      <c r="B88" t="str">
        <f t="shared" si="2"/>
        <v>K-2SO</v>
      </c>
      <c r="C88" t="s">
        <v>213</v>
      </c>
      <c r="D88" t="s">
        <v>30</v>
      </c>
      <c r="E88">
        <v>3</v>
      </c>
      <c r="F88">
        <v>1</v>
      </c>
    </row>
    <row r="89" spans="1:6" x14ac:dyDescent="0.25">
      <c r="A89" t="s">
        <v>132</v>
      </c>
      <c r="B89" t="str">
        <f t="shared" si="2"/>
        <v>Kanan Jarrus</v>
      </c>
      <c r="C89" t="s">
        <v>209</v>
      </c>
      <c r="D89" t="s">
        <v>31</v>
      </c>
      <c r="E89">
        <v>3</v>
      </c>
      <c r="F89">
        <v>1</v>
      </c>
    </row>
    <row r="90" spans="1:6" x14ac:dyDescent="0.25">
      <c r="A90" t="s">
        <v>133</v>
      </c>
      <c r="B90" t="str">
        <f t="shared" si="2"/>
        <v>Kit Fisto</v>
      </c>
      <c r="C90" t="s">
        <v>200</v>
      </c>
      <c r="E90">
        <v>4</v>
      </c>
    </row>
    <row r="91" spans="1:6" x14ac:dyDescent="0.25">
      <c r="A91" t="s">
        <v>46</v>
      </c>
      <c r="B91" t="str">
        <f t="shared" si="2"/>
        <v>Kylo Ren</v>
      </c>
      <c r="C91" t="s">
        <v>36</v>
      </c>
      <c r="D91" t="s">
        <v>36</v>
      </c>
      <c r="E91">
        <v>3</v>
      </c>
      <c r="F91">
        <v>1</v>
      </c>
    </row>
    <row r="92" spans="1:6" x14ac:dyDescent="0.25">
      <c r="A92" t="s">
        <v>154</v>
      </c>
      <c r="B92" t="str">
        <f t="shared" si="2"/>
        <v>Kylo Ren (Unmasked)</v>
      </c>
      <c r="C92" t="s">
        <v>36</v>
      </c>
      <c r="D92" t="s">
        <v>36</v>
      </c>
      <c r="E92">
        <v>3</v>
      </c>
      <c r="F92">
        <v>2</v>
      </c>
    </row>
    <row r="93" spans="1:6" x14ac:dyDescent="0.25">
      <c r="A93" t="s">
        <v>363</v>
      </c>
      <c r="B93" t="str">
        <f t="shared" si="2"/>
        <v>L3-37</v>
      </c>
      <c r="C93" t="s">
        <v>364</v>
      </c>
      <c r="E93">
        <v>3</v>
      </c>
      <c r="F93">
        <v>1</v>
      </c>
    </row>
    <row r="94" spans="1:6" x14ac:dyDescent="0.25">
      <c r="A94" t="s">
        <v>65</v>
      </c>
      <c r="B94" t="str">
        <f t="shared" si="2"/>
        <v>Lando Calrissian</v>
      </c>
      <c r="C94" t="s">
        <v>204</v>
      </c>
      <c r="D94" t="s">
        <v>74</v>
      </c>
      <c r="E94">
        <v>4</v>
      </c>
    </row>
    <row r="95" spans="1:6" x14ac:dyDescent="0.25">
      <c r="A95" t="s">
        <v>1</v>
      </c>
      <c r="B95" t="str">
        <f t="shared" si="2"/>
        <v>Lobot</v>
      </c>
      <c r="C95" t="s">
        <v>10</v>
      </c>
      <c r="E95">
        <v>4</v>
      </c>
    </row>
    <row r="96" spans="1:6" x14ac:dyDescent="0.25">
      <c r="A96" t="s">
        <v>8</v>
      </c>
      <c r="B96" t="str">
        <f t="shared" si="2"/>
        <v>Logray</v>
      </c>
      <c r="C96" t="s">
        <v>14</v>
      </c>
      <c r="D96" t="s">
        <v>14</v>
      </c>
      <c r="E96">
        <v>3</v>
      </c>
      <c r="F96">
        <v>1</v>
      </c>
    </row>
    <row r="97" spans="1:6" x14ac:dyDescent="0.25">
      <c r="A97" t="s">
        <v>134</v>
      </c>
      <c r="B97" t="str">
        <f t="shared" si="2"/>
        <v>Luke Skywalker (Farmboy)</v>
      </c>
      <c r="C97" t="s">
        <v>10</v>
      </c>
      <c r="E97">
        <v>2</v>
      </c>
      <c r="F97">
        <v>2</v>
      </c>
    </row>
    <row r="98" spans="1:6" x14ac:dyDescent="0.25">
      <c r="A98" t="s">
        <v>135</v>
      </c>
      <c r="B98" t="str">
        <f t="shared" ref="B98:B129" si="3">A98</f>
        <v>Luminara Unduli</v>
      </c>
      <c r="C98" t="s">
        <v>200</v>
      </c>
      <c r="E98">
        <v>3</v>
      </c>
      <c r="F98">
        <v>1</v>
      </c>
    </row>
    <row r="99" spans="1:6" x14ac:dyDescent="0.25">
      <c r="A99" t="s">
        <v>57</v>
      </c>
      <c r="B99" t="str">
        <f t="shared" si="3"/>
        <v>Mace Windu</v>
      </c>
      <c r="C99" t="s">
        <v>200</v>
      </c>
      <c r="D99" t="s">
        <v>169</v>
      </c>
      <c r="E99">
        <v>4</v>
      </c>
    </row>
    <row r="100" spans="1:6" x14ac:dyDescent="0.25">
      <c r="A100" t="s">
        <v>85</v>
      </c>
      <c r="B100" t="str">
        <f t="shared" si="3"/>
        <v>Magmatrooper</v>
      </c>
      <c r="C100" t="s">
        <v>206</v>
      </c>
      <c r="E100">
        <v>3</v>
      </c>
    </row>
    <row r="101" spans="1:6" x14ac:dyDescent="0.25">
      <c r="A101" t="s">
        <v>2</v>
      </c>
      <c r="B101" t="str">
        <f t="shared" si="3"/>
        <v>Mob Enforcer</v>
      </c>
      <c r="C101" t="s">
        <v>157</v>
      </c>
      <c r="E101">
        <v>3</v>
      </c>
    </row>
    <row r="102" spans="1:6" x14ac:dyDescent="0.25">
      <c r="A102" t="s">
        <v>58</v>
      </c>
      <c r="B102" t="str">
        <f t="shared" si="3"/>
        <v>Mother Talzin</v>
      </c>
      <c r="C102" t="s">
        <v>33</v>
      </c>
      <c r="D102" t="s">
        <v>21</v>
      </c>
      <c r="E102">
        <v>3</v>
      </c>
      <c r="F102">
        <v>2</v>
      </c>
    </row>
    <row r="103" spans="1:6" x14ac:dyDescent="0.25">
      <c r="A103" t="s">
        <v>136</v>
      </c>
      <c r="B103" t="str">
        <f t="shared" si="3"/>
        <v>Nightsister Acolyte</v>
      </c>
      <c r="C103" t="s">
        <v>33</v>
      </c>
      <c r="D103" t="s">
        <v>21</v>
      </c>
      <c r="E103">
        <v>3</v>
      </c>
    </row>
    <row r="104" spans="1:6" x14ac:dyDescent="0.25">
      <c r="A104" t="s">
        <v>137</v>
      </c>
      <c r="B104" t="str">
        <f t="shared" si="3"/>
        <v>Nightsister Initiate</v>
      </c>
      <c r="C104" t="s">
        <v>33</v>
      </c>
      <c r="E104">
        <v>3</v>
      </c>
      <c r="F104">
        <v>1</v>
      </c>
    </row>
    <row r="105" spans="1:6" x14ac:dyDescent="0.25">
      <c r="A105" t="s">
        <v>151</v>
      </c>
      <c r="B105" t="str">
        <f t="shared" si="3"/>
        <v>Nightsister Spirit</v>
      </c>
      <c r="C105" t="s">
        <v>33</v>
      </c>
      <c r="E105">
        <v>3</v>
      </c>
    </row>
    <row r="106" spans="1:6" x14ac:dyDescent="0.25">
      <c r="A106" t="s">
        <v>168</v>
      </c>
      <c r="B106" t="str">
        <f t="shared" si="3"/>
        <v>Nightsister Zombie</v>
      </c>
      <c r="C106" t="s">
        <v>33</v>
      </c>
      <c r="D106" t="s">
        <v>21</v>
      </c>
      <c r="E106">
        <v>3</v>
      </c>
    </row>
    <row r="107" spans="1:6" x14ac:dyDescent="0.25">
      <c r="A107" t="s">
        <v>138</v>
      </c>
      <c r="B107" t="str">
        <f t="shared" si="3"/>
        <v>Nute Gunray</v>
      </c>
      <c r="C107" t="s">
        <v>226</v>
      </c>
      <c r="E107">
        <v>4</v>
      </c>
    </row>
    <row r="108" spans="1:6" x14ac:dyDescent="0.25">
      <c r="A108" t="s">
        <v>139</v>
      </c>
      <c r="B108" t="str">
        <f t="shared" si="3"/>
        <v>Obi-Wan Kenobi (Old Ben)</v>
      </c>
      <c r="C108" t="s">
        <v>214</v>
      </c>
      <c r="D108" t="s">
        <v>73</v>
      </c>
      <c r="E108">
        <v>3</v>
      </c>
      <c r="F108">
        <v>2</v>
      </c>
    </row>
    <row r="109" spans="1:6" x14ac:dyDescent="0.25">
      <c r="A109" t="s">
        <v>59</v>
      </c>
      <c r="B109" t="str">
        <f t="shared" si="3"/>
        <v>Old Daka</v>
      </c>
      <c r="C109" t="s">
        <v>33</v>
      </c>
      <c r="D109" t="s">
        <v>21</v>
      </c>
      <c r="E109">
        <v>3</v>
      </c>
      <c r="F109">
        <v>1</v>
      </c>
    </row>
    <row r="110" spans="1:6" x14ac:dyDescent="0.25">
      <c r="A110" t="s">
        <v>86</v>
      </c>
      <c r="B110" t="str">
        <f t="shared" si="3"/>
        <v>Pao</v>
      </c>
      <c r="C110" t="s">
        <v>202</v>
      </c>
      <c r="E110">
        <v>3</v>
      </c>
      <c r="F110">
        <v>1</v>
      </c>
    </row>
    <row r="111" spans="1:6" x14ac:dyDescent="0.25">
      <c r="A111" t="s">
        <v>5</v>
      </c>
      <c r="B111" t="str">
        <f t="shared" si="3"/>
        <v>Paploo</v>
      </c>
      <c r="C111" t="s">
        <v>14</v>
      </c>
      <c r="D111" t="s">
        <v>14</v>
      </c>
      <c r="E111">
        <v>3</v>
      </c>
      <c r="F111">
        <v>1</v>
      </c>
    </row>
    <row r="112" spans="1:6" x14ac:dyDescent="0.25">
      <c r="A112" t="s">
        <v>140</v>
      </c>
      <c r="B112" t="str">
        <f t="shared" si="3"/>
        <v>Plo Koon</v>
      </c>
      <c r="C112" t="s">
        <v>200</v>
      </c>
      <c r="E112">
        <v>4</v>
      </c>
    </row>
    <row r="113" spans="1:6" x14ac:dyDescent="0.25">
      <c r="A113" t="s">
        <v>141</v>
      </c>
      <c r="B113" t="str">
        <f t="shared" si="3"/>
        <v>Poe Dameron</v>
      </c>
      <c r="C113" t="s">
        <v>12</v>
      </c>
      <c r="D113" t="s">
        <v>12</v>
      </c>
      <c r="E113">
        <v>4</v>
      </c>
    </row>
    <row r="114" spans="1:6" x14ac:dyDescent="0.25">
      <c r="A114" t="s">
        <v>142</v>
      </c>
      <c r="B114" t="str">
        <f t="shared" si="3"/>
        <v>Poggle the Lesser</v>
      </c>
      <c r="C114" t="s">
        <v>211</v>
      </c>
      <c r="E114">
        <v>4</v>
      </c>
    </row>
    <row r="115" spans="1:6" x14ac:dyDescent="0.25">
      <c r="A115" t="s">
        <v>66</v>
      </c>
      <c r="B115" t="str">
        <f t="shared" si="3"/>
        <v>Princess Leia</v>
      </c>
      <c r="C115" t="s">
        <v>10</v>
      </c>
      <c r="D115" t="s">
        <v>73</v>
      </c>
      <c r="E115">
        <v>3</v>
      </c>
      <c r="F115">
        <v>1</v>
      </c>
    </row>
    <row r="116" spans="1:6" x14ac:dyDescent="0.25">
      <c r="A116" t="s">
        <v>274</v>
      </c>
      <c r="B116" t="str">
        <f t="shared" si="3"/>
        <v>Qi'ra</v>
      </c>
      <c r="C116" t="s">
        <v>157</v>
      </c>
      <c r="E116">
        <v>4</v>
      </c>
      <c r="F116">
        <v>1</v>
      </c>
    </row>
    <row r="117" spans="1:6" x14ac:dyDescent="0.25">
      <c r="A117" t="s">
        <v>54</v>
      </c>
      <c r="B117" t="str">
        <f t="shared" si="3"/>
        <v>Qui-Gon Jinn</v>
      </c>
      <c r="C117" t="s">
        <v>200</v>
      </c>
      <c r="D117" t="s">
        <v>162</v>
      </c>
      <c r="E117">
        <v>3</v>
      </c>
      <c r="F117">
        <v>1</v>
      </c>
    </row>
    <row r="118" spans="1:6" x14ac:dyDescent="0.25">
      <c r="A118" t="s">
        <v>62</v>
      </c>
      <c r="B118" t="str">
        <f t="shared" si="3"/>
        <v>R2-D2</v>
      </c>
      <c r="C118" t="s">
        <v>215</v>
      </c>
      <c r="D118" t="s">
        <v>73</v>
      </c>
      <c r="E118">
        <v>3</v>
      </c>
      <c r="F118">
        <v>2</v>
      </c>
    </row>
    <row r="119" spans="1:6" x14ac:dyDescent="0.25">
      <c r="A119" t="s">
        <v>186</v>
      </c>
      <c r="B119" t="str">
        <f t="shared" si="3"/>
        <v>Rebel Officer Leia Organa</v>
      </c>
      <c r="C119" t="s">
        <v>10</v>
      </c>
      <c r="D119" t="s">
        <v>170</v>
      </c>
      <c r="E119">
        <v>3</v>
      </c>
      <c r="F119">
        <v>1</v>
      </c>
    </row>
    <row r="120" spans="1:6" x14ac:dyDescent="0.25">
      <c r="A120" t="s">
        <v>143</v>
      </c>
      <c r="B120" t="str">
        <f t="shared" si="3"/>
        <v>Resistance Pilot</v>
      </c>
      <c r="C120" t="s">
        <v>12</v>
      </c>
      <c r="E120">
        <v>3</v>
      </c>
    </row>
    <row r="121" spans="1:6" x14ac:dyDescent="0.25">
      <c r="A121" t="s">
        <v>68</v>
      </c>
      <c r="B121" t="str">
        <f t="shared" si="3"/>
        <v>Resistance Trooper</v>
      </c>
      <c r="C121" t="s">
        <v>12</v>
      </c>
      <c r="D121" t="s">
        <v>12</v>
      </c>
      <c r="E121">
        <v>3</v>
      </c>
    </row>
    <row r="122" spans="1:6" x14ac:dyDescent="0.25">
      <c r="A122" t="s">
        <v>166</v>
      </c>
      <c r="B122" t="str">
        <f t="shared" si="3"/>
        <v>Rey (Jedi Training)</v>
      </c>
      <c r="C122" t="s">
        <v>12</v>
      </c>
      <c r="D122" t="s">
        <v>12</v>
      </c>
      <c r="E122">
        <v>3</v>
      </c>
      <c r="F122">
        <v>3</v>
      </c>
    </row>
    <row r="123" spans="1:6" x14ac:dyDescent="0.25">
      <c r="A123" t="s">
        <v>167</v>
      </c>
      <c r="B123" t="str">
        <f t="shared" si="3"/>
        <v>Rey (Scavenger)</v>
      </c>
      <c r="C123" t="s">
        <v>12</v>
      </c>
      <c r="D123" t="s">
        <v>12</v>
      </c>
      <c r="E123">
        <v>3</v>
      </c>
      <c r="F123">
        <v>1</v>
      </c>
    </row>
    <row r="124" spans="1:6" x14ac:dyDescent="0.25">
      <c r="A124" t="s">
        <v>185</v>
      </c>
      <c r="B124" t="str">
        <f t="shared" si="3"/>
        <v>Rose Tico</v>
      </c>
      <c r="C124" t="s">
        <v>12</v>
      </c>
      <c r="E124">
        <v>4</v>
      </c>
    </row>
    <row r="125" spans="1:6" x14ac:dyDescent="0.25">
      <c r="A125" t="s">
        <v>42</v>
      </c>
      <c r="B125" t="str">
        <f t="shared" si="3"/>
        <v>Royal Guard</v>
      </c>
      <c r="C125" t="s">
        <v>20</v>
      </c>
      <c r="E125">
        <v>3</v>
      </c>
    </row>
    <row r="126" spans="1:6" x14ac:dyDescent="0.25">
      <c r="A126" t="s">
        <v>144</v>
      </c>
      <c r="B126" t="str">
        <f t="shared" si="3"/>
        <v>Sabine Wren</v>
      </c>
      <c r="C126" t="s">
        <v>210</v>
      </c>
      <c r="D126" t="s">
        <v>31</v>
      </c>
      <c r="E126">
        <v>3</v>
      </c>
      <c r="F126">
        <v>1</v>
      </c>
    </row>
    <row r="127" spans="1:6" x14ac:dyDescent="0.25">
      <c r="A127" t="s">
        <v>71</v>
      </c>
      <c r="B127" t="str">
        <f t="shared" si="3"/>
        <v>Savage Opress</v>
      </c>
      <c r="C127" t="s">
        <v>22</v>
      </c>
      <c r="D127" t="s">
        <v>222</v>
      </c>
      <c r="E127">
        <v>3</v>
      </c>
      <c r="F127">
        <v>1</v>
      </c>
    </row>
    <row r="128" spans="1:6" x14ac:dyDescent="0.25">
      <c r="A128" t="s">
        <v>145</v>
      </c>
      <c r="B128" t="str">
        <f t="shared" si="3"/>
        <v>Scarif Rebel Pathfinder</v>
      </c>
      <c r="C128" t="s">
        <v>202</v>
      </c>
      <c r="E128">
        <v>3</v>
      </c>
    </row>
    <row r="129" spans="1:14" x14ac:dyDescent="0.25">
      <c r="A129" t="s">
        <v>51</v>
      </c>
      <c r="B129" t="str">
        <f t="shared" si="3"/>
        <v>Shoretrooper</v>
      </c>
      <c r="C129" t="s">
        <v>206</v>
      </c>
      <c r="D129" t="s">
        <v>35</v>
      </c>
      <c r="E129">
        <v>3</v>
      </c>
    </row>
    <row r="130" spans="1:14" x14ac:dyDescent="0.25">
      <c r="A130" t="s">
        <v>72</v>
      </c>
      <c r="B130" t="str">
        <f t="shared" ref="B130:B153" si="4">A130</f>
        <v>Sith Assassin</v>
      </c>
      <c r="C130" t="s">
        <v>22</v>
      </c>
      <c r="D130" t="s">
        <v>220</v>
      </c>
      <c r="E130">
        <v>3</v>
      </c>
    </row>
    <row r="131" spans="1:14" x14ac:dyDescent="0.25">
      <c r="A131" t="s">
        <v>188</v>
      </c>
      <c r="B131" t="str">
        <f t="shared" si="4"/>
        <v>Sith Marauder</v>
      </c>
      <c r="C131" t="s">
        <v>22</v>
      </c>
      <c r="D131" t="s">
        <v>218</v>
      </c>
      <c r="E131">
        <v>3</v>
      </c>
    </row>
    <row r="132" spans="1:14" x14ac:dyDescent="0.25">
      <c r="A132" t="s">
        <v>6</v>
      </c>
      <c r="B132" t="str">
        <f t="shared" si="4"/>
        <v>Sith Trooper</v>
      </c>
      <c r="C132" t="s">
        <v>22</v>
      </c>
      <c r="D132" t="s">
        <v>220</v>
      </c>
      <c r="E132">
        <v>3</v>
      </c>
    </row>
    <row r="133" spans="1:14" x14ac:dyDescent="0.25">
      <c r="A133" t="s">
        <v>52</v>
      </c>
      <c r="B133" t="str">
        <f t="shared" si="4"/>
        <v>Snowtrooper</v>
      </c>
      <c r="C133" t="s">
        <v>206</v>
      </c>
      <c r="D133" t="s">
        <v>228</v>
      </c>
      <c r="E133">
        <v>3</v>
      </c>
    </row>
    <row r="134" spans="1:14" x14ac:dyDescent="0.25">
      <c r="A134" t="s">
        <v>4</v>
      </c>
      <c r="B134" t="str">
        <f t="shared" si="4"/>
        <v>Stormtrooper</v>
      </c>
      <c r="C134" t="s">
        <v>206</v>
      </c>
      <c r="D134" t="s">
        <v>228</v>
      </c>
      <c r="E134">
        <v>2</v>
      </c>
      <c r="F134">
        <v>1</v>
      </c>
    </row>
    <row r="135" spans="1:14" x14ac:dyDescent="0.25">
      <c r="A135" t="s">
        <v>63</v>
      </c>
      <c r="B135" t="str">
        <f t="shared" si="4"/>
        <v>Stormtrooper Han</v>
      </c>
      <c r="C135" t="s">
        <v>204</v>
      </c>
      <c r="D135" t="s">
        <v>74</v>
      </c>
      <c r="E135">
        <v>3</v>
      </c>
      <c r="F135">
        <v>1</v>
      </c>
    </row>
    <row r="136" spans="1:14" x14ac:dyDescent="0.25">
      <c r="A136" t="s">
        <v>7</v>
      </c>
      <c r="B136" t="str">
        <f t="shared" si="4"/>
        <v>Sun Fac</v>
      </c>
      <c r="C136" t="s">
        <v>211</v>
      </c>
      <c r="E136">
        <v>4</v>
      </c>
    </row>
    <row r="137" spans="1:14" x14ac:dyDescent="0.25">
      <c r="A137" t="s">
        <v>0</v>
      </c>
      <c r="B137" t="str">
        <f t="shared" si="4"/>
        <v>Talia</v>
      </c>
      <c r="C137" t="s">
        <v>33</v>
      </c>
      <c r="E137">
        <v>4</v>
      </c>
    </row>
    <row r="138" spans="1:14" x14ac:dyDescent="0.25">
      <c r="A138" t="s">
        <v>15</v>
      </c>
      <c r="B138" t="str">
        <f t="shared" si="4"/>
        <v>Teebo</v>
      </c>
      <c r="C138" t="s">
        <v>14</v>
      </c>
      <c r="D138" t="s">
        <v>14</v>
      </c>
      <c r="E138">
        <v>4</v>
      </c>
    </row>
    <row r="139" spans="1:14" x14ac:dyDescent="0.25">
      <c r="A139" t="s">
        <v>146</v>
      </c>
      <c r="B139" t="str">
        <f t="shared" si="4"/>
        <v>TIE Fighter Pilot</v>
      </c>
      <c r="C139" t="s">
        <v>20</v>
      </c>
      <c r="E139">
        <v>3</v>
      </c>
    </row>
    <row r="140" spans="1:14" x14ac:dyDescent="0.25">
      <c r="A140" t="s">
        <v>147</v>
      </c>
      <c r="B140" t="str">
        <f t="shared" si="4"/>
        <v>Tusken Raider</v>
      </c>
      <c r="C140" t="s">
        <v>87</v>
      </c>
      <c r="E140">
        <v>3</v>
      </c>
    </row>
    <row r="141" spans="1:14" x14ac:dyDescent="0.25">
      <c r="A141" t="s">
        <v>148</v>
      </c>
      <c r="B141" t="str">
        <f t="shared" si="4"/>
        <v>Tusken Shaman</v>
      </c>
      <c r="C141" t="s">
        <v>87</v>
      </c>
      <c r="E141">
        <v>3</v>
      </c>
      <c r="N141" s="2"/>
    </row>
    <row r="142" spans="1:14" x14ac:dyDescent="0.25">
      <c r="A142" t="s">
        <v>88</v>
      </c>
      <c r="B142" t="str">
        <f t="shared" si="4"/>
        <v>Ugnaught</v>
      </c>
      <c r="C142" t="s">
        <v>156</v>
      </c>
      <c r="E142">
        <v>3</v>
      </c>
      <c r="N142" s="2"/>
    </row>
    <row r="143" spans="1:14" x14ac:dyDescent="0.25">
      <c r="A143" t="s">
        <v>89</v>
      </c>
      <c r="B143" t="str">
        <f t="shared" si="4"/>
        <v>URoRRuR'R'R</v>
      </c>
      <c r="C143" t="s">
        <v>87</v>
      </c>
      <c r="E143">
        <v>4</v>
      </c>
      <c r="N143" s="2"/>
    </row>
    <row r="144" spans="1:14" x14ac:dyDescent="0.25">
      <c r="A144" t="s">
        <v>270</v>
      </c>
      <c r="B144" t="str">
        <f t="shared" si="4"/>
        <v>Vandor Chewbacca</v>
      </c>
      <c r="C144" t="s">
        <v>157</v>
      </c>
      <c r="E144">
        <v>3</v>
      </c>
      <c r="F144">
        <v>1</v>
      </c>
      <c r="N144" s="2"/>
    </row>
    <row r="145" spans="1:14" x14ac:dyDescent="0.25">
      <c r="A145" t="s">
        <v>165</v>
      </c>
      <c r="B145" t="str">
        <f t="shared" si="4"/>
        <v>Veteran Smuggler Chewbacca</v>
      </c>
      <c r="C145" t="s">
        <v>157</v>
      </c>
      <c r="E145">
        <v>3</v>
      </c>
      <c r="F145">
        <v>1</v>
      </c>
      <c r="N145" s="3"/>
    </row>
    <row r="146" spans="1:14" x14ac:dyDescent="0.25">
      <c r="A146" t="s">
        <v>164</v>
      </c>
      <c r="B146" t="str">
        <f t="shared" si="4"/>
        <v>Veteran Smuggler Han Solo</v>
      </c>
      <c r="C146" t="s">
        <v>157</v>
      </c>
      <c r="E146">
        <v>3</v>
      </c>
      <c r="F146">
        <v>1</v>
      </c>
      <c r="N146" s="2"/>
    </row>
    <row r="147" spans="1:14" x14ac:dyDescent="0.25">
      <c r="A147" t="s">
        <v>195</v>
      </c>
      <c r="B147" t="str">
        <f t="shared" si="4"/>
        <v>Visas Marr</v>
      </c>
      <c r="C147" t="s">
        <v>156</v>
      </c>
      <c r="E147">
        <v>3</v>
      </c>
      <c r="F147">
        <v>1</v>
      </c>
      <c r="N147" s="2"/>
    </row>
    <row r="148" spans="1:14" x14ac:dyDescent="0.25">
      <c r="A148" t="s">
        <v>152</v>
      </c>
      <c r="B148" t="str">
        <f t="shared" si="4"/>
        <v>Wampa</v>
      </c>
      <c r="C148" t="s">
        <v>156</v>
      </c>
      <c r="E148">
        <v>3</v>
      </c>
      <c r="F148">
        <v>2</v>
      </c>
      <c r="N148" s="2"/>
    </row>
    <row r="149" spans="1:14" x14ac:dyDescent="0.25">
      <c r="A149" t="s">
        <v>149</v>
      </c>
      <c r="B149" t="str">
        <f t="shared" si="4"/>
        <v>Wedge Antilles</v>
      </c>
      <c r="C149" t="s">
        <v>10</v>
      </c>
      <c r="D149" t="s">
        <v>74</v>
      </c>
      <c r="E149">
        <v>4</v>
      </c>
      <c r="N149" s="2"/>
    </row>
    <row r="150" spans="1:14" x14ac:dyDescent="0.25">
      <c r="A150" t="s">
        <v>16</v>
      </c>
      <c r="B150" t="str">
        <f t="shared" si="4"/>
        <v>Wicket</v>
      </c>
      <c r="C150" t="s">
        <v>14</v>
      </c>
      <c r="D150" t="s">
        <v>14</v>
      </c>
      <c r="E150">
        <v>3</v>
      </c>
      <c r="F150">
        <v>1</v>
      </c>
      <c r="N150" s="2"/>
    </row>
    <row r="151" spans="1:14" x14ac:dyDescent="0.25">
      <c r="A151" t="s">
        <v>269</v>
      </c>
      <c r="B151" t="str">
        <f t="shared" si="4"/>
        <v>Young Han Solo</v>
      </c>
      <c r="C151" t="s">
        <v>157</v>
      </c>
      <c r="E151">
        <v>3</v>
      </c>
      <c r="F151">
        <v>1</v>
      </c>
      <c r="N151" s="2"/>
    </row>
    <row r="152" spans="1:14" x14ac:dyDescent="0.25">
      <c r="A152" t="s">
        <v>362</v>
      </c>
      <c r="B152" t="str">
        <f t="shared" si="4"/>
        <v>Young Lando Calrissian</v>
      </c>
      <c r="C152" t="s">
        <v>157</v>
      </c>
      <c r="E152">
        <v>3</v>
      </c>
      <c r="F152">
        <v>1</v>
      </c>
      <c r="N152" s="2"/>
    </row>
    <row r="153" spans="1:14" x14ac:dyDescent="0.25">
      <c r="A153" t="s">
        <v>150</v>
      </c>
      <c r="B153" t="str">
        <f t="shared" si="4"/>
        <v>Zam Wesell</v>
      </c>
      <c r="C153" t="s">
        <v>196</v>
      </c>
      <c r="D153" t="s">
        <v>18</v>
      </c>
      <c r="E153">
        <v>4</v>
      </c>
      <c r="N153" s="2"/>
    </row>
    <row r="154" spans="1:14" x14ac:dyDescent="0.25">
      <c r="N154" s="2"/>
    </row>
    <row r="155" spans="1:14" x14ac:dyDescent="0.25">
      <c r="N155" s="2"/>
    </row>
    <row r="156" spans="1:14" x14ac:dyDescent="0.25">
      <c r="N156" s="2"/>
    </row>
    <row r="157" spans="1:14" x14ac:dyDescent="0.25">
      <c r="N157" s="2"/>
    </row>
    <row r="158" spans="1:14" x14ac:dyDescent="0.25">
      <c r="N158" s="2"/>
    </row>
    <row r="159" spans="1:14" x14ac:dyDescent="0.25">
      <c r="N159" s="2"/>
    </row>
    <row r="160" spans="1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</sheetData>
  <autoFilter ref="A1:F153">
    <sortState ref="A2:F153">
      <sortCondition ref="A1:A153"/>
    </sortState>
  </autoFilter>
  <sortState ref="A3:C143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defaultRowHeight="15" x14ac:dyDescent="0.25"/>
  <cols>
    <col min="1" max="1" width="23.28515625" bestFit="1" customWidth="1"/>
  </cols>
  <sheetData>
    <row r="1" spans="1:3" x14ac:dyDescent="0.25">
      <c r="A1" t="s">
        <v>397</v>
      </c>
      <c r="B1">
        <v>75055</v>
      </c>
    </row>
    <row r="2" spans="1:3" x14ac:dyDescent="0.25">
      <c r="A2" t="s">
        <v>398</v>
      </c>
      <c r="B2">
        <v>10221</v>
      </c>
    </row>
    <row r="3" spans="1:3" x14ac:dyDescent="0.25">
      <c r="A3" t="s">
        <v>399</v>
      </c>
      <c r="B3">
        <v>75094</v>
      </c>
      <c r="C3">
        <v>10212</v>
      </c>
    </row>
    <row r="4" spans="1:3" x14ac:dyDescent="0.25">
      <c r="A4" t="s">
        <v>401</v>
      </c>
      <c r="B4">
        <v>9493</v>
      </c>
      <c r="C4">
        <v>10240</v>
      </c>
    </row>
    <row r="5" spans="1:3" x14ac:dyDescent="0.25">
      <c r="A5" t="s">
        <v>402</v>
      </c>
      <c r="B5">
        <v>75060</v>
      </c>
    </row>
    <row r="6" spans="1:3" x14ac:dyDescent="0.25">
      <c r="A6" t="s">
        <v>403</v>
      </c>
      <c r="B6">
        <v>75095</v>
      </c>
    </row>
    <row r="7" spans="1:3" x14ac:dyDescent="0.25">
      <c r="A7" t="s">
        <v>191</v>
      </c>
      <c r="B7">
        <v>75192</v>
      </c>
    </row>
    <row r="8" spans="1:3" x14ac:dyDescent="0.25">
      <c r="A8" t="s">
        <v>400</v>
      </c>
      <c r="B8">
        <v>75191</v>
      </c>
    </row>
    <row r="9" spans="1:3" x14ac:dyDescent="0.25">
      <c r="A9" t="s">
        <v>404</v>
      </c>
      <c r="B9">
        <v>9495</v>
      </c>
      <c r="C9">
        <v>75181</v>
      </c>
    </row>
    <row r="10" spans="1:3" x14ac:dyDescent="0.25">
      <c r="A10" t="s">
        <v>405</v>
      </c>
      <c r="B10">
        <v>10227</v>
      </c>
    </row>
    <row r="11" spans="1:3" x14ac:dyDescent="0.25">
      <c r="A11" t="s">
        <v>406</v>
      </c>
      <c r="B11">
        <v>75144</v>
      </c>
    </row>
    <row r="12" spans="1:3" x14ac:dyDescent="0.25">
      <c r="A12" t="s">
        <v>407</v>
      </c>
      <c r="B12">
        <v>75021</v>
      </c>
    </row>
    <row r="13" spans="1:3" x14ac:dyDescent="0.25">
      <c r="A13" t="s">
        <v>408</v>
      </c>
      <c r="B13">
        <v>75098</v>
      </c>
    </row>
    <row r="14" spans="1:3" x14ac:dyDescent="0.25">
      <c r="A14" t="s">
        <v>409</v>
      </c>
    </row>
    <row r="15" spans="1:3" x14ac:dyDescent="0.25">
      <c r="A15" t="s">
        <v>14</v>
      </c>
    </row>
    <row r="16" spans="1:3" x14ac:dyDescent="0.25">
      <c r="A16" t="s">
        <v>410</v>
      </c>
      <c r="B16">
        <v>9515</v>
      </c>
    </row>
    <row r="17" spans="1:3" x14ac:dyDescent="0.25">
      <c r="A17" t="s">
        <v>411</v>
      </c>
      <c r="B17">
        <v>9494</v>
      </c>
      <c r="C17">
        <v>75087</v>
      </c>
    </row>
    <row r="18" spans="1:3" x14ac:dyDescent="0.25">
      <c r="A18" t="s">
        <v>412</v>
      </c>
      <c r="B18">
        <v>7962</v>
      </c>
    </row>
    <row r="19" spans="1:3" x14ac:dyDescent="0.25">
      <c r="A19" t="s">
        <v>413</v>
      </c>
      <c r="B19">
        <v>8092</v>
      </c>
    </row>
    <row r="20" spans="1:3" x14ac:dyDescent="0.25">
      <c r="A20" t="s">
        <v>414</v>
      </c>
      <c r="B20">
        <v>7961</v>
      </c>
      <c r="C20">
        <v>75096</v>
      </c>
    </row>
    <row r="21" spans="1:3" x14ac:dyDescent="0.25">
      <c r="A21" t="s">
        <v>415</v>
      </c>
      <c r="B21">
        <v>7877</v>
      </c>
    </row>
    <row r="22" spans="1:3" x14ac:dyDescent="0.25">
      <c r="A22" t="s">
        <v>416</v>
      </c>
      <c r="B22">
        <v>75054</v>
      </c>
    </row>
    <row r="23" spans="1:3" x14ac:dyDescent="0.25">
      <c r="A23" t="s">
        <v>417</v>
      </c>
      <c r="B23">
        <v>75153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Farm Tracker</vt:lpstr>
      <vt:lpstr>Quests</vt:lpstr>
      <vt:lpstr>Tables</vt:lpstr>
      <vt:lpstr>Characters</vt:lpstr>
      <vt:lpstr>Marvel</vt:lpstr>
      <vt:lpstr>Lego Sets</vt:lpstr>
    </vt:vector>
  </TitlesOfParts>
  <Company>TIAA-CREF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71AACR3F</dc:creator>
  <cp:lastModifiedBy>71AACR3F</cp:lastModifiedBy>
  <dcterms:created xsi:type="dcterms:W3CDTF">2017-09-14T13:21:19Z</dcterms:created>
  <dcterms:modified xsi:type="dcterms:W3CDTF">2018-06-20T18:19:33Z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nonhesmow1868</vt:lpwstr>
  </property>
</Properties>
</file>