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huy vo\Downloads\KD Study 2\"/>
    </mc:Choice>
  </mc:AlternateContent>
  <xr:revisionPtr revIDLastSave="0" documentId="13_ncr:1_{0C0DCCD6-4229-4AA4-9E67-9CF4E85AB5A1}" xr6:coauthVersionLast="47" xr6:coauthVersionMax="47" xr10:uidLastSave="{00000000-0000-0000-0000-000000000000}"/>
  <bookViews>
    <workbookView xWindow="-120" yWindow="-120" windowWidth="20730" windowHeight="11040" activeTab="1" xr2:uid="{00000000-000D-0000-FFFF-FFFF00000000}"/>
  </bookViews>
  <sheets>
    <sheet name="GIỚI THIỆU" sheetId="10" r:id="rId1"/>
    <sheet name="Kết quả học tập" sheetId="3" r:id="rId2"/>
    <sheet name="MỤC TIÊU" sheetId="5" r:id="rId3"/>
    <sheet name="THỐNG KÊ" sheetId="8" r:id="rId4"/>
    <sheet name="KD" sheetId="11" r:id="rId5"/>
  </sheets>
  <externalReferences>
    <externalReference r:id="rId6"/>
  </externalReferences>
  <definedNames>
    <definedName name="_xlnm._FilterDatabase" localSheetId="1" hidden="1">'Kết quả học tập'!$A$1:$F$151</definedName>
    <definedName name="D_A">'MỤC TIÊU'!$K$8</definedName>
    <definedName name="D_B">'MỤC TIÊU'!$K$9</definedName>
    <definedName name="D_C">'MỤC TIÊU'!$K$10</definedName>
    <definedName name="F_A">'MỤC TIÊU'!$K$21</definedName>
    <definedName name="F_B">'MỤC TIÊU'!$K$22</definedName>
    <definedName name="F_C">'MỤC TIÊU'!$K$23</definedName>
    <definedName name="F_D">'MỤC TIÊU'!$K$24</definedName>
    <definedName name="GPA_mt">'Kết quả học tập'!$C$9</definedName>
    <definedName name="GPAht">'Kết quả học tập'!$C$10</definedName>
    <definedName name="HOVATEN">'[1]HƯỚNG DẪN'!$M$3</definedName>
    <definedName name="_xlnm.Print_Area" localSheetId="1">'Kết quả học tập'!$G:$L</definedName>
    <definedName name="_xlnm.Print_Area" localSheetId="3">'THỐNG KÊ'!$A$1:$M$44</definedName>
    <definedName name="STC_bb">'Kết quả học tập'!$C$4</definedName>
    <definedName name="TC">Table1[SỐ TÍN CHỈ]</definedName>
    <definedName name="TD_10_tn">Table1[[ĐIỂM 10 ]]</definedName>
    <definedName name="TD_4">Table1[ĐIỂM 4]</definedName>
    <definedName name="TEN">'GIỚI THIỆU'!$E$20</definedName>
    <definedName name="TLTB">'Kết quả học tập'!$C$11</definedName>
    <definedName name="XL">'Kết quả học tập'!$W$2:$W$9</definedName>
    <definedName name="XLC">Table1[CHỮ]</definedName>
    <definedName name="ZTC_A">'Kết quả học tập'!$O$2:$O$151</definedName>
    <definedName name="ZTC_B">'Kết quả học tập'!$P$2:$P$151</definedName>
    <definedName name="ZTC_Bc">'Kết quả học tập'!$Q$2:$Q$151</definedName>
    <definedName name="ZTC_C">'Kết quả học tập'!$R$2:$R$151</definedName>
    <definedName name="ZTC_Cc">'Kết quả học tập'!$S$2:$S$151</definedName>
    <definedName name="ZTC_D">'Kết quả học tập'!$T$2:$T$151</definedName>
    <definedName name="ZTC_F">'Kết quả học tập'!$U$2:$U$151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9" i="5" l="1"/>
  <c r="E21" i="5"/>
  <c r="C10" i="3"/>
  <c r="R21" i="5" s="1"/>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02" i="3"/>
  <c r="V103" i="3"/>
  <c r="V104" i="3"/>
  <c r="V105" i="3"/>
  <c r="V106" i="3"/>
  <c r="V107"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V2" i="3"/>
  <c r="U2" i="3"/>
  <c r="S2" i="3"/>
  <c r="T2" i="3"/>
  <c r="R2" i="3"/>
  <c r="Q2" i="3"/>
  <c r="O2" i="3"/>
  <c r="N2" i="3"/>
  <c r="M2" i="3"/>
  <c r="E10" i="3" l="1"/>
  <c r="D10" i="3" s="1"/>
  <c r="C11" i="3" l="1"/>
  <c r="E8" i="5"/>
  <c r="C17" i="8" l="1"/>
  <c r="C20" i="8"/>
  <c r="C21" i="8"/>
  <c r="C22" i="8" l="1"/>
  <c r="C19" i="8"/>
  <c r="C18" i="8"/>
  <c r="M25" i="5" l="1"/>
  <c r="C16" i="8" l="1"/>
  <c r="K19" i="8"/>
  <c r="K23" i="8"/>
  <c r="J19" i="8"/>
  <c r="J23" i="8"/>
  <c r="F14" i="5"/>
  <c r="F15" i="5"/>
  <c r="H15" i="5"/>
  <c r="H16" i="5"/>
  <c r="J16" i="5"/>
  <c r="J15" i="5"/>
  <c r="F16" i="5"/>
  <c r="C14" i="5" l="1"/>
  <c r="C15" i="5" s="1"/>
  <c r="J21" i="8"/>
  <c r="J17" i="8"/>
  <c r="K21" i="8"/>
  <c r="K17" i="8"/>
  <c r="C27" i="5"/>
  <c r="C28" i="5" s="1"/>
  <c r="H11" i="5"/>
  <c r="E22" i="5"/>
  <c r="H25" i="5" s="1"/>
  <c r="J24" i="8"/>
  <c r="J22" i="8"/>
  <c r="K20" i="8"/>
  <c r="K18" i="8"/>
  <c r="K24" i="8"/>
  <c r="K22" i="8"/>
  <c r="J20" i="8"/>
  <c r="J18" i="8"/>
  <c r="H27" i="5"/>
  <c r="H28" i="5" s="1"/>
  <c r="C16" i="5" l="1"/>
  <c r="M11" i="5" s="1"/>
  <c r="R8" i="5" s="1"/>
  <c r="R32" i="5"/>
  <c r="C29" i="5"/>
  <c r="T32" i="5" l="1"/>
  <c r="O34" i="5"/>
  <c r="C6" i="3"/>
  <c r="C5" i="3" s="1"/>
  <c r="C14" i="3" s="1"/>
  <c r="C13" i="3" l="1"/>
  <c r="L3" i="5" s="1"/>
  <c r="L4" i="5" l="1"/>
</calcChain>
</file>

<file path=xl/sharedStrings.xml><?xml version="1.0" encoding="utf-8"?>
<sst xmlns="http://schemas.openxmlformats.org/spreadsheetml/2006/main" count="192" uniqueCount="129">
  <si>
    <t>CHỮ</t>
  </si>
  <si>
    <t>A+</t>
  </si>
  <si>
    <t>A</t>
  </si>
  <si>
    <t>B+</t>
  </si>
  <si>
    <t>B</t>
  </si>
  <si>
    <t>C+</t>
  </si>
  <si>
    <t>C</t>
  </si>
  <si>
    <t>D</t>
  </si>
  <si>
    <t>F</t>
  </si>
  <si>
    <t>Xuất sắc</t>
  </si>
  <si>
    <t>Giỏi</t>
  </si>
  <si>
    <t>Khá</t>
  </si>
  <si>
    <t>Khá giỏi</t>
  </si>
  <si>
    <t>Kém</t>
  </si>
  <si>
    <t>GPA hiện tại</t>
  </si>
  <si>
    <t>GPA</t>
  </si>
  <si>
    <t>GPA mục tiêu</t>
  </si>
  <si>
    <t>Số TC đã hoàn thành</t>
  </si>
  <si>
    <t>Số TC chưa hoàn thành</t>
  </si>
  <si>
    <t>Số TC tối thiểu cần hoàn thành</t>
  </si>
  <si>
    <t>HỌC CẢI THIỆN</t>
  </si>
  <si>
    <t>Môn D</t>
  </si>
  <si>
    <t>Số môn</t>
  </si>
  <si>
    <t>Số TC</t>
  </si>
  <si>
    <t>Kết quả cải thiện dự kiến</t>
  </si>
  <si>
    <t>Tổng TC đã đăng ký trong kỳ</t>
  </si>
  <si>
    <t>Điểm tích lũy trung bình</t>
  </si>
  <si>
    <t>Số TC ngoại trừ D</t>
  </si>
  <si>
    <t>1</t>
  </si>
  <si>
    <t>0</t>
  </si>
  <si>
    <t>Số TC đang dự kiến</t>
  </si>
  <si>
    <t>HỌC LẠI</t>
  </si>
  <si>
    <t>Môn F</t>
  </si>
  <si>
    <t>Số TC ngoại trừ F</t>
  </si>
  <si>
    <t>Kết quả học lại dự kiến</t>
  </si>
  <si>
    <t>STC D chưa cải thiện</t>
  </si>
  <si>
    <t>STC F chưa cải thiện</t>
  </si>
  <si>
    <t>Điểm chữ</t>
  </si>
  <si>
    <t>Số tín chỉ</t>
  </si>
  <si>
    <t>Số môn học</t>
  </si>
  <si>
    <t>Tổng số môn đã nhập</t>
  </si>
  <si>
    <t>Số môn đạt điểm tuyệt đối</t>
  </si>
  <si>
    <t>Số môn đạt điểm từ 8 trở lên</t>
  </si>
  <si>
    <t>Số môn đạt điểm từ 9 trở lên</t>
  </si>
  <si>
    <t>TK</t>
  </si>
  <si>
    <t>Số tín chỉ đã hoàn thành</t>
  </si>
  <si>
    <t>Số tín chỉ chưa hoàn thành</t>
  </si>
  <si>
    <t>Số tín chỉ bắt buộc</t>
  </si>
  <si>
    <r>
      <t xml:space="preserve">Số tín chỉ </t>
    </r>
    <r>
      <rPr>
        <b/>
        <sz val="10"/>
        <color theme="0"/>
        <rFont val="Segoe UI"/>
        <family val="2"/>
        <charset val="163"/>
      </rPr>
      <t>A</t>
    </r>
    <r>
      <rPr>
        <sz val="10"/>
        <color theme="0"/>
        <rFont val="Segoe UI"/>
        <family val="2"/>
        <charset val="163"/>
      </rPr>
      <t xml:space="preserve"> cần đạt được</t>
    </r>
  </si>
  <si>
    <r>
      <t xml:space="preserve">Số tín chỉ </t>
    </r>
    <r>
      <rPr>
        <b/>
        <sz val="10"/>
        <color theme="1"/>
        <rFont val="Segoe UI"/>
        <family val="2"/>
        <charset val="163"/>
      </rPr>
      <t>B</t>
    </r>
    <r>
      <rPr>
        <sz val="10"/>
        <color theme="1"/>
        <rFont val="Segoe UI"/>
        <family val="2"/>
        <charset val="163"/>
      </rPr>
      <t xml:space="preserve"> cần đạt được</t>
    </r>
  </si>
  <si>
    <r>
      <t xml:space="preserve">Số TC dự kiến cải thiện lên </t>
    </r>
    <r>
      <rPr>
        <b/>
        <sz val="10"/>
        <color theme="9" tint="-0.499984740745262"/>
        <rFont val="Segoe UI"/>
        <family val="2"/>
        <charset val="163"/>
      </rPr>
      <t>A</t>
    </r>
  </si>
  <si>
    <r>
      <t xml:space="preserve">Số TC dự kiến cải thiện lên </t>
    </r>
    <r>
      <rPr>
        <b/>
        <sz val="10"/>
        <color theme="9" tint="-0.499984740745262"/>
        <rFont val="Segoe UI"/>
        <family val="2"/>
        <charset val="163"/>
      </rPr>
      <t>B</t>
    </r>
  </si>
  <si>
    <r>
      <t xml:space="preserve">Số TC dự kiến cải thiện lên </t>
    </r>
    <r>
      <rPr>
        <b/>
        <sz val="10"/>
        <color theme="9" tint="-0.499984740745262"/>
        <rFont val="Segoe UI"/>
        <family val="2"/>
        <charset val="163"/>
      </rPr>
      <t>C</t>
    </r>
  </si>
  <si>
    <t>Dự kiến cải thiện</t>
  </si>
  <si>
    <r>
      <t xml:space="preserve">Số TC bình quân cần đạt điểm </t>
    </r>
    <r>
      <rPr>
        <b/>
        <sz val="11"/>
        <color theme="9" tint="-0.499984740745262"/>
        <rFont val="Segoe UI"/>
        <family val="2"/>
        <charset val="163"/>
      </rPr>
      <t>A</t>
    </r>
  </si>
  <si>
    <r>
      <t xml:space="preserve">Số TC bình quân cần đạt điểm </t>
    </r>
    <r>
      <rPr>
        <b/>
        <sz val="11"/>
        <color theme="9" tint="-0.499984740745262"/>
        <rFont val="Segoe UI"/>
        <family val="2"/>
        <charset val="163"/>
      </rPr>
      <t>B</t>
    </r>
  </si>
  <si>
    <t>Nếu đã cải thiện được các môn điểm D
Vui lòng nhập điểm mới vào bảng KẾT QUẢ HỌC TẬP</t>
  </si>
  <si>
    <t>Nếu đã cải thiện được các môn điểm F
Vui lòng nhập điểm mới vào bảng KẾT QUẢ HỌC TẬP</t>
  </si>
  <si>
    <t>Dự kiến học lại</t>
  </si>
  <si>
    <r>
      <t xml:space="preserve">Số TC dự kiến học lại lên </t>
    </r>
    <r>
      <rPr>
        <b/>
        <sz val="10"/>
        <color theme="9" tint="-0.499984740745262"/>
        <rFont val="Segoe UI"/>
        <family val="2"/>
        <charset val="163"/>
      </rPr>
      <t>A</t>
    </r>
  </si>
  <si>
    <r>
      <t xml:space="preserve">Số TC dự kiến học lại lên </t>
    </r>
    <r>
      <rPr>
        <b/>
        <sz val="10"/>
        <color theme="9" tint="-0.499984740745262"/>
        <rFont val="Segoe UI"/>
        <family val="2"/>
        <charset val="163"/>
      </rPr>
      <t>B</t>
    </r>
  </si>
  <si>
    <r>
      <t xml:space="preserve">Số TC dự kiến học lại lên </t>
    </r>
    <r>
      <rPr>
        <b/>
        <sz val="10"/>
        <color theme="9" tint="-0.499984740745262"/>
        <rFont val="Segoe UI"/>
        <family val="2"/>
        <charset val="163"/>
      </rPr>
      <t>C</t>
    </r>
  </si>
  <si>
    <r>
      <t xml:space="preserve">Số TC dự kiến học lại lên </t>
    </r>
    <r>
      <rPr>
        <b/>
        <sz val="11"/>
        <color theme="9" tint="-0.499984740745262"/>
        <rFont val="Segoe UI"/>
        <family val="2"/>
        <charset val="163"/>
      </rPr>
      <t>D</t>
    </r>
  </si>
  <si>
    <t>Mục tiêu chỉ thích hợp khi xem xét vào ĐẦU KỲ - khi bạn chưa nhập các môn hiện tại trong kỳ này.
*** Xem phần hướng dẫn để hiểu rõ hơn!</t>
  </si>
  <si>
    <t>Kết quả dự kiến sau khi đã CẢI THIỆN và HỌC LẠI</t>
  </si>
  <si>
    <t xml:space="preserve"> </t>
  </si>
  <si>
    <t>CHÚC BẠN ĐẠT ĐƯỢC MỤC TIÊU CỦA BẢN THÂN!</t>
  </si>
  <si>
    <t>Giới thiệu</t>
  </si>
  <si>
    <r>
      <rPr>
        <b/>
        <sz val="11"/>
        <color rgb="FFC00000"/>
        <rFont val="Segoe UI"/>
        <family val="2"/>
        <charset val="163"/>
      </rPr>
      <t xml:space="preserve">KD Study </t>
    </r>
    <r>
      <rPr>
        <sz val="11"/>
        <color rgb="FFC00000"/>
        <rFont val="Segoe UI"/>
        <family val="2"/>
        <charset val="163"/>
      </rPr>
      <t>là ứng dụng</t>
    </r>
    <r>
      <rPr>
        <i/>
        <sz val="11"/>
        <color rgb="FFC00000"/>
        <rFont val="Segoe UI"/>
        <family val="2"/>
        <charset val="163"/>
      </rPr>
      <t xml:space="preserve"> tính điểm trung bình tích lũy theo tín chỉ.</t>
    </r>
    <r>
      <rPr>
        <sz val="11"/>
        <color rgb="FFC00000"/>
        <rFont val="Segoe UI"/>
        <family val="2"/>
        <charset val="163"/>
      </rPr>
      <t xml:space="preserve">
*** Ngoài ra nó sẽ giúp bạn có thể đưa ra được </t>
    </r>
    <r>
      <rPr>
        <b/>
        <sz val="11"/>
        <color rgb="FFC00000"/>
        <rFont val="Segoe UI"/>
        <family val="2"/>
        <charset val="163"/>
      </rPr>
      <t>MỤC TIÊU</t>
    </r>
    <r>
      <rPr>
        <sz val="11"/>
        <color rgb="FFC00000"/>
        <rFont val="Segoe UI"/>
        <family val="2"/>
        <charset val="163"/>
      </rPr>
      <t xml:space="preserve"> một cách cụ thể để bạn có thể dễ dàng biết được mình cần cố gắng thêm bao nhiêu tín chỉ A, B nữa! Hay phải tích lũy bao nhiêu tín chỉ để đạt được bằng cấp xuất sắc, giỏi!
*** Bên cạnh đó nếu bạn đang có ý định đi du học thì ứng dụng này là một điều tuyệt vời dành cho bạn. Vì nó có thể dự kiến được GPA để bạn có thể học tập và giám sát tình hình GPA của mình tốt hơn đấy!</t>
    </r>
  </si>
  <si>
    <t>Chúc bạn đạt được thành tích cao trong học tập!</t>
  </si>
  <si>
    <t>LƯU Ý</t>
  </si>
  <si>
    <t>Số TC ngoại trừ D và F</t>
  </si>
  <si>
    <t>STC đang dự kiến (ct và hl)</t>
  </si>
  <si>
    <t>- Đọc kĩ hướng dẫn trước khi dùng.</t>
  </si>
  <si>
    <t>- Sử dụng nút bên cạnh để chuyển trang nhanh</t>
  </si>
  <si>
    <r>
      <t xml:space="preserve">- Sử dụng nút </t>
    </r>
    <r>
      <rPr>
        <b/>
        <sz val="11"/>
        <color theme="9" tint="-0.499984740745262"/>
        <rFont val="Segoe UI"/>
        <family val="2"/>
        <charset val="163"/>
      </rPr>
      <t>Tab</t>
    </r>
    <r>
      <rPr>
        <sz val="11"/>
        <color theme="9" tint="-0.499984740745262"/>
        <rFont val="Segoe UI"/>
        <family val="2"/>
        <charset val="163"/>
      </rPr>
      <t xml:space="preserve"> để chuyển khung nhanh hơn!</t>
    </r>
  </si>
  <si>
    <r>
      <rPr>
        <b/>
        <sz val="18"/>
        <color rgb="FFFFFFFF"/>
        <rFont val="Segoe UI"/>
        <family val="2"/>
        <charset val="163"/>
      </rPr>
      <t>MỤC TIÊU</t>
    </r>
    <r>
      <rPr>
        <sz val="20"/>
        <color rgb="FFFFFFFF"/>
        <rFont val="Segoe UI"/>
        <family val="2"/>
        <charset val="163"/>
      </rPr>
      <t xml:space="preserve">
</t>
    </r>
    <r>
      <rPr>
        <sz val="10"/>
        <color rgb="FFFFFFFF"/>
        <rFont val="Segoe UI"/>
        <family val="2"/>
        <charset val="163"/>
      </rPr>
      <t>cho Học kỳ 
hiện tại</t>
    </r>
  </si>
  <si>
    <t xml:space="preserve"> Thống kê điểm số</t>
  </si>
  <si>
    <t xml:space="preserve"> Thống kê kết quả học tập</t>
  </si>
  <si>
    <t>STT</t>
  </si>
  <si>
    <t>ĐIỂM 4</t>
  </si>
  <si>
    <t>MÔN HỌC</t>
  </si>
  <si>
    <t>TB</t>
  </si>
  <si>
    <t>TB khá</t>
  </si>
  <si>
    <t>Yếu</t>
  </si>
  <si>
    <t xml:space="preserve">ĐIỂM 10 </t>
  </si>
  <si>
    <t>XẾP LOẠI</t>
  </si>
  <si>
    <t>SỐ TÍN CHỈ</t>
  </si>
  <si>
    <t>Kelvin Dương</t>
  </si>
  <si>
    <t>Dương Cẩm Châu</t>
  </si>
  <si>
    <t>Học viện Hàng không Việt Nam</t>
  </si>
  <si>
    <t>http://kelvin-duong.blogspot.com</t>
  </si>
  <si>
    <r>
      <t xml:space="preserve">1. Ứng dụng hoàn toàn </t>
    </r>
    <r>
      <rPr>
        <b/>
        <i/>
        <sz val="11"/>
        <color theme="1"/>
        <rFont val="Segoe UI"/>
        <family val="2"/>
        <charset val="163"/>
      </rPr>
      <t>miễn phí</t>
    </r>
    <r>
      <rPr>
        <i/>
        <sz val="11"/>
        <color theme="1"/>
        <rFont val="Segoe UI"/>
        <family val="2"/>
        <charset val="163"/>
      </rPr>
      <t xml:space="preserve"> trên tinh thần không vụ lợi</t>
    </r>
  </si>
  <si>
    <t>3. Vui lòng không sửa đổi Nguồn hoặc thay đổi cấu trúc</t>
  </si>
  <si>
    <r>
      <t>2.</t>
    </r>
    <r>
      <rPr>
        <b/>
        <i/>
        <sz val="11"/>
        <color theme="1"/>
        <rFont val="Segoe UI"/>
        <family val="2"/>
        <charset val="163"/>
      </rPr>
      <t xml:space="preserve"> Nghiêm cấm</t>
    </r>
    <r>
      <rPr>
        <i/>
        <sz val="11"/>
        <color theme="1"/>
        <rFont val="Segoe UI"/>
        <family val="2"/>
        <charset val="163"/>
      </rPr>
      <t>sử dụng ứng dụng với mục đích kinh doanh</t>
    </r>
  </si>
  <si>
    <t>- Cải tiến tính năng TƯƠNG TÁC &gt; Nút nhập dữ liệu</t>
  </si>
  <si>
    <t>- Thay đổi giao diện</t>
  </si>
  <si>
    <t>- Fix các thuật toán</t>
  </si>
  <si>
    <t>What's new in KD Study 2 ?</t>
  </si>
  <si>
    <t xml:space="preserve"> KD Study 2</t>
  </si>
  <si>
    <t>- Tối ưu hóa cho mọi sinh viên của các trường ĐH khác</t>
  </si>
  <si>
    <t>Nhập môn Tin học</t>
  </si>
  <si>
    <t>Trung Bình</t>
  </si>
  <si>
    <t xml:space="preserve">	Kỹ năng làm việc nhóm</t>
  </si>
  <si>
    <t>khá</t>
  </si>
  <si>
    <t xml:space="preserve">	Toán cao cấp 1</t>
  </si>
  <si>
    <t xml:space="preserve">	Nhập môn Lập trình</t>
  </si>
  <si>
    <t>Triết học Mác - Lênin</t>
  </si>
  <si>
    <t>trung bình</t>
  </si>
  <si>
    <t>Kỹ thuật lập trình</t>
  </si>
  <si>
    <t xml:space="preserve">	Hệ thống Máy tính</t>
  </si>
  <si>
    <t>Phương pháp tính</t>
  </si>
  <si>
    <t xml:space="preserve">	Kinh tế chính trị Mác - Lênin</t>
  </si>
  <si>
    <t xml:space="preserve">	Cấu trúc rời rạc</t>
  </si>
  <si>
    <t xml:space="preserve">	Cấu trúc dữ liệu và giải thuật</t>
  </si>
  <si>
    <t>giỏi</t>
  </si>
  <si>
    <t xml:space="preserve">	Hệ cơ sở dữ liệu</t>
  </si>
  <si>
    <t xml:space="preserve">	Kỹ năng xây dựng kế hoạch</t>
  </si>
  <si>
    <t>Toán cao cấp 2</t>
  </si>
  <si>
    <t xml:space="preserve">	Lập trình hướng đối tượng</t>
  </si>
  <si>
    <t>Mạng máy tính</t>
  </si>
  <si>
    <t>Hệ quản trị cơ sở dữ liệu</t>
  </si>
  <si>
    <t>Lập trình hướng sự kiện với công nghệ Java</t>
  </si>
  <si>
    <t xml:space="preserve">	Hệ Thống và Công nghệ Web</t>
  </si>
  <si>
    <t>Phân tích thiết kế hệ thống</t>
  </si>
  <si>
    <t>Hệ quản trị cơ sở dữ liệu NoSQL MongoDB</t>
  </si>
  <si>
    <t xml:space="preserve">	Chủ nghĩa xã hội khoa học</t>
  </si>
  <si>
    <t>Lịch sử Đảng Cộng sản Việt Nam</t>
  </si>
  <si>
    <t>Tư tưởng Hồ Chí Minh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</si>
</sst>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7" x14ac:knownFonts="1">
    <font>
      <sz val="11"/>
      <color theme="1"/>
      <name val="Calibri"/>
      <family val="2"/>
      <scheme val="minor"/>
    </font>
    <font>
      <sz val="11"/>
      <color theme="1"/>
      <name val="Calibri"/>
      <family val="2"/>
      <scheme val="minor"/>
    </font>
    <font>
      <b/>
      <sz val="10"/>
      <color theme="1"/>
      <name val="Segoe UI"/>
      <family val="2"/>
      <charset val="163"/>
    </font>
    <font>
      <sz val="10"/>
      <color theme="1"/>
      <name val="Segoe UI"/>
      <family val="2"/>
      <charset val="163"/>
    </font>
    <font>
      <b/>
      <sz val="8"/>
      <color theme="1"/>
      <name val="Segoe Print"/>
    </font>
    <font>
      <b/>
      <sz val="10"/>
      <color theme="9" tint="-0.499984740745262"/>
      <name val="Segoe UI"/>
      <family val="2"/>
      <charset val="163"/>
    </font>
    <font>
      <b/>
      <sz val="10"/>
      <color rgb="FFFF0000"/>
      <name val="Segoe UI"/>
      <family val="2"/>
      <charset val="163"/>
    </font>
    <font>
      <b/>
      <sz val="10"/>
      <color theme="6" tint="-0.499984740745262"/>
      <name val="Segoe UI"/>
      <family val="2"/>
      <charset val="163"/>
    </font>
    <font>
      <b/>
      <sz val="10"/>
      <color theme="0"/>
      <name val="Segoe UI"/>
      <family val="2"/>
      <charset val="163"/>
    </font>
    <font>
      <sz val="10"/>
      <color theme="0"/>
      <name val="Segoe UI"/>
      <family val="2"/>
      <charset val="163"/>
    </font>
    <font>
      <b/>
      <sz val="11"/>
      <color theme="1"/>
      <name val="Segoe UI"/>
      <family val="2"/>
      <charset val="163"/>
    </font>
    <font>
      <b/>
      <sz val="11"/>
      <color theme="0"/>
      <name val="Segoe UI"/>
      <family val="2"/>
      <charset val="163"/>
    </font>
    <font>
      <sz val="11"/>
      <color theme="1"/>
      <name val="Segoe UI"/>
      <family val="2"/>
      <charset val="163"/>
    </font>
    <font>
      <sz val="24"/>
      <color theme="0"/>
      <name val="Freestyle Script"/>
      <family val="4"/>
    </font>
    <font>
      <sz val="11"/>
      <color rgb="FFF49914"/>
      <name val="Corbel"/>
      <family val="2"/>
    </font>
    <font>
      <sz val="11"/>
      <color theme="8" tint="-0.499984740745262"/>
      <name val="Segoe UI"/>
      <family val="2"/>
      <charset val="163"/>
    </font>
    <font>
      <b/>
      <sz val="11"/>
      <color theme="8" tint="-0.499984740745262"/>
      <name val="Segoe UI"/>
      <family val="2"/>
      <charset val="163"/>
    </font>
    <font>
      <i/>
      <sz val="11"/>
      <color theme="8" tint="-0.499984740745262"/>
      <name val="Segoe UI"/>
      <family val="2"/>
      <charset val="163"/>
    </font>
    <font>
      <sz val="10"/>
      <color theme="8" tint="-0.499984740745262"/>
      <name val="Segoe UI"/>
      <family val="2"/>
      <charset val="163"/>
    </font>
    <font>
      <b/>
      <sz val="10"/>
      <color theme="8" tint="-0.499984740745262"/>
      <name val="Segoe UI"/>
      <family val="2"/>
      <charset val="163"/>
    </font>
    <font>
      <sz val="11"/>
      <color theme="9" tint="-0.499984740745262"/>
      <name val="Segoe UI"/>
      <family val="2"/>
      <charset val="163"/>
    </font>
    <font>
      <b/>
      <sz val="11"/>
      <color theme="9" tint="-0.499984740745262"/>
      <name val="Segoe UI"/>
      <family val="2"/>
      <charset val="163"/>
    </font>
    <font>
      <sz val="11"/>
      <color theme="9" tint="-0.499984740745262"/>
      <name val="Corbel"/>
      <family val="2"/>
    </font>
    <font>
      <b/>
      <sz val="11"/>
      <color theme="1"/>
      <name val="Segoe Print"/>
    </font>
    <font>
      <b/>
      <sz val="20"/>
      <color theme="1"/>
      <name val="Segoe UI"/>
      <family val="2"/>
      <charset val="163"/>
    </font>
    <font>
      <b/>
      <sz val="11"/>
      <color rgb="FFFF0000"/>
      <name val="Segoe UI"/>
      <family val="2"/>
      <charset val="163"/>
    </font>
    <font>
      <i/>
      <sz val="10"/>
      <color theme="9" tint="-0.499984740745262"/>
      <name val="Segoe UI"/>
      <family val="2"/>
      <charset val="163"/>
    </font>
    <font>
      <b/>
      <sz val="36"/>
      <color rgb="FFFF0000"/>
      <name val="Segoe UI"/>
      <family val="2"/>
      <charset val="163"/>
    </font>
    <font>
      <b/>
      <sz val="11"/>
      <color theme="9" tint="-0.499984740745262"/>
      <name val="Segoe Print"/>
    </font>
    <font>
      <sz val="11"/>
      <color rgb="FFC00000"/>
      <name val="Segoe UI"/>
      <family val="2"/>
      <charset val="163"/>
    </font>
    <font>
      <b/>
      <sz val="11"/>
      <color rgb="FFC00000"/>
      <name val="Segoe UI"/>
      <family val="2"/>
      <charset val="163"/>
    </font>
    <font>
      <i/>
      <sz val="11"/>
      <color rgb="FFC00000"/>
      <name val="Segoe UI"/>
      <family val="2"/>
      <charset val="163"/>
    </font>
    <font>
      <b/>
      <i/>
      <sz val="9"/>
      <color rgb="FF3898B2"/>
      <name val="Segoe UI"/>
      <family val="2"/>
      <charset val="163"/>
    </font>
    <font>
      <b/>
      <sz val="10"/>
      <color theme="8" tint="-0.249977111117893"/>
      <name val="Segoe UI"/>
      <family val="2"/>
      <charset val="163"/>
    </font>
    <font>
      <sz val="12"/>
      <color theme="1"/>
      <name val="Segoe UI"/>
      <family val="2"/>
      <charset val="163"/>
    </font>
    <font>
      <b/>
      <sz val="10"/>
      <color rgb="FFFFFFFF"/>
      <name val="Segoe UI"/>
      <family val="2"/>
      <charset val="163"/>
    </font>
    <font>
      <b/>
      <sz val="22"/>
      <color rgb="FFFFFFFF"/>
      <name val="Segoe UI"/>
      <family val="2"/>
      <charset val="163"/>
    </font>
    <font>
      <b/>
      <sz val="18"/>
      <color rgb="FFC00000"/>
      <name val="Segoe UI"/>
      <family val="2"/>
      <charset val="163"/>
    </font>
    <font>
      <b/>
      <sz val="20"/>
      <color theme="9" tint="-0.499984740745262"/>
      <name val="Segoe UI"/>
      <family val="2"/>
      <charset val="163"/>
    </font>
    <font>
      <b/>
      <sz val="18"/>
      <color theme="9" tint="-0.499984740745262"/>
      <name val="Segoe UI"/>
      <family val="2"/>
      <charset val="163"/>
    </font>
    <font>
      <b/>
      <sz val="28"/>
      <color theme="9"/>
      <name val="Segoe UI"/>
      <family val="2"/>
      <charset val="163"/>
    </font>
    <font>
      <b/>
      <sz val="36"/>
      <color theme="9"/>
      <name val="Segoe UI"/>
      <family val="2"/>
      <charset val="163"/>
    </font>
    <font>
      <sz val="20"/>
      <color rgb="FFFFFFFF"/>
      <name val="Segoe UI"/>
      <family val="2"/>
      <charset val="163"/>
    </font>
    <font>
      <b/>
      <sz val="18"/>
      <color rgb="FFFFFFFF"/>
      <name val="Segoe UI"/>
      <family val="2"/>
      <charset val="163"/>
    </font>
    <font>
      <sz val="10"/>
      <color rgb="FFFFFFFF"/>
      <name val="Segoe UI"/>
      <family val="2"/>
      <charset val="163"/>
    </font>
    <font>
      <i/>
      <sz val="20"/>
      <color theme="0"/>
      <name val="Segoe UI"/>
      <family val="2"/>
      <charset val="163"/>
    </font>
    <font>
      <b/>
      <sz val="15"/>
      <color theme="3"/>
      <name val="Calibri"/>
      <family val="2"/>
      <charset val="163"/>
      <scheme val="minor"/>
    </font>
    <font>
      <i/>
      <sz val="9"/>
      <color theme="1"/>
      <name val="Segoe UI"/>
      <family val="2"/>
      <charset val="163"/>
    </font>
    <font>
      <b/>
      <sz val="10"/>
      <color theme="1"/>
      <name val="Segoe Print"/>
    </font>
    <font>
      <b/>
      <i/>
      <sz val="10"/>
      <color theme="1"/>
      <name val="Segoe UI"/>
      <family val="2"/>
      <charset val="163"/>
    </font>
    <font>
      <i/>
      <sz val="10"/>
      <color theme="1"/>
      <name val="Segoe UI"/>
      <family val="2"/>
      <charset val="163"/>
    </font>
    <font>
      <sz val="11"/>
      <name val="Segoe UI"/>
      <family val="2"/>
      <charset val="163"/>
    </font>
    <font>
      <sz val="10"/>
      <name val="Segoe UI"/>
      <family val="2"/>
      <charset val="163"/>
    </font>
    <font>
      <b/>
      <sz val="12"/>
      <color theme="9" tint="-0.499984740745262"/>
      <name val="Segoe UI"/>
      <family val="2"/>
      <charset val="163"/>
    </font>
    <font>
      <sz val="12"/>
      <color theme="9" tint="-0.499984740745262"/>
      <name val="Segoe Print"/>
    </font>
    <font>
      <sz val="12"/>
      <color theme="1"/>
      <name val="Segoe Print"/>
    </font>
    <font>
      <b/>
      <sz val="18"/>
      <color rgb="FFC00000"/>
      <name val="Segoe UI Black"/>
      <family val="2"/>
      <charset val="163"/>
    </font>
    <font>
      <u/>
      <sz val="11"/>
      <color theme="10"/>
      <name val="Calibri"/>
      <family val="2"/>
      <scheme val="minor"/>
    </font>
    <font>
      <sz val="8.5"/>
      <color theme="1"/>
      <name val="Segoe UI"/>
      <family val="2"/>
      <charset val="163"/>
    </font>
    <font>
      <b/>
      <sz val="22"/>
      <color theme="0"/>
      <name val="Segoe UI"/>
      <family val="2"/>
      <charset val="163"/>
    </font>
    <font>
      <i/>
      <sz val="11"/>
      <color theme="1"/>
      <name val="Segoe UI"/>
      <family val="2"/>
      <charset val="163"/>
    </font>
    <font>
      <b/>
      <sz val="11"/>
      <color rgb="FF0070C0"/>
      <name val="Segoe UI"/>
      <family val="2"/>
      <charset val="163"/>
    </font>
    <font>
      <b/>
      <i/>
      <sz val="11"/>
      <color theme="1"/>
      <name val="Segoe UI"/>
      <family val="2"/>
      <charset val="163"/>
    </font>
    <font>
      <b/>
      <sz val="14"/>
      <name val="Segoe UI"/>
      <family val="2"/>
      <charset val="163"/>
    </font>
    <font>
      <b/>
      <sz val="11"/>
      <color theme="8"/>
      <name val="Segoe UI"/>
      <family val="2"/>
      <charset val="163"/>
    </font>
    <font>
      <sz val="11"/>
      <color theme="8"/>
      <name val="Segoe UI"/>
      <family val="2"/>
      <charset val="163"/>
    </font>
    <font>
      <i/>
      <sz val="9"/>
      <color rgb="FF000000"/>
      <name val="Segoe UI"/>
      <family val="2"/>
      <charset val="163"/>
    </font>
  </fonts>
  <fills count="16">
    <fill>
      <patternFill patternType="none"/>
    </fill>
    <fill>
      <patternFill patternType="gray125"/>
    </fill>
    <fill>
      <patternFill patternType="solid">
        <fgColor theme="6" tint="0.39997558519241921"/>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rgb="FFFFC000"/>
        <bgColor indexed="64"/>
      </patternFill>
    </fill>
    <fill>
      <patternFill patternType="solid">
        <fgColor rgb="FFCC0000"/>
        <bgColor indexed="64"/>
      </patternFill>
    </fill>
    <fill>
      <patternFill patternType="solid">
        <fgColor rgb="FFF49914"/>
        <bgColor indexed="64"/>
      </patternFill>
    </fill>
    <fill>
      <patternFill patternType="solid">
        <fgColor rgb="FFFCF8CF"/>
        <bgColor indexed="64"/>
      </patternFill>
    </fill>
    <fill>
      <patternFill patternType="solid">
        <fgColor theme="9" tint="0.59999389629810485"/>
        <bgColor indexed="64"/>
      </patternFill>
    </fill>
    <fill>
      <patternFill patternType="solid">
        <fgColor theme="5"/>
        <bgColor indexed="64"/>
      </patternFill>
    </fill>
    <fill>
      <patternFill patternType="solid">
        <fgColor theme="8" tint="0.79998168889431442"/>
        <bgColor indexed="64"/>
      </patternFill>
    </fill>
    <fill>
      <patternFill patternType="solid">
        <fgColor rgb="FFFF5050"/>
        <bgColor indexed="64"/>
      </patternFill>
    </fill>
    <fill>
      <patternFill patternType="solid">
        <fgColor theme="9" tint="-0.249977111117893"/>
        <bgColor indexed="64"/>
      </patternFill>
    </fill>
    <fill>
      <patternFill patternType="solid">
        <fgColor rgb="FFFF3333"/>
        <bgColor indexed="64"/>
      </patternFill>
    </fill>
    <fill>
      <patternFill patternType="solid">
        <fgColor theme="9" tint="0.39997558519241921"/>
        <bgColor indexed="64"/>
      </patternFill>
    </fill>
  </fills>
  <borders count="131">
    <border>
      <left/>
      <right/>
      <top/>
      <bottom/>
      <diagonal/>
    </border>
    <border>
      <left style="thin">
        <color rgb="FFF49914"/>
      </left>
      <right style="thin">
        <color rgb="FFF49914"/>
      </right>
      <top style="thin">
        <color rgb="FFF49914"/>
      </top>
      <bottom style="dotted">
        <color rgb="FFF4991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dotted">
        <color theme="8" tint="-0.249977111117893"/>
      </bottom>
      <diagonal/>
    </border>
    <border>
      <left style="thin">
        <color theme="8" tint="-0.249977111117893"/>
      </left>
      <right style="thin">
        <color theme="8" tint="-0.249977111117893"/>
      </right>
      <top/>
      <bottom style="thin">
        <color theme="8" tint="-0.249977111117893"/>
      </bottom>
      <diagonal/>
    </border>
    <border>
      <left style="thin">
        <color theme="8" tint="-0.249977111117893"/>
      </left>
      <right/>
      <top style="thin">
        <color theme="8" tint="-0.249977111117893"/>
      </top>
      <bottom style="thin">
        <color theme="8" tint="-0.249977111117893"/>
      </bottom>
      <diagonal/>
    </border>
    <border>
      <left style="thin">
        <color theme="8" tint="-0.249977111117893"/>
      </left>
      <right style="thin">
        <color theme="8" tint="-0.249977111117893"/>
      </right>
      <top style="dotted">
        <color theme="8" tint="-0.249977111117893"/>
      </top>
      <bottom style="dotted">
        <color theme="8" tint="-0.249977111117893"/>
      </bottom>
      <diagonal/>
    </border>
    <border>
      <left style="thin">
        <color theme="8" tint="-0.249977111117893"/>
      </left>
      <right style="thin">
        <color theme="8" tint="-0.249977111117893"/>
      </right>
      <top style="dotted">
        <color theme="8" tint="-0.249977111117893"/>
      </top>
      <bottom style="thin">
        <color theme="8" tint="-0.249977111117893"/>
      </bottom>
      <diagonal/>
    </border>
    <border>
      <left style="thin">
        <color theme="8" tint="-0.249977111117893"/>
      </left>
      <right/>
      <top style="thin">
        <color theme="8" tint="-0.249977111117893"/>
      </top>
      <bottom style="dotted">
        <color theme="8" tint="-0.249977111117893"/>
      </bottom>
      <diagonal/>
    </border>
    <border>
      <left/>
      <right style="thin">
        <color theme="8" tint="-0.249977111117893"/>
      </right>
      <top style="thin">
        <color theme="8" tint="-0.249977111117893"/>
      </top>
      <bottom style="dotted">
        <color theme="8" tint="-0.249977111117893"/>
      </bottom>
      <diagonal/>
    </border>
    <border>
      <left style="thin">
        <color theme="8" tint="-0.249977111117893"/>
      </left>
      <right/>
      <top style="dotted">
        <color theme="8" tint="-0.249977111117893"/>
      </top>
      <bottom style="thin">
        <color theme="8" tint="-0.249977111117893"/>
      </bottom>
      <diagonal/>
    </border>
    <border>
      <left/>
      <right style="thin">
        <color theme="8" tint="-0.249977111117893"/>
      </right>
      <top style="dotted">
        <color theme="8" tint="-0.249977111117893"/>
      </top>
      <bottom style="thin">
        <color theme="8" tint="-0.249977111117893"/>
      </bottom>
      <diagonal/>
    </border>
    <border>
      <left style="thin">
        <color theme="8" tint="-0.249977111117893"/>
      </left>
      <right/>
      <top/>
      <bottom style="dotted">
        <color theme="8" tint="-0.249977111117893"/>
      </bottom>
      <diagonal/>
    </border>
    <border>
      <left/>
      <right style="thin">
        <color theme="8" tint="-0.249977111117893"/>
      </right>
      <top/>
      <bottom style="dotted">
        <color theme="8" tint="-0.249977111117893"/>
      </bottom>
      <diagonal/>
    </border>
    <border>
      <left style="thin">
        <color theme="8" tint="-0.249977111117893"/>
      </left>
      <right style="thin">
        <color theme="8" tint="-0.249977111117893"/>
      </right>
      <top style="dotted">
        <color theme="8" tint="-0.249977111117893"/>
      </top>
      <bottom/>
      <diagonal/>
    </border>
    <border>
      <left style="dashed">
        <color theme="8"/>
      </left>
      <right style="dashed">
        <color theme="8"/>
      </right>
      <top style="dashed">
        <color theme="8"/>
      </top>
      <bottom style="dashed">
        <color theme="8"/>
      </bottom>
      <diagonal/>
    </border>
    <border>
      <left style="medium">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medium">
        <color theme="9" tint="-0.249977111117893"/>
      </right>
      <top style="medium">
        <color theme="9" tint="-0.249977111117893"/>
      </top>
      <bottom style="dashed">
        <color theme="9" tint="-0.249977111117893"/>
      </bottom>
      <diagonal/>
    </border>
    <border>
      <left style="medium">
        <color theme="9" tint="-0.249977111117893"/>
      </left>
      <right style="dashed">
        <color theme="9" tint="-0.249977111117893"/>
      </right>
      <top style="medium">
        <color theme="9" tint="-0.249977111117893"/>
      </top>
      <bottom/>
      <diagonal/>
    </border>
    <border>
      <left style="dashed">
        <color theme="9" tint="-0.249977111117893"/>
      </left>
      <right style="dashed">
        <color theme="9" tint="-0.249977111117893"/>
      </right>
      <top style="medium">
        <color theme="9" tint="-0.249977111117893"/>
      </top>
      <bottom/>
      <diagonal/>
    </border>
    <border>
      <left style="dashed">
        <color theme="9" tint="-0.249977111117893"/>
      </left>
      <right style="medium">
        <color theme="9" tint="-0.249977111117893"/>
      </right>
      <top style="medium">
        <color theme="9" tint="-0.249977111117893"/>
      </top>
      <bottom/>
      <diagonal/>
    </border>
    <border>
      <left style="medium">
        <color theme="9" tint="-0.249977111117893"/>
      </left>
      <right style="dashed">
        <color theme="9" tint="-0.249977111117893"/>
      </right>
      <top style="medium">
        <color theme="9" tint="-0.249977111117893"/>
      </top>
      <bottom style="medium">
        <color theme="9" tint="-0.249977111117893"/>
      </bottom>
      <diagonal/>
    </border>
    <border>
      <left style="dashed">
        <color theme="9" tint="-0.249977111117893"/>
      </left>
      <right style="dashed">
        <color theme="9" tint="-0.249977111117893"/>
      </right>
      <top style="medium">
        <color theme="9" tint="-0.249977111117893"/>
      </top>
      <bottom style="medium">
        <color theme="9" tint="-0.249977111117893"/>
      </bottom>
      <diagonal/>
    </border>
    <border>
      <left style="dashed">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dashed">
        <color theme="9" tint="-0.249977111117893"/>
      </right>
      <top/>
      <bottom/>
      <diagonal/>
    </border>
    <border>
      <left style="dashed">
        <color theme="9" tint="-0.249977111117893"/>
      </left>
      <right style="dashed">
        <color theme="9" tint="-0.249977111117893"/>
      </right>
      <top/>
      <bottom/>
      <diagonal/>
    </border>
    <border>
      <left style="dashed">
        <color theme="9" tint="-0.249977111117893"/>
      </left>
      <right style="medium">
        <color theme="9" tint="-0.249977111117893"/>
      </right>
      <top/>
      <bottom/>
      <diagonal/>
    </border>
    <border>
      <left style="medium">
        <color theme="9" tint="-0.249977111117893"/>
      </left>
      <right/>
      <top style="medium">
        <color theme="9" tint="-0.249977111117893"/>
      </top>
      <bottom style="medium">
        <color theme="9" tint="-0.249977111117893"/>
      </bottom>
      <diagonal/>
    </border>
    <border>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9" tint="-0.249977111117893"/>
      </left>
      <right style="medium">
        <color theme="9" tint="-0.249977111117893"/>
      </right>
      <top style="medium">
        <color theme="9" tint="-0.249977111117893"/>
      </top>
      <bottom/>
      <diagonal/>
    </border>
    <border>
      <left style="medium">
        <color theme="9" tint="-0.249977111117893"/>
      </left>
      <right style="medium">
        <color theme="9" tint="-0.249977111117893"/>
      </right>
      <top style="dashed">
        <color theme="9" tint="-0.249977111117893"/>
      </top>
      <bottom style="dashed">
        <color theme="9" tint="-0.249977111117893"/>
      </bottom>
      <diagonal/>
    </border>
    <border>
      <left style="medium">
        <color theme="9" tint="-0.249977111117893"/>
      </left>
      <right style="medium">
        <color theme="9" tint="-0.249977111117893"/>
      </right>
      <top/>
      <bottom style="medium">
        <color theme="9" tint="-0.249977111117893"/>
      </bottom>
      <diagonal/>
    </border>
    <border>
      <left style="medium">
        <color theme="9" tint="-0.249977111117893"/>
      </left>
      <right style="medium">
        <color theme="9" tint="-0.249977111117893"/>
      </right>
      <top style="dashed">
        <color theme="9" tint="-0.249977111117893"/>
      </top>
      <bottom style="medium">
        <color theme="9" tint="-0.249977111117893"/>
      </bottom>
      <diagonal/>
    </border>
    <border>
      <left style="medium">
        <color theme="9" tint="-0.249977111117893"/>
      </left>
      <right style="medium">
        <color theme="9" tint="-0.249977111117893"/>
      </right>
      <top style="dotted">
        <color theme="9" tint="-0.249977111117893"/>
      </top>
      <bottom style="medium">
        <color theme="9" tint="-0.249977111117893"/>
      </bottom>
      <diagonal/>
    </border>
    <border>
      <left style="dotted">
        <color theme="9" tint="-0.249977111117893"/>
      </left>
      <right style="medium">
        <color theme="9" tint="-0.249977111117893"/>
      </right>
      <top style="medium">
        <color theme="9" tint="-0.249977111117893"/>
      </top>
      <bottom/>
      <diagonal/>
    </border>
    <border>
      <left style="medium">
        <color theme="9" tint="-0.249977111117893"/>
      </left>
      <right/>
      <top style="medium">
        <color theme="9" tint="-0.249977111117893"/>
      </top>
      <bottom/>
      <diagonal/>
    </border>
    <border>
      <left/>
      <right style="medium">
        <color theme="9" tint="-0.249977111117893"/>
      </right>
      <top/>
      <bottom style="medium">
        <color theme="9" tint="-0.249977111117893"/>
      </bottom>
      <diagonal/>
    </border>
    <border>
      <left style="dotted">
        <color theme="9" tint="-0.249977111117893"/>
      </left>
      <right style="medium">
        <color theme="9" tint="-0.249977111117893"/>
      </right>
      <top/>
      <bottom style="medium">
        <color theme="9" tint="-0.249977111117893"/>
      </bottom>
      <diagonal/>
    </border>
    <border>
      <left/>
      <right style="medium">
        <color theme="9" tint="-0.249977111117893"/>
      </right>
      <top style="medium">
        <color theme="9" tint="-0.249977111117893"/>
      </top>
      <bottom/>
      <diagonal/>
    </border>
    <border>
      <left style="medium">
        <color theme="9" tint="-0.249977111117893"/>
      </left>
      <right/>
      <top/>
      <bottom style="medium">
        <color theme="9" tint="-0.249977111117893"/>
      </bottom>
      <diagonal/>
    </border>
    <border>
      <left style="medium">
        <color theme="9" tint="-0.249977111117893"/>
      </left>
      <right style="dotted">
        <color theme="9" tint="-0.249977111117893"/>
      </right>
      <top style="medium">
        <color theme="9" tint="-0.249977111117893"/>
      </top>
      <bottom style="medium">
        <color theme="9" tint="-0.249977111117893"/>
      </bottom>
      <diagonal/>
    </border>
    <border>
      <left/>
      <right/>
      <top style="medium">
        <color theme="9" tint="-0.249977111117893"/>
      </top>
      <bottom/>
      <diagonal/>
    </border>
    <border>
      <left style="medium">
        <color theme="9" tint="-0.249977111117893"/>
      </left>
      <right style="medium">
        <color theme="9" tint="-0.249977111117893"/>
      </right>
      <top style="dotted">
        <color theme="9" tint="-0.249977111117893"/>
      </top>
      <bottom/>
      <diagonal/>
    </border>
    <border>
      <left style="medium">
        <color theme="9" tint="-0.249977111117893"/>
      </left>
      <right style="medium">
        <color theme="9" tint="-0.249977111117893"/>
      </right>
      <top style="medium">
        <color theme="9" tint="-0.249977111117893"/>
      </top>
      <bottom style="dotted">
        <color theme="9" tint="-0.249977111117893"/>
      </bottom>
      <diagonal/>
    </border>
    <border>
      <left style="medium">
        <color theme="9" tint="-0.249977111117893"/>
      </left>
      <right style="medium">
        <color theme="9" tint="-0.249977111117893"/>
      </right>
      <top/>
      <bottom/>
      <diagonal/>
    </border>
    <border>
      <left style="dotted">
        <color theme="9" tint="-0.249977111117893"/>
      </left>
      <right/>
      <top style="medium">
        <color theme="9" tint="-0.249977111117893"/>
      </top>
      <bottom/>
      <diagonal/>
    </border>
    <border>
      <left style="dotted">
        <color theme="9" tint="-0.249977111117893"/>
      </left>
      <right/>
      <top/>
      <bottom style="medium">
        <color theme="9" tint="-0.249977111117893"/>
      </bottom>
      <diagonal/>
    </border>
    <border>
      <left style="thick">
        <color theme="9" tint="-0.249977111117893"/>
      </left>
      <right style="medium">
        <color theme="9" tint="-0.249977111117893"/>
      </right>
      <top style="thick">
        <color theme="9" tint="-0.249977111117893"/>
      </top>
      <bottom style="medium">
        <color theme="9" tint="-0.249977111117893"/>
      </bottom>
      <diagonal/>
    </border>
    <border>
      <left style="medium">
        <color theme="9" tint="-0.249977111117893"/>
      </left>
      <right style="medium">
        <color theme="9" tint="-0.249977111117893"/>
      </right>
      <top style="thick">
        <color theme="9" tint="-0.249977111117893"/>
      </top>
      <bottom style="medium">
        <color theme="9" tint="-0.249977111117893"/>
      </bottom>
      <diagonal/>
    </border>
    <border>
      <left style="medium">
        <color theme="9" tint="-0.249977111117893"/>
      </left>
      <right style="thick">
        <color theme="9" tint="-0.249977111117893"/>
      </right>
      <top style="thick">
        <color theme="9" tint="-0.249977111117893"/>
      </top>
      <bottom style="medium">
        <color theme="9" tint="-0.249977111117893"/>
      </bottom>
      <diagonal/>
    </border>
    <border>
      <left style="thick">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thick">
        <color theme="9" tint="-0.249977111117893"/>
      </right>
      <top style="medium">
        <color theme="9" tint="-0.249977111117893"/>
      </top>
      <bottom style="medium">
        <color theme="9" tint="-0.249977111117893"/>
      </bottom>
      <diagonal/>
    </border>
    <border>
      <left style="thick">
        <color theme="9" tint="-0.249977111117893"/>
      </left>
      <right style="medium">
        <color theme="9" tint="-0.249977111117893"/>
      </right>
      <top style="medium">
        <color theme="9" tint="-0.249977111117893"/>
      </top>
      <bottom style="thick">
        <color theme="9" tint="-0.249977111117893"/>
      </bottom>
      <diagonal/>
    </border>
    <border>
      <left style="medium">
        <color theme="9" tint="-0.249977111117893"/>
      </left>
      <right style="medium">
        <color theme="9" tint="-0.249977111117893"/>
      </right>
      <top style="medium">
        <color theme="9" tint="-0.249977111117893"/>
      </top>
      <bottom style="thick">
        <color theme="9" tint="-0.249977111117893"/>
      </bottom>
      <diagonal/>
    </border>
    <border>
      <left style="medium">
        <color theme="9" tint="-0.249977111117893"/>
      </left>
      <right style="dotted">
        <color theme="9" tint="-0.249977111117893"/>
      </right>
      <top style="medium">
        <color theme="9" tint="-0.249977111117893"/>
      </top>
      <bottom style="thick">
        <color theme="9" tint="-0.249977111117893"/>
      </bottom>
      <diagonal/>
    </border>
    <border>
      <left/>
      <right style="medium">
        <color theme="9" tint="-0.249977111117893"/>
      </right>
      <top style="medium">
        <color theme="9" tint="-0.249977111117893"/>
      </top>
      <bottom style="thick">
        <color theme="9" tint="-0.249977111117893"/>
      </bottom>
      <diagonal/>
    </border>
    <border>
      <left style="medium">
        <color theme="9" tint="-0.249977111117893"/>
      </left>
      <right style="thick">
        <color theme="9" tint="-0.249977111117893"/>
      </right>
      <top style="medium">
        <color theme="9" tint="-0.249977111117893"/>
      </top>
      <bottom style="thick">
        <color theme="9" tint="-0.249977111117893"/>
      </bottom>
      <diagonal/>
    </border>
    <border>
      <left style="mediumDashed">
        <color theme="9" tint="0.59999389629810485"/>
      </left>
      <right/>
      <top style="mediumDashed">
        <color theme="9" tint="0.59999389629810485"/>
      </top>
      <bottom/>
      <diagonal/>
    </border>
    <border>
      <left/>
      <right/>
      <top style="mediumDashed">
        <color theme="9" tint="0.59999389629810485"/>
      </top>
      <bottom/>
      <diagonal/>
    </border>
    <border>
      <left/>
      <right style="mediumDashed">
        <color theme="9" tint="0.59999389629810485"/>
      </right>
      <top style="mediumDashed">
        <color theme="9" tint="0.59999389629810485"/>
      </top>
      <bottom/>
      <diagonal/>
    </border>
    <border>
      <left style="mediumDashed">
        <color theme="9" tint="0.59999389629810485"/>
      </left>
      <right/>
      <top/>
      <bottom/>
      <diagonal/>
    </border>
    <border>
      <left/>
      <right style="mediumDashed">
        <color theme="9" tint="0.59999389629810485"/>
      </right>
      <top/>
      <bottom/>
      <diagonal/>
    </border>
    <border>
      <left style="mediumDashed">
        <color theme="9" tint="0.59999389629810485"/>
      </left>
      <right/>
      <top/>
      <bottom style="mediumDashed">
        <color theme="9" tint="0.59999389629810485"/>
      </bottom>
      <diagonal/>
    </border>
    <border>
      <left/>
      <right/>
      <top/>
      <bottom style="mediumDashed">
        <color theme="9" tint="0.59999389629810485"/>
      </bottom>
      <diagonal/>
    </border>
    <border>
      <left/>
      <right style="mediumDashed">
        <color theme="9" tint="0.59999389629810485"/>
      </right>
      <top/>
      <bottom style="mediumDashed">
        <color theme="9" tint="0.59999389629810485"/>
      </bottom>
      <diagonal/>
    </border>
    <border>
      <left style="mediumDashed">
        <color theme="9" tint="0.79998168889431442"/>
      </left>
      <right/>
      <top style="mediumDashed">
        <color theme="9" tint="0.79998168889431442"/>
      </top>
      <bottom/>
      <diagonal/>
    </border>
    <border>
      <left/>
      <right/>
      <top style="mediumDashed">
        <color theme="9" tint="0.79998168889431442"/>
      </top>
      <bottom/>
      <diagonal/>
    </border>
    <border>
      <left/>
      <right style="mediumDashed">
        <color theme="9" tint="0.79998168889431442"/>
      </right>
      <top style="mediumDashed">
        <color theme="9" tint="0.79998168889431442"/>
      </top>
      <bottom/>
      <diagonal/>
    </border>
    <border>
      <left style="mediumDashed">
        <color theme="9" tint="0.79998168889431442"/>
      </left>
      <right/>
      <top/>
      <bottom/>
      <diagonal/>
    </border>
    <border>
      <left/>
      <right style="mediumDashed">
        <color theme="9" tint="0.79998168889431442"/>
      </right>
      <top/>
      <bottom/>
      <diagonal/>
    </border>
    <border>
      <left style="mediumDashed">
        <color theme="9" tint="0.79998168889431442"/>
      </left>
      <right/>
      <top/>
      <bottom style="mediumDashed">
        <color theme="9" tint="0.79998168889431442"/>
      </bottom>
      <diagonal/>
    </border>
    <border>
      <left/>
      <right/>
      <top/>
      <bottom style="mediumDashed">
        <color theme="9" tint="0.79998168889431442"/>
      </bottom>
      <diagonal/>
    </border>
    <border>
      <left/>
      <right style="mediumDashed">
        <color theme="9" tint="0.79998168889431442"/>
      </right>
      <top/>
      <bottom style="mediumDashed">
        <color theme="9" tint="0.79998168889431442"/>
      </bottom>
      <diagonal/>
    </border>
    <border>
      <left/>
      <right/>
      <top/>
      <bottom style="thin">
        <color theme="8" tint="-0.249977111117893"/>
      </bottom>
      <diagonal/>
    </border>
    <border>
      <left style="dashed">
        <color rgb="FFFF5050"/>
      </left>
      <right style="dashed">
        <color rgb="FFFF5050"/>
      </right>
      <top style="dashed">
        <color rgb="FFFF5050"/>
      </top>
      <bottom style="dashed">
        <color rgb="FFFF5050"/>
      </bottom>
      <diagonal/>
    </border>
    <border>
      <left style="thick">
        <color theme="9" tint="-0.249977111117893"/>
      </left>
      <right/>
      <top/>
      <bottom/>
      <diagonal/>
    </border>
    <border>
      <left/>
      <right/>
      <top style="thick">
        <color theme="9" tint="-0.249977111117893"/>
      </top>
      <bottom/>
      <diagonal/>
    </border>
    <border>
      <left style="dashed">
        <color rgb="FFC00000"/>
      </left>
      <right/>
      <top style="dashed">
        <color rgb="FFC00000"/>
      </top>
      <bottom/>
      <diagonal/>
    </border>
    <border>
      <left/>
      <right/>
      <top style="dashed">
        <color rgb="FFC00000"/>
      </top>
      <bottom/>
      <diagonal/>
    </border>
    <border>
      <left/>
      <right style="dashed">
        <color rgb="FFC00000"/>
      </right>
      <top style="dashed">
        <color rgb="FFC00000"/>
      </top>
      <bottom/>
      <diagonal/>
    </border>
    <border>
      <left style="dashed">
        <color rgb="FFC00000"/>
      </left>
      <right/>
      <top/>
      <bottom/>
      <diagonal/>
    </border>
    <border>
      <left/>
      <right style="dashed">
        <color rgb="FFC00000"/>
      </right>
      <top/>
      <bottom/>
      <diagonal/>
    </border>
    <border>
      <left style="dashed">
        <color rgb="FFC00000"/>
      </left>
      <right/>
      <top style="dashed">
        <color rgb="FFC00000"/>
      </top>
      <bottom style="dashed">
        <color rgb="FFC00000"/>
      </bottom>
      <diagonal/>
    </border>
    <border>
      <left/>
      <right/>
      <top style="dashed">
        <color rgb="FFC00000"/>
      </top>
      <bottom style="dashed">
        <color rgb="FFC00000"/>
      </bottom>
      <diagonal/>
    </border>
    <border>
      <left/>
      <right style="dashed">
        <color rgb="FFC00000"/>
      </right>
      <top style="dashed">
        <color rgb="FFC00000"/>
      </top>
      <bottom style="dashed">
        <color rgb="FFC00000"/>
      </bottom>
      <diagonal/>
    </border>
    <border>
      <left style="dashed">
        <color theme="9" tint="-0.499984740745262"/>
      </left>
      <right/>
      <top style="dashed">
        <color theme="9" tint="-0.499984740745262"/>
      </top>
      <bottom/>
      <diagonal/>
    </border>
    <border>
      <left/>
      <right/>
      <top style="dashed">
        <color theme="9" tint="-0.499984740745262"/>
      </top>
      <bottom/>
      <diagonal/>
    </border>
    <border>
      <left/>
      <right style="dashed">
        <color theme="9" tint="-0.499984740745262"/>
      </right>
      <top style="dashed">
        <color theme="9" tint="-0.499984740745262"/>
      </top>
      <bottom/>
      <diagonal/>
    </border>
    <border>
      <left style="dashed">
        <color theme="9" tint="-0.499984740745262"/>
      </left>
      <right/>
      <top/>
      <bottom/>
      <diagonal/>
    </border>
    <border>
      <left style="dashed">
        <color rgb="FFC00000"/>
      </left>
      <right style="dashed">
        <color rgb="FFC00000"/>
      </right>
      <top style="dashed">
        <color theme="9" tint="-0.499984740745262"/>
      </top>
      <bottom style="dashed">
        <color rgb="FFC00000"/>
      </bottom>
      <diagonal/>
    </border>
    <border>
      <left style="dashed">
        <color theme="9" tint="-0.499984740745262"/>
      </left>
      <right style="dashed">
        <color rgb="FFC00000"/>
      </right>
      <top/>
      <bottom style="dashed">
        <color theme="9" tint="-0.499984740745262"/>
      </bottom>
      <diagonal/>
    </border>
    <border>
      <left style="dashed">
        <color rgb="FFC00000"/>
      </left>
      <right style="dashed">
        <color rgb="FFC00000"/>
      </right>
      <top/>
      <bottom style="dashed">
        <color theme="9" tint="-0.499984740745262"/>
      </bottom>
      <diagonal/>
    </border>
    <border>
      <left style="dashed">
        <color rgb="FFC00000"/>
      </left>
      <right style="dashed">
        <color theme="9" tint="-0.499984740745262"/>
      </right>
      <top/>
      <bottom style="dashed">
        <color theme="9" tint="-0.499984740745262"/>
      </bottom>
      <diagonal/>
    </border>
    <border>
      <left style="dashed">
        <color theme="9" tint="-0.499984740745262"/>
      </left>
      <right style="dashed">
        <color rgb="FFC00000"/>
      </right>
      <top style="dashed">
        <color theme="9" tint="-0.499984740745262"/>
      </top>
      <bottom style="dashed">
        <color theme="9" tint="-0.499984740745262"/>
      </bottom>
      <diagonal/>
    </border>
    <border>
      <left style="dashed">
        <color rgb="FFC00000"/>
      </left>
      <right style="dashed">
        <color rgb="FFC00000"/>
      </right>
      <top style="dashed">
        <color theme="9" tint="-0.499984740745262"/>
      </top>
      <bottom style="dashed">
        <color theme="9" tint="-0.499984740745262"/>
      </bottom>
      <diagonal/>
    </border>
    <border>
      <left style="dashed">
        <color rgb="FFC00000"/>
      </left>
      <right style="dashed">
        <color theme="9" tint="-0.499984740745262"/>
      </right>
      <top style="dashed">
        <color theme="9" tint="-0.499984740745262"/>
      </top>
      <bottom style="dashed">
        <color theme="9" tint="-0.499984740745262"/>
      </bottom>
      <diagonal/>
    </border>
    <border>
      <left style="dashed">
        <color theme="9" tint="-0.499984740745262"/>
      </left>
      <right/>
      <top/>
      <bottom style="dashed">
        <color theme="9" tint="-0.499984740745262"/>
      </bottom>
      <diagonal/>
    </border>
    <border>
      <left/>
      <right/>
      <top/>
      <bottom style="dashed">
        <color theme="9" tint="-0.499984740745262"/>
      </bottom>
      <diagonal/>
    </border>
    <border>
      <left/>
      <right style="dashed">
        <color theme="9" tint="-0.499984740745262"/>
      </right>
      <top/>
      <bottom style="dashed">
        <color theme="9" tint="-0.499984740745262"/>
      </bottom>
      <diagonal/>
    </border>
    <border>
      <left/>
      <right/>
      <top/>
      <bottom style="thick">
        <color theme="4"/>
      </bottom>
      <diagonal/>
    </border>
    <border>
      <left/>
      <right/>
      <top style="thick">
        <color theme="4" tint="0.59996337778862885"/>
      </top>
      <bottom style="thick">
        <color theme="4" tint="0.59996337778862885"/>
      </bottom>
      <diagonal/>
    </border>
    <border>
      <left style="medium">
        <color rgb="FFFF3333"/>
      </left>
      <right style="medium">
        <color rgb="FFFF3333"/>
      </right>
      <top style="medium">
        <color rgb="FFFF3333"/>
      </top>
      <bottom/>
      <diagonal/>
    </border>
    <border>
      <left style="medium">
        <color rgb="FFFF3333"/>
      </left>
      <right/>
      <top/>
      <bottom/>
      <diagonal/>
    </border>
    <border>
      <left style="thick">
        <color rgb="FFFF3333"/>
      </left>
      <right/>
      <top style="thick">
        <color rgb="FFFF3333"/>
      </top>
      <bottom/>
      <diagonal/>
    </border>
    <border>
      <left/>
      <right/>
      <top style="thick">
        <color rgb="FFFF3333"/>
      </top>
      <bottom/>
      <diagonal/>
    </border>
    <border>
      <left/>
      <right style="thick">
        <color rgb="FFFF3333"/>
      </right>
      <top style="thick">
        <color rgb="FFFF3333"/>
      </top>
      <bottom/>
      <diagonal/>
    </border>
    <border>
      <left style="thick">
        <color rgb="FFFF3333"/>
      </left>
      <right/>
      <top/>
      <bottom/>
      <diagonal/>
    </border>
    <border>
      <left/>
      <right style="thick">
        <color rgb="FFFF3333"/>
      </right>
      <top/>
      <bottom/>
      <diagonal/>
    </border>
    <border>
      <left style="thick">
        <color rgb="FFFF3333"/>
      </left>
      <right/>
      <top/>
      <bottom style="thick">
        <color rgb="FFFF3333"/>
      </bottom>
      <diagonal/>
    </border>
    <border>
      <left/>
      <right/>
      <top/>
      <bottom style="thick">
        <color rgb="FFFF3333"/>
      </bottom>
      <diagonal/>
    </border>
    <border>
      <left/>
      <right style="thick">
        <color rgb="FFFF3333"/>
      </right>
      <top/>
      <bottom style="thick">
        <color rgb="FFFF3333"/>
      </bottom>
      <diagonal/>
    </border>
    <border>
      <left style="thick">
        <color theme="8" tint="-0.499984740745262"/>
      </left>
      <right style="thick">
        <color theme="8" tint="-0.499984740745262"/>
      </right>
      <top style="thick">
        <color theme="8" tint="-0.499984740745262"/>
      </top>
      <bottom style="dotted">
        <color theme="8" tint="-0.249977111117893"/>
      </bottom>
      <diagonal/>
    </border>
    <border>
      <left style="thick">
        <color theme="8" tint="-0.499984740745262"/>
      </left>
      <right style="thick">
        <color theme="8" tint="-0.499984740745262"/>
      </right>
      <top style="dotted">
        <color theme="8" tint="-0.249977111117893"/>
      </top>
      <bottom style="dashed">
        <color theme="8" tint="-0.249977111117893"/>
      </bottom>
      <diagonal/>
    </border>
    <border>
      <left style="thick">
        <color theme="8" tint="-0.499984740745262"/>
      </left>
      <right style="thick">
        <color theme="8" tint="-0.499984740745262"/>
      </right>
      <top style="dashed">
        <color theme="8" tint="-0.249977111117893"/>
      </top>
      <bottom style="dashed">
        <color theme="8" tint="-0.249977111117893"/>
      </bottom>
      <diagonal/>
    </border>
    <border>
      <left style="mediumDashed">
        <color theme="8" tint="-0.249977111117893"/>
      </left>
      <right style="thick">
        <color theme="8" tint="-0.499984740745262"/>
      </right>
      <top style="mediumDashed">
        <color theme="8" tint="-0.249977111117893"/>
      </top>
      <bottom style="thick">
        <color theme="8" tint="-0.499984740745262"/>
      </bottom>
      <diagonal/>
    </border>
    <border>
      <left style="thick">
        <color theme="8" tint="-0.499984740745262"/>
      </left>
      <right style="thick">
        <color theme="8" tint="-0.499984740745262"/>
      </right>
      <top style="mediumDashed">
        <color theme="8" tint="-0.249977111117893"/>
      </top>
      <bottom style="thick">
        <color theme="8" tint="-0.499984740745262"/>
      </bottom>
      <diagonal/>
    </border>
    <border>
      <left style="thick">
        <color theme="8" tint="-0.499984740745262"/>
      </left>
      <right style="mediumDashed">
        <color theme="8" tint="-0.249977111117893"/>
      </right>
      <top style="mediumDashed">
        <color theme="8" tint="-0.249977111117893"/>
      </top>
      <bottom style="thick">
        <color theme="8" tint="-0.499984740745262"/>
      </bottom>
      <diagonal/>
    </border>
    <border>
      <left style="mediumDashed">
        <color theme="8" tint="-0.249977111117893"/>
      </left>
      <right style="thick">
        <color theme="8" tint="-0.499984740745262"/>
      </right>
      <top style="thick">
        <color theme="8" tint="-0.499984740745262"/>
      </top>
      <bottom style="dotted">
        <color theme="8" tint="-0.249977111117893"/>
      </bottom>
      <diagonal/>
    </border>
    <border>
      <left style="thick">
        <color theme="8" tint="-0.499984740745262"/>
      </left>
      <right style="mediumDashed">
        <color theme="8" tint="-0.249977111117893"/>
      </right>
      <top style="thick">
        <color theme="8" tint="-0.499984740745262"/>
      </top>
      <bottom style="dotted">
        <color theme="8" tint="-0.249977111117893"/>
      </bottom>
      <diagonal/>
    </border>
    <border>
      <left style="mediumDashed">
        <color theme="8" tint="-0.249977111117893"/>
      </left>
      <right style="thick">
        <color theme="8" tint="-0.499984740745262"/>
      </right>
      <top style="dotted">
        <color theme="8" tint="-0.249977111117893"/>
      </top>
      <bottom style="dashed">
        <color theme="8" tint="-0.249977111117893"/>
      </bottom>
      <diagonal/>
    </border>
    <border>
      <left style="thick">
        <color theme="8" tint="-0.499984740745262"/>
      </left>
      <right style="mediumDashed">
        <color theme="8" tint="-0.249977111117893"/>
      </right>
      <top style="dotted">
        <color theme="8" tint="-0.249977111117893"/>
      </top>
      <bottom style="dashed">
        <color theme="8" tint="-0.249977111117893"/>
      </bottom>
      <diagonal/>
    </border>
    <border>
      <left style="mediumDashed">
        <color theme="8" tint="-0.249977111117893"/>
      </left>
      <right style="thick">
        <color theme="8" tint="-0.499984740745262"/>
      </right>
      <top style="dashed">
        <color theme="8" tint="-0.249977111117893"/>
      </top>
      <bottom style="dashed">
        <color theme="8" tint="-0.249977111117893"/>
      </bottom>
      <diagonal/>
    </border>
    <border>
      <left style="thick">
        <color theme="8" tint="-0.499984740745262"/>
      </left>
      <right style="mediumDashed">
        <color theme="8" tint="-0.249977111117893"/>
      </right>
      <top style="dashed">
        <color theme="8" tint="-0.249977111117893"/>
      </top>
      <bottom style="dashed">
        <color theme="8" tint="-0.249977111117893"/>
      </bottom>
      <diagonal/>
    </border>
    <border>
      <left style="mediumDashed">
        <color theme="8" tint="-0.249977111117893"/>
      </left>
      <right style="thick">
        <color theme="8" tint="-0.499984740745262"/>
      </right>
      <top/>
      <bottom style="mediumDashed">
        <color theme="8" tint="-0.249977111117893"/>
      </bottom>
      <diagonal/>
    </border>
    <border>
      <left style="thick">
        <color theme="8" tint="-0.499984740745262"/>
      </left>
      <right style="thick">
        <color theme="8" tint="-0.499984740745262"/>
      </right>
      <top/>
      <bottom style="mediumDashed">
        <color theme="8" tint="-0.249977111117893"/>
      </bottom>
      <diagonal/>
    </border>
    <border>
      <left style="thick">
        <color theme="8" tint="-0.499984740745262"/>
      </left>
      <right style="mediumDashed">
        <color theme="8" tint="-0.249977111117893"/>
      </right>
      <top/>
      <bottom style="mediumDashed">
        <color theme="8" tint="-0.249977111117893"/>
      </bottom>
      <diagonal/>
    </border>
    <border>
      <left style="medium">
        <color theme="8" tint="-0.249977111117893"/>
      </left>
      <right style="medium">
        <color theme="8" tint="-0.249977111117893"/>
      </right>
      <top style="medium">
        <color theme="8" tint="-0.249977111117893"/>
      </top>
      <bottom style="medium">
        <color theme="8" tint="-0.249977111117893"/>
      </bottom>
      <diagonal/>
    </border>
    <border>
      <left/>
      <right/>
      <top style="thick">
        <color theme="8" tint="0.79998168889431442"/>
      </top>
      <bottom/>
      <diagonal/>
    </border>
    <border>
      <left/>
      <right style="thin">
        <color rgb="FF92CDDC"/>
      </right>
      <top style="thin">
        <color rgb="FF92CDDC"/>
      </top>
      <bottom style="thin">
        <color rgb="FF92CDDC"/>
      </bottom>
      <diagonal/>
    </border>
  </borders>
  <cellStyleXfs count="6">
    <xf numFmtId="0" fontId="0" fillId="0" borderId="0"/>
    <xf numFmtId="9" fontId="1" fillId="0" borderId="0" applyFont="0" applyFill="0" applyBorder="0" applyAlignment="0" applyProtection="0"/>
    <xf numFmtId="0" fontId="13" fillId="7" borderId="0">
      <alignment horizontal="left" vertical="center" indent="1"/>
    </xf>
    <xf numFmtId="0" fontId="14" fillId="0" borderId="1" applyNumberFormat="0">
      <alignment horizontal="left" vertical="center" indent="1"/>
    </xf>
    <xf numFmtId="0" fontId="46" fillId="0" borderId="101" applyNumberFormat="0" applyFill="0" applyAlignment="0" applyProtection="0"/>
    <xf numFmtId="0" fontId="57" fillId="0" borderId="0" applyNumberFormat="0" applyFill="0" applyBorder="0" applyAlignment="0" applyProtection="0"/>
  </cellStyleXfs>
  <cellXfs count="234">
    <xf numFmtId="0" fontId="0" fillId="0" borderId="0" xfId="0"/>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Protection="1">
      <protection hidden="1"/>
    </xf>
    <xf numFmtId="0" fontId="3" fillId="0" borderId="0" xfId="0" applyFont="1" applyAlignment="1" applyProtection="1">
      <alignment horizontal="center" vertical="center"/>
      <protection hidden="1"/>
    </xf>
    <xf numFmtId="0" fontId="2" fillId="0" borderId="0" xfId="0" applyFont="1" applyAlignment="1" applyProtection="1">
      <alignment horizontal="left" vertical="center"/>
      <protection hidden="1"/>
    </xf>
    <xf numFmtId="0" fontId="16" fillId="8" borderId="2" xfId="3" applyFont="1" applyFill="1" applyBorder="1" applyAlignment="1" applyProtection="1">
      <alignment horizontal="center" vertical="center"/>
      <protection hidden="1"/>
    </xf>
    <xf numFmtId="0" fontId="3" fillId="0" borderId="0" xfId="0" applyFont="1" applyProtection="1">
      <protection hidden="1"/>
    </xf>
    <xf numFmtId="0" fontId="18" fillId="0" borderId="4" xfId="3" applyFont="1" applyBorder="1" applyAlignment="1" applyProtection="1">
      <alignment horizontal="center" vertical="center"/>
      <protection hidden="1"/>
    </xf>
    <xf numFmtId="0" fontId="18" fillId="0" borderId="7" xfId="3" applyFont="1" applyBorder="1" applyAlignment="1" applyProtection="1">
      <alignment horizontal="center" vertical="center"/>
      <protection hidden="1"/>
    </xf>
    <xf numFmtId="0" fontId="16" fillId="0" borderId="5" xfId="3" applyFont="1" applyBorder="1" applyAlignment="1" applyProtection="1">
      <alignment horizontal="center" vertical="center"/>
      <protection hidden="1"/>
    </xf>
    <xf numFmtId="0" fontId="15" fillId="0" borderId="5" xfId="0" applyFont="1" applyBorder="1" applyAlignment="1" applyProtection="1">
      <alignment horizontal="center" vertical="center"/>
      <protection hidden="1"/>
    </xf>
    <xf numFmtId="0" fontId="17" fillId="0" borderId="5" xfId="0" applyFont="1" applyBorder="1" applyAlignment="1" applyProtection="1">
      <alignment horizontal="center" vertical="center"/>
      <protection hidden="1"/>
    </xf>
    <xf numFmtId="0" fontId="18" fillId="0" borderId="8" xfId="0" applyFont="1" applyBorder="1" applyAlignment="1" applyProtection="1">
      <alignment horizontal="center" vertical="center"/>
      <protection hidden="1"/>
    </xf>
    <xf numFmtId="0" fontId="16" fillId="8" borderId="2" xfId="3" applyFont="1" applyFill="1" applyBorder="1" applyAlignment="1" applyProtection="1">
      <alignment horizontal="center"/>
      <protection hidden="1"/>
    </xf>
    <xf numFmtId="0" fontId="16" fillId="0" borderId="5" xfId="0" applyFont="1" applyBorder="1" applyAlignment="1" applyProtection="1">
      <alignment horizontal="center" vertical="center"/>
      <protection hidden="1"/>
    </xf>
    <xf numFmtId="0" fontId="18" fillId="0" borderId="15" xfId="0" applyFont="1" applyBorder="1" applyAlignment="1" applyProtection="1">
      <alignment horizontal="center" vertical="center"/>
      <protection hidden="1"/>
    </xf>
    <xf numFmtId="0" fontId="12" fillId="0" borderId="0" xfId="0" applyFont="1" applyProtection="1">
      <protection hidden="1"/>
    </xf>
    <xf numFmtId="0" fontId="2" fillId="0" borderId="0" xfId="0" applyFont="1" applyAlignment="1" applyProtection="1">
      <alignment horizontal="center" vertical="center" wrapText="1"/>
      <protection hidden="1"/>
    </xf>
    <xf numFmtId="0" fontId="3" fillId="0" borderId="0" xfId="0" applyFont="1" applyAlignment="1" applyProtection="1">
      <alignment horizontal="left" vertical="center"/>
      <protection hidden="1"/>
    </xf>
    <xf numFmtId="0" fontId="3" fillId="0" borderId="0" xfId="0" applyNumberFormat="1" applyFont="1" applyProtection="1">
      <protection hidden="1"/>
    </xf>
    <xf numFmtId="164" fontId="3" fillId="0" borderId="0" xfId="0" applyNumberFormat="1" applyFont="1" applyAlignment="1" applyProtection="1">
      <alignment horizontal="center" vertical="center"/>
      <protection hidden="1"/>
    </xf>
    <xf numFmtId="0" fontId="9" fillId="6" borderId="0" xfId="0" applyFont="1" applyFill="1" applyAlignment="1" applyProtection="1">
      <alignment horizontal="left" vertical="center"/>
      <protection hidden="1"/>
    </xf>
    <xf numFmtId="1" fontId="11" fillId="6" borderId="0" xfId="0" applyNumberFormat="1" applyFont="1" applyFill="1" applyAlignment="1" applyProtection="1">
      <alignment horizontal="center" vertical="center"/>
      <protection hidden="1"/>
    </xf>
    <xf numFmtId="0" fontId="3" fillId="5" borderId="0" xfId="0" applyFont="1" applyFill="1" applyAlignment="1" applyProtection="1">
      <alignment horizontal="left" vertical="center"/>
      <protection hidden="1"/>
    </xf>
    <xf numFmtId="1" fontId="10" fillId="5" borderId="0" xfId="0" applyNumberFormat="1" applyFont="1" applyFill="1" applyAlignment="1" applyProtection="1">
      <alignment horizontal="center" vertical="center"/>
      <protection hidden="1"/>
    </xf>
    <xf numFmtId="0" fontId="23" fillId="0" borderId="0" xfId="0" applyFont="1" applyBorder="1" applyAlignment="1" applyProtection="1">
      <alignment horizontal="center" vertical="center"/>
      <protection hidden="1"/>
    </xf>
    <xf numFmtId="1" fontId="23" fillId="0" borderId="0" xfId="0" applyNumberFormat="1" applyFont="1" applyBorder="1" applyAlignment="1" applyProtection="1">
      <alignment horizontal="center" vertical="center"/>
      <protection hidden="1"/>
    </xf>
    <xf numFmtId="1" fontId="23" fillId="5" borderId="0" xfId="0" applyNumberFormat="1" applyFont="1" applyFill="1" applyBorder="1" applyAlignment="1" applyProtection="1">
      <alignment horizontal="center" vertical="center"/>
      <protection hidden="1"/>
    </xf>
    <xf numFmtId="0" fontId="3" fillId="0" borderId="0" xfId="0" applyFont="1" applyAlignment="1" applyProtection="1">
      <alignment horizontal="center"/>
      <protection hidden="1"/>
    </xf>
    <xf numFmtId="0" fontId="3" fillId="0" borderId="0" xfId="0" applyFont="1" applyBorder="1" applyProtection="1">
      <protection hidden="1"/>
    </xf>
    <xf numFmtId="0" fontId="3" fillId="0" borderId="59" xfId="0" applyFont="1" applyBorder="1" applyProtection="1">
      <protection hidden="1"/>
    </xf>
    <xf numFmtId="0" fontId="2" fillId="0" borderId="60" xfId="0" applyFont="1" applyBorder="1" applyProtection="1">
      <protection hidden="1"/>
    </xf>
    <xf numFmtId="0" fontId="3" fillId="0" borderId="60" xfId="0" applyFont="1" applyBorder="1" applyProtection="1">
      <protection hidden="1"/>
    </xf>
    <xf numFmtId="0" fontId="3" fillId="0" borderId="61" xfId="0" applyFont="1" applyBorder="1" applyProtection="1">
      <protection hidden="1"/>
    </xf>
    <xf numFmtId="0" fontId="3" fillId="0" borderId="62" xfId="0" applyFont="1" applyBorder="1" applyProtection="1">
      <protection hidden="1"/>
    </xf>
    <xf numFmtId="0" fontId="3" fillId="0" borderId="63" xfId="0" applyFont="1" applyBorder="1" applyProtection="1">
      <protection hidden="1"/>
    </xf>
    <xf numFmtId="0" fontId="3" fillId="0" borderId="64" xfId="0" applyFont="1" applyBorder="1" applyProtection="1">
      <protection hidden="1"/>
    </xf>
    <xf numFmtId="0" fontId="3" fillId="0" borderId="65" xfId="0" applyFont="1" applyBorder="1" applyProtection="1">
      <protection hidden="1"/>
    </xf>
    <xf numFmtId="0" fontId="25" fillId="0" borderId="65" xfId="0" applyFont="1" applyBorder="1" applyAlignment="1" applyProtection="1">
      <alignment horizontal="center"/>
      <protection hidden="1"/>
    </xf>
    <xf numFmtId="0" fontId="3" fillId="0" borderId="66" xfId="0" applyFont="1" applyBorder="1" applyProtection="1">
      <protection hidden="1"/>
    </xf>
    <xf numFmtId="0" fontId="3" fillId="0" borderId="67" xfId="0" applyFont="1" applyBorder="1" applyProtection="1">
      <protection hidden="1"/>
    </xf>
    <xf numFmtId="0" fontId="3" fillId="0" borderId="68" xfId="0" applyFont="1" applyBorder="1" applyProtection="1">
      <protection hidden="1"/>
    </xf>
    <xf numFmtId="0" fontId="3" fillId="0" borderId="69" xfId="0" applyFont="1" applyBorder="1" applyProtection="1">
      <protection hidden="1"/>
    </xf>
    <xf numFmtId="0" fontId="3" fillId="0" borderId="70" xfId="0" applyFont="1" applyBorder="1" applyProtection="1">
      <protection hidden="1"/>
    </xf>
    <xf numFmtId="0" fontId="3" fillId="0" borderId="71" xfId="0" applyFont="1" applyBorder="1" applyProtection="1">
      <protection hidden="1"/>
    </xf>
    <xf numFmtId="0" fontId="3" fillId="0" borderId="72" xfId="0" applyFont="1" applyBorder="1" applyProtection="1">
      <protection hidden="1"/>
    </xf>
    <xf numFmtId="0" fontId="3" fillId="0" borderId="73" xfId="0" applyFont="1" applyBorder="1" applyProtection="1">
      <protection hidden="1"/>
    </xf>
    <xf numFmtId="0" fontId="3" fillId="0" borderId="74" xfId="0" applyFont="1" applyBorder="1" applyProtection="1">
      <protection hidden="1"/>
    </xf>
    <xf numFmtId="0" fontId="28" fillId="0" borderId="45" xfId="0" applyFont="1" applyBorder="1" applyAlignment="1" applyProtection="1">
      <alignment horizontal="center" vertical="center"/>
      <protection locked="0" hidden="1"/>
    </xf>
    <xf numFmtId="0" fontId="12" fillId="0" borderId="0" xfId="0" applyFont="1" applyBorder="1"/>
    <xf numFmtId="0" fontId="12" fillId="0" borderId="0" xfId="0" applyFont="1"/>
    <xf numFmtId="0" fontId="3" fillId="0" borderId="0" xfId="0" applyFont="1" applyAlignment="1" applyProtection="1">
      <alignment horizontal="left" vertical="center"/>
      <protection locked="0"/>
    </xf>
    <xf numFmtId="0" fontId="16" fillId="11" borderId="4" xfId="3" applyFont="1" applyFill="1" applyBorder="1" applyAlignment="1" applyProtection="1">
      <alignment horizontal="center" vertical="center"/>
      <protection hidden="1"/>
    </xf>
    <xf numFmtId="0" fontId="15" fillId="11" borderId="4" xfId="0" applyFont="1" applyFill="1" applyBorder="1" applyAlignment="1" applyProtection="1">
      <alignment horizontal="center" vertical="center"/>
      <protection hidden="1"/>
    </xf>
    <xf numFmtId="0" fontId="17" fillId="11" borderId="4" xfId="0" applyFont="1" applyFill="1" applyBorder="1" applyAlignment="1" applyProtection="1">
      <alignment horizontal="center" vertical="center"/>
      <protection hidden="1"/>
    </xf>
    <xf numFmtId="0" fontId="16" fillId="11" borderId="4" xfId="0" applyFont="1" applyFill="1" applyBorder="1" applyAlignment="1" applyProtection="1">
      <alignment horizontal="center" vertical="center"/>
      <protection hidden="1"/>
    </xf>
    <xf numFmtId="0" fontId="16" fillId="0" borderId="4" xfId="0" applyFont="1" applyFill="1" applyBorder="1" applyAlignment="1" applyProtection="1">
      <alignment horizontal="center" vertical="center"/>
      <protection hidden="1"/>
    </xf>
    <xf numFmtId="0" fontId="15" fillId="0" borderId="4" xfId="0" applyFont="1" applyFill="1" applyBorder="1" applyAlignment="1" applyProtection="1">
      <alignment horizontal="center" vertical="center"/>
      <protection hidden="1"/>
    </xf>
    <xf numFmtId="0" fontId="17" fillId="0" borderId="4" xfId="0" applyFont="1" applyFill="1" applyBorder="1" applyAlignment="1" applyProtection="1">
      <alignment horizontal="center" vertical="center"/>
      <protection hidden="1"/>
    </xf>
    <xf numFmtId="2" fontId="19" fillId="0" borderId="0" xfId="0" applyNumberFormat="1" applyFont="1" applyFill="1" applyAlignment="1" applyProtection="1">
      <alignment horizontal="center" vertical="center"/>
      <protection hidden="1"/>
    </xf>
    <xf numFmtId="0" fontId="8" fillId="12" borderId="0" xfId="0" applyFont="1" applyFill="1" applyAlignment="1" applyProtection="1">
      <alignment horizontal="left" vertical="center"/>
      <protection hidden="1"/>
    </xf>
    <xf numFmtId="0" fontId="33" fillId="0" borderId="0" xfId="0" applyFont="1" applyAlignment="1" applyProtection="1">
      <alignment horizontal="left" vertical="center"/>
      <protection hidden="1"/>
    </xf>
    <xf numFmtId="2" fontId="6" fillId="0" borderId="76" xfId="0" applyNumberFormat="1" applyFont="1" applyBorder="1" applyAlignment="1" applyProtection="1">
      <alignment horizontal="center" vertical="center"/>
      <protection locked="0"/>
    </xf>
    <xf numFmtId="0" fontId="33" fillId="0" borderId="16" xfId="0" applyFont="1" applyBorder="1" applyAlignment="1" applyProtection="1">
      <alignment horizontal="center" vertical="center"/>
      <protection locked="0"/>
    </xf>
    <xf numFmtId="0" fontId="8" fillId="4" borderId="0" xfId="0" applyFont="1" applyFill="1" applyAlignment="1" applyProtection="1">
      <alignment horizontal="left" vertical="center"/>
      <protection hidden="1"/>
    </xf>
    <xf numFmtId="0" fontId="12" fillId="0" borderId="0" xfId="0" applyFont="1" applyAlignment="1" applyProtection="1">
      <alignment horizontal="center" vertical="center"/>
      <protection hidden="1"/>
    </xf>
    <xf numFmtId="164" fontId="2" fillId="0" borderId="0" xfId="0" applyNumberFormat="1" applyFont="1" applyAlignment="1" applyProtection="1">
      <alignment horizontal="center" vertical="center"/>
      <protection locked="0"/>
    </xf>
    <xf numFmtId="0" fontId="29" fillId="0" borderId="0" xfId="3" applyFont="1" applyBorder="1" applyAlignment="1">
      <alignment vertical="center" wrapText="1"/>
    </xf>
    <xf numFmtId="0" fontId="12" fillId="0" borderId="90" xfId="0" applyFont="1" applyBorder="1"/>
    <xf numFmtId="0" fontId="35" fillId="0" borderId="0" xfId="0" applyFont="1" applyBorder="1" applyAlignment="1" applyProtection="1">
      <alignment horizontal="center" vertical="center" wrapText="1"/>
    </xf>
    <xf numFmtId="0" fontId="3" fillId="0" borderId="0" xfId="0" applyFont="1" applyAlignment="1" applyProtection="1">
      <alignment horizontal="center" vertical="center"/>
    </xf>
    <xf numFmtId="0" fontId="3" fillId="0" borderId="0" xfId="0" applyFont="1" applyAlignment="1" applyProtection="1">
      <alignment vertical="center"/>
      <protection locked="0"/>
    </xf>
    <xf numFmtId="0" fontId="50" fillId="2" borderId="0" xfId="0" applyFont="1" applyFill="1" applyAlignment="1" applyProtection="1">
      <alignment horizontal="center" vertical="center"/>
      <protection locked="0"/>
    </xf>
    <xf numFmtId="0" fontId="48" fillId="0" borderId="0" xfId="0" applyFont="1" applyBorder="1" applyAlignment="1" applyProtection="1">
      <alignment horizontal="center" vertical="center"/>
      <protection locked="0"/>
    </xf>
    <xf numFmtId="0" fontId="47" fillId="0" borderId="0" xfId="0" applyFont="1" applyBorder="1" applyAlignment="1" applyProtection="1">
      <alignment horizontal="center" vertical="center"/>
      <protection locked="0"/>
    </xf>
    <xf numFmtId="0" fontId="3" fillId="0" borderId="0" xfId="0" applyFont="1" applyProtection="1">
      <protection locked="0"/>
    </xf>
    <xf numFmtId="0" fontId="51" fillId="0" borderId="0" xfId="0" applyFont="1"/>
    <xf numFmtId="0" fontId="3" fillId="0" borderId="0" xfId="0" applyFont="1" applyBorder="1" applyAlignment="1" applyProtection="1">
      <alignment vertical="center"/>
      <protection locked="0"/>
    </xf>
    <xf numFmtId="164" fontId="2" fillId="0" borderId="0" xfId="0" applyNumberFormat="1" applyFont="1" applyBorder="1" applyAlignment="1" applyProtection="1">
      <alignment horizontal="center" vertical="center"/>
      <protection locked="0"/>
    </xf>
    <xf numFmtId="0" fontId="50" fillId="2" borderId="0" xfId="0" applyFont="1" applyFill="1" applyBorder="1" applyAlignment="1" applyProtection="1">
      <alignment horizontal="center" vertical="center"/>
      <protection locked="0"/>
    </xf>
    <xf numFmtId="0" fontId="4" fillId="0" borderId="0" xfId="0" applyFont="1" applyBorder="1" applyAlignment="1" applyProtection="1">
      <alignment horizontal="center"/>
      <protection locked="0"/>
    </xf>
    <xf numFmtId="0" fontId="52" fillId="0" borderId="0" xfId="0" applyFont="1" applyProtection="1">
      <protection locked="0" hidden="1"/>
    </xf>
    <xf numFmtId="0" fontId="52" fillId="0" borderId="0" xfId="0" applyFont="1" applyProtection="1">
      <protection hidden="1"/>
    </xf>
    <xf numFmtId="1" fontId="28" fillId="9" borderId="46" xfId="0" applyNumberFormat="1" applyFont="1" applyFill="1" applyBorder="1" applyAlignment="1" applyProtection="1">
      <alignment horizontal="center" vertical="center"/>
      <protection hidden="1"/>
    </xf>
    <xf numFmtId="1" fontId="28" fillId="9" borderId="35" xfId="0" applyNumberFormat="1" applyFont="1" applyFill="1" applyBorder="1" applyAlignment="1" applyProtection="1">
      <alignment horizontal="center" vertical="center"/>
      <protection hidden="1"/>
    </xf>
    <xf numFmtId="0" fontId="53" fillId="0" borderId="40" xfId="0" applyFont="1" applyBorder="1" applyAlignment="1" applyProtection="1">
      <protection hidden="1"/>
    </xf>
    <xf numFmtId="0" fontId="53" fillId="0" borderId="38" xfId="0" applyFont="1" applyBorder="1" applyAlignment="1" applyProtection="1">
      <protection hidden="1"/>
    </xf>
    <xf numFmtId="0" fontId="54" fillId="0" borderId="31" xfId="0" applyFont="1" applyBorder="1" applyAlignment="1" applyProtection="1">
      <alignment horizontal="center" vertical="center"/>
      <protection locked="0" hidden="1"/>
    </xf>
    <xf numFmtId="0" fontId="54" fillId="0" borderId="32" xfId="0" applyFont="1" applyBorder="1" applyAlignment="1" applyProtection="1">
      <alignment horizontal="center" vertical="center"/>
      <protection locked="0" hidden="1"/>
    </xf>
    <xf numFmtId="0" fontId="54" fillId="0" borderId="33" xfId="0" applyFont="1" applyBorder="1" applyAlignment="1" applyProtection="1">
      <alignment horizontal="center" vertical="center"/>
      <protection locked="0" hidden="1"/>
    </xf>
    <xf numFmtId="0" fontId="55" fillId="0" borderId="18" xfId="0" applyFont="1" applyBorder="1" applyAlignment="1" applyProtection="1">
      <alignment horizontal="center" vertical="center"/>
      <protection locked="0" hidden="1"/>
    </xf>
    <xf numFmtId="0" fontId="55" fillId="0" borderId="32" xfId="0" applyFont="1" applyBorder="1" applyAlignment="1" applyProtection="1">
      <alignment horizontal="center" vertical="center"/>
      <protection locked="0" hidden="1"/>
    </xf>
    <xf numFmtId="0" fontId="55" fillId="0" borderId="34" xfId="0" applyFont="1" applyBorder="1" applyAlignment="1" applyProtection="1">
      <alignment horizontal="center" vertical="center"/>
      <protection locked="0" hidden="1"/>
    </xf>
    <xf numFmtId="9" fontId="3" fillId="0" borderId="0" xfId="1" applyFont="1" applyAlignment="1" applyProtection="1">
      <alignment horizontal="center" vertical="center"/>
      <protection locked="0" hidden="1"/>
    </xf>
    <xf numFmtId="0" fontId="9" fillId="0" borderId="0" xfId="0" applyFont="1" applyProtection="1">
      <protection hidden="1"/>
    </xf>
    <xf numFmtId="0" fontId="58" fillId="4" borderId="102" xfId="0" applyFont="1" applyFill="1" applyBorder="1"/>
    <xf numFmtId="0" fontId="59" fillId="4" borderId="102" xfId="4" applyFont="1" applyFill="1" applyBorder="1" applyAlignment="1">
      <alignment vertical="center"/>
    </xf>
    <xf numFmtId="0" fontId="12" fillId="0" borderId="0" xfId="0" applyFont="1" applyAlignment="1"/>
    <xf numFmtId="0" fontId="11" fillId="14" borderId="103" xfId="0" applyFont="1" applyFill="1" applyBorder="1" applyAlignment="1">
      <alignment horizontal="center" vertical="center" wrapText="1"/>
    </xf>
    <xf numFmtId="0" fontId="12" fillId="0" borderId="104" xfId="0" applyFont="1" applyBorder="1"/>
    <xf numFmtId="0" fontId="10" fillId="0" borderId="0" xfId="0" applyFont="1"/>
    <xf numFmtId="0" fontId="57" fillId="0" borderId="0" xfId="5" applyAlignment="1">
      <alignment vertical="center"/>
    </xf>
    <xf numFmtId="0" fontId="12" fillId="0" borderId="0" xfId="0" applyFont="1" applyAlignment="1">
      <alignment horizontal="center"/>
    </xf>
    <xf numFmtId="0" fontId="2" fillId="0" borderId="128" xfId="0" applyFont="1" applyBorder="1" applyAlignment="1" applyProtection="1">
      <alignment horizontal="center" vertical="center" wrapText="1"/>
    </xf>
    <xf numFmtId="0" fontId="35" fillId="0" borderId="128" xfId="0" applyFont="1" applyBorder="1" applyAlignment="1" applyProtection="1">
      <alignment horizontal="center" vertical="center" wrapText="1"/>
    </xf>
    <xf numFmtId="0" fontId="7" fillId="2" borderId="129" xfId="0" applyFont="1" applyFill="1" applyBorder="1" applyAlignment="1" applyProtection="1">
      <alignment horizontal="center" vertical="center" wrapText="1"/>
    </xf>
    <xf numFmtId="0" fontId="5" fillId="15" borderId="78" xfId="0" applyFont="1" applyFill="1" applyBorder="1" applyAlignment="1" applyProtection="1">
      <alignment horizontal="center" vertical="center" wrapText="1"/>
    </xf>
    <xf numFmtId="0" fontId="49" fillId="15" borderId="0" xfId="0" applyFont="1" applyFill="1" applyBorder="1" applyAlignment="1" applyProtection="1">
      <alignment horizontal="center" vertical="center"/>
      <protection locked="0"/>
    </xf>
    <xf numFmtId="0" fontId="49" fillId="15" borderId="0" xfId="0" applyFont="1" applyFill="1" applyAlignment="1" applyProtection="1">
      <alignment horizontal="center" vertical="center"/>
      <protection locked="0"/>
    </xf>
    <xf numFmtId="0" fontId="3" fillId="0" borderId="0" xfId="0" applyFont="1" applyAlignment="1" applyProtection="1">
      <alignment horizontal="left" vertical="center" wrapText="1"/>
      <protection locked="0"/>
    </xf>
    <xf numFmtId="0" fontId="66" fillId="0" borderId="130" xfId="0" applyFont="1" applyBorder="1" applyAlignment="1" applyProtection="1">
      <alignment horizontal="center" vertical="center"/>
      <protection locked="0"/>
    </xf>
    <xf numFmtId="0" fontId="65" fillId="0" borderId="123" xfId="0" quotePrefix="1" applyFont="1" applyBorder="1" applyAlignment="1">
      <alignment horizontal="left"/>
    </xf>
    <xf numFmtId="0" fontId="65" fillId="0" borderId="115" xfId="0" quotePrefix="1" applyFont="1" applyBorder="1" applyAlignment="1">
      <alignment horizontal="left"/>
    </xf>
    <xf numFmtId="0" fontId="65" fillId="0" borderId="124" xfId="0" quotePrefix="1" applyFont="1" applyBorder="1" applyAlignment="1">
      <alignment horizontal="left"/>
    </xf>
    <xf numFmtId="0" fontId="65" fillId="0" borderId="125" xfId="0" quotePrefix="1" applyFont="1" applyBorder="1" applyAlignment="1">
      <alignment horizontal="left"/>
    </xf>
    <xf numFmtId="0" fontId="65" fillId="0" borderId="126" xfId="0" quotePrefix="1" applyFont="1" applyBorder="1" applyAlignment="1">
      <alignment horizontal="left"/>
    </xf>
    <xf numFmtId="0" fontId="65" fillId="0" borderId="127" xfId="0" quotePrefix="1" applyFont="1" applyBorder="1" applyAlignment="1">
      <alignment horizontal="left"/>
    </xf>
    <xf numFmtId="0" fontId="29" fillId="0" borderId="79" xfId="3" applyFont="1" applyBorder="1" applyAlignment="1">
      <alignment horizontal="left" vertical="center" wrapText="1"/>
    </xf>
    <xf numFmtId="0" fontId="29" fillId="0" borderId="80" xfId="3" applyFont="1" applyBorder="1" applyAlignment="1">
      <alignment horizontal="left" vertical="center" wrapText="1"/>
    </xf>
    <xf numFmtId="0" fontId="29" fillId="0" borderId="81" xfId="3" applyFont="1" applyBorder="1" applyAlignment="1">
      <alignment horizontal="left" vertical="center" wrapText="1"/>
    </xf>
    <xf numFmtId="0" fontId="29" fillId="0" borderId="82" xfId="3" applyFont="1" applyBorder="1" applyAlignment="1">
      <alignment horizontal="left" vertical="center" wrapText="1"/>
    </xf>
    <xf numFmtId="0" fontId="29" fillId="0" borderId="0" xfId="3" applyFont="1" applyBorder="1" applyAlignment="1">
      <alignment horizontal="left" vertical="center" wrapText="1"/>
    </xf>
    <xf numFmtId="0" fontId="29" fillId="0" borderId="83" xfId="3" applyFont="1" applyBorder="1" applyAlignment="1">
      <alignment horizontal="left" vertical="center" wrapText="1"/>
    </xf>
    <xf numFmtId="0" fontId="36" fillId="10" borderId="84" xfId="2" applyFont="1" applyFill="1" applyBorder="1" applyAlignment="1">
      <alignment horizontal="center" vertical="center"/>
    </xf>
    <xf numFmtId="0" fontId="36" fillId="10" borderId="85" xfId="2" applyFont="1" applyFill="1" applyBorder="1" applyAlignment="1">
      <alignment horizontal="center" vertical="center"/>
    </xf>
    <xf numFmtId="0" fontId="36" fillId="10" borderId="86" xfId="2" applyFont="1" applyFill="1" applyBorder="1" applyAlignment="1">
      <alignment horizontal="center" vertical="center"/>
    </xf>
    <xf numFmtId="0" fontId="36" fillId="13" borderId="87" xfId="0" applyFont="1" applyFill="1" applyBorder="1" applyAlignment="1">
      <alignment horizontal="center" vertical="center"/>
    </xf>
    <xf numFmtId="0" fontId="36" fillId="13" borderId="88" xfId="0" applyFont="1" applyFill="1" applyBorder="1" applyAlignment="1">
      <alignment horizontal="center" vertical="center"/>
    </xf>
    <xf numFmtId="0" fontId="36" fillId="13" borderId="89" xfId="0" applyFont="1" applyFill="1" applyBorder="1" applyAlignment="1">
      <alignment horizontal="center" vertical="center"/>
    </xf>
    <xf numFmtId="0" fontId="36" fillId="13" borderId="98" xfId="0" applyFont="1" applyFill="1" applyBorder="1" applyAlignment="1">
      <alignment horizontal="center" vertical="center"/>
    </xf>
    <xf numFmtId="0" fontId="36" fillId="13" borderId="99" xfId="0" applyFont="1" applyFill="1" applyBorder="1" applyAlignment="1">
      <alignment horizontal="center" vertical="center"/>
    </xf>
    <xf numFmtId="0" fontId="36" fillId="13" borderId="100" xfId="0" applyFont="1" applyFill="1" applyBorder="1" applyAlignment="1">
      <alignment horizontal="center" vertical="center"/>
    </xf>
    <xf numFmtId="0" fontId="21" fillId="0" borderId="95" xfId="0" quotePrefix="1" applyFont="1" applyBorder="1" applyAlignment="1">
      <alignment horizontal="left"/>
    </xf>
    <xf numFmtId="0" fontId="21" fillId="0" borderId="96" xfId="0" quotePrefix="1" applyFont="1" applyBorder="1" applyAlignment="1">
      <alignment horizontal="left"/>
    </xf>
    <xf numFmtId="0" fontId="21" fillId="0" borderId="97" xfId="0" quotePrefix="1" applyFont="1" applyBorder="1" applyAlignment="1">
      <alignment horizontal="left"/>
    </xf>
    <xf numFmtId="0" fontId="20" fillId="0" borderId="92" xfId="0" quotePrefix="1" applyFont="1" applyBorder="1" applyAlignment="1">
      <alignment horizontal="left"/>
    </xf>
    <xf numFmtId="0" fontId="20" fillId="0" borderId="93" xfId="0" quotePrefix="1" applyFont="1" applyBorder="1" applyAlignment="1">
      <alignment horizontal="left"/>
    </xf>
    <xf numFmtId="0" fontId="20" fillId="0" borderId="94" xfId="0" quotePrefix="1" applyFont="1" applyBorder="1" applyAlignment="1">
      <alignment horizontal="left"/>
    </xf>
    <xf numFmtId="0" fontId="36" fillId="4" borderId="116" xfId="0" applyFont="1" applyFill="1" applyBorder="1" applyAlignment="1">
      <alignment horizontal="center" vertical="center"/>
    </xf>
    <xf numFmtId="0" fontId="36" fillId="4" borderId="117" xfId="0" applyFont="1" applyFill="1" applyBorder="1" applyAlignment="1">
      <alignment horizontal="center" vertical="center"/>
    </xf>
    <xf numFmtId="0" fontId="36" fillId="4" borderId="118" xfId="0" applyFont="1" applyFill="1" applyBorder="1" applyAlignment="1">
      <alignment horizontal="center" vertical="center"/>
    </xf>
    <xf numFmtId="0" fontId="36" fillId="4" borderId="119" xfId="0" applyFont="1" applyFill="1" applyBorder="1" applyAlignment="1">
      <alignment horizontal="center" vertical="center"/>
    </xf>
    <xf numFmtId="0" fontId="36" fillId="4" borderId="113" xfId="0" applyFont="1" applyFill="1" applyBorder="1" applyAlignment="1">
      <alignment horizontal="center" vertical="center"/>
    </xf>
    <xf numFmtId="0" fontId="36" fillId="4" borderId="120" xfId="0" applyFont="1" applyFill="1" applyBorder="1" applyAlignment="1">
      <alignment horizontal="center" vertical="center"/>
    </xf>
    <xf numFmtId="0" fontId="64" fillId="0" borderId="121" xfId="0" quotePrefix="1" applyFont="1" applyBorder="1" applyAlignment="1">
      <alignment horizontal="left"/>
    </xf>
    <xf numFmtId="0" fontId="64" fillId="0" borderId="114" xfId="0" quotePrefix="1" applyFont="1" applyBorder="1" applyAlignment="1">
      <alignment horizontal="left"/>
    </xf>
    <xf numFmtId="0" fontId="64" fillId="0" borderId="122" xfId="0" quotePrefix="1" applyFont="1" applyBorder="1" applyAlignment="1">
      <alignment horizontal="left"/>
    </xf>
    <xf numFmtId="0" fontId="20" fillId="0" borderId="91" xfId="0" quotePrefix="1" applyFont="1" applyBorder="1" applyAlignment="1">
      <alignment horizontal="left"/>
    </xf>
    <xf numFmtId="0" fontId="56" fillId="0" borderId="0" xfId="0" applyFont="1" applyAlignment="1">
      <alignment horizontal="left" vertical="center"/>
    </xf>
    <xf numFmtId="0" fontId="37" fillId="0" borderId="0" xfId="0" applyFont="1" applyAlignment="1">
      <alignment horizontal="left" vertical="center"/>
    </xf>
    <xf numFmtId="0" fontId="37" fillId="0" borderId="0" xfId="0" applyFont="1" applyBorder="1" applyAlignment="1">
      <alignment horizontal="left" vertical="center"/>
    </xf>
    <xf numFmtId="0" fontId="32" fillId="0" borderId="0" xfId="0" applyFont="1" applyAlignment="1" applyProtection="1">
      <alignment horizontal="center" vertical="center" wrapText="1"/>
      <protection hidden="1"/>
    </xf>
    <xf numFmtId="9" fontId="34" fillId="0" borderId="77" xfId="1" applyFont="1" applyBorder="1" applyAlignment="1" applyProtection="1">
      <alignment horizontal="center" vertical="center"/>
      <protection hidden="1"/>
    </xf>
    <xf numFmtId="0" fontId="6" fillId="0" borderId="78" xfId="0" applyFont="1" applyBorder="1" applyAlignment="1" applyProtection="1">
      <alignment horizontal="center"/>
      <protection hidden="1"/>
    </xf>
    <xf numFmtId="0" fontId="26" fillId="0" borderId="0" xfId="0" applyFont="1" applyAlignment="1" applyProtection="1">
      <alignment horizontal="center"/>
      <protection hidden="1"/>
    </xf>
    <xf numFmtId="0" fontId="42" fillId="7" borderId="17" xfId="2" applyFont="1" applyBorder="1" applyAlignment="1" applyProtection="1">
      <alignment horizontal="center" vertical="center" wrapText="1"/>
      <protection hidden="1"/>
    </xf>
    <xf numFmtId="0" fontId="42" fillId="7" borderId="17" xfId="2" applyFont="1" applyBorder="1" applyAlignment="1" applyProtection="1">
      <alignment horizontal="center" vertical="center"/>
      <protection hidden="1"/>
    </xf>
    <xf numFmtId="0" fontId="21" fillId="3" borderId="31" xfId="0" applyFont="1" applyFill="1" applyBorder="1" applyAlignment="1" applyProtection="1">
      <alignment horizontal="center" vertical="center"/>
      <protection hidden="1"/>
    </xf>
    <xf numFmtId="0" fontId="20" fillId="9" borderId="44" xfId="0" applyFont="1" applyFill="1" applyBorder="1" applyAlignment="1" applyProtection="1">
      <alignment horizontal="center" vertical="center"/>
      <protection hidden="1"/>
    </xf>
    <xf numFmtId="0" fontId="20" fillId="9" borderId="35" xfId="0" applyFont="1" applyFill="1" applyBorder="1" applyAlignment="1" applyProtection="1">
      <alignment horizontal="center" vertical="center"/>
      <protection hidden="1"/>
    </xf>
    <xf numFmtId="0" fontId="22" fillId="3" borderId="22" xfId="3" applyFont="1" applyFill="1" applyBorder="1" applyAlignment="1" applyProtection="1">
      <alignment horizontal="center" vertical="center"/>
      <protection hidden="1"/>
    </xf>
    <xf numFmtId="0" fontId="22" fillId="3" borderId="23" xfId="3" applyFont="1" applyFill="1" applyBorder="1" applyAlignment="1" applyProtection="1">
      <alignment horizontal="center" vertical="center"/>
      <protection hidden="1"/>
    </xf>
    <xf numFmtId="0" fontId="22" fillId="3" borderId="24" xfId="3" applyFont="1" applyFill="1" applyBorder="1" applyAlignment="1" applyProtection="1">
      <alignment horizontal="center" vertical="center"/>
      <protection hidden="1"/>
    </xf>
    <xf numFmtId="0" fontId="25" fillId="0" borderId="43" xfId="0" applyFont="1" applyBorder="1" applyAlignment="1" applyProtection="1">
      <alignment horizontal="center"/>
      <protection hidden="1"/>
    </xf>
    <xf numFmtId="0" fontId="26" fillId="0" borderId="0" xfId="0" applyFont="1" applyAlignment="1" applyProtection="1">
      <alignment horizontal="left" vertical="center" wrapText="1"/>
      <protection hidden="1"/>
    </xf>
    <xf numFmtId="0" fontId="26" fillId="0" borderId="43" xfId="0" applyFont="1" applyBorder="1" applyAlignment="1" applyProtection="1">
      <alignment horizontal="center" vertical="center" wrapText="1"/>
      <protection hidden="1"/>
    </xf>
    <xf numFmtId="0" fontId="26" fillId="0" borderId="0" xfId="0" applyFont="1" applyBorder="1" applyAlignment="1" applyProtection="1">
      <alignment horizontal="center" vertical="center" wrapText="1"/>
      <protection hidden="1"/>
    </xf>
    <xf numFmtId="0" fontId="5" fillId="3" borderId="49" xfId="2" applyFont="1" applyFill="1" applyBorder="1" applyAlignment="1" applyProtection="1">
      <alignment horizontal="center" vertical="center"/>
      <protection hidden="1"/>
    </xf>
    <xf numFmtId="0" fontId="5" fillId="3" borderId="50" xfId="2" applyFont="1" applyFill="1" applyBorder="1" applyAlignment="1" applyProtection="1">
      <alignment horizontal="center" vertical="center"/>
      <protection hidden="1"/>
    </xf>
    <xf numFmtId="0" fontId="5" fillId="3" borderId="51" xfId="2" applyFont="1" applyFill="1" applyBorder="1" applyAlignment="1" applyProtection="1">
      <alignment horizontal="center" vertical="center"/>
      <protection hidden="1"/>
    </xf>
    <xf numFmtId="0" fontId="41" fillId="0" borderId="52" xfId="0" applyFont="1" applyBorder="1" applyAlignment="1" applyProtection="1">
      <alignment horizontal="center" vertical="center"/>
      <protection hidden="1"/>
    </xf>
    <xf numFmtId="0" fontId="41" fillId="0" borderId="17" xfId="0" applyFont="1" applyBorder="1" applyAlignment="1" applyProtection="1">
      <alignment horizontal="center" vertical="center"/>
      <protection hidden="1"/>
    </xf>
    <xf numFmtId="0" fontId="41" fillId="0" borderId="42" xfId="0" applyFont="1" applyBorder="1" applyAlignment="1" applyProtection="1">
      <alignment horizontal="center" vertical="center"/>
      <protection hidden="1"/>
    </xf>
    <xf numFmtId="0" fontId="41" fillId="0" borderId="54" xfId="0" applyFont="1" applyBorder="1" applyAlignment="1" applyProtection="1">
      <alignment horizontal="center" vertical="center"/>
      <protection hidden="1"/>
    </xf>
    <xf numFmtId="0" fontId="41" fillId="0" borderId="55" xfId="0" applyFont="1" applyBorder="1" applyAlignment="1" applyProtection="1">
      <alignment horizontal="center" vertical="center"/>
      <protection hidden="1"/>
    </xf>
    <xf numFmtId="0" fontId="41" fillId="0" borderId="56" xfId="0" applyFont="1" applyBorder="1" applyAlignment="1" applyProtection="1">
      <alignment horizontal="center" vertical="center"/>
      <protection hidden="1"/>
    </xf>
    <xf numFmtId="2" fontId="27" fillId="0" borderId="30" xfId="0" applyNumberFormat="1" applyFont="1" applyBorder="1" applyAlignment="1" applyProtection="1">
      <alignment horizontal="center" vertical="center"/>
      <protection hidden="1"/>
    </xf>
    <xf numFmtId="2" fontId="27" fillId="0" borderId="53" xfId="0" applyNumberFormat="1" applyFont="1" applyBorder="1" applyAlignment="1" applyProtection="1">
      <alignment horizontal="center" vertical="center"/>
      <protection hidden="1"/>
    </xf>
    <xf numFmtId="2" fontId="27" fillId="0" borderId="57" xfId="0" applyNumberFormat="1" applyFont="1" applyBorder="1" applyAlignment="1" applyProtection="1">
      <alignment horizontal="center" vertical="center"/>
      <protection hidden="1"/>
    </xf>
    <xf numFmtId="2" fontId="27" fillId="0" borderId="58" xfId="0" applyNumberFormat="1" applyFont="1" applyBorder="1" applyAlignment="1" applyProtection="1">
      <alignment horizontal="center" vertical="center"/>
      <protection hidden="1"/>
    </xf>
    <xf numFmtId="0" fontId="38" fillId="3" borderId="17" xfId="2" applyFont="1" applyFill="1" applyBorder="1" applyAlignment="1" applyProtection="1">
      <alignment horizontal="center" vertical="center"/>
      <protection hidden="1"/>
    </xf>
    <xf numFmtId="0" fontId="40" fillId="0" borderId="28" xfId="0" applyFont="1" applyBorder="1" applyAlignment="1" applyProtection="1">
      <alignment horizontal="center" vertical="center"/>
      <protection hidden="1"/>
    </xf>
    <xf numFmtId="0" fontId="39" fillId="3" borderId="17" xfId="2" applyFont="1" applyFill="1" applyBorder="1" applyAlignment="1" applyProtection="1">
      <alignment horizontal="center" vertical="center"/>
      <protection hidden="1"/>
    </xf>
    <xf numFmtId="0" fontId="40" fillId="0" borderId="17" xfId="0" applyFont="1" applyBorder="1" applyAlignment="1" applyProtection="1">
      <alignment horizontal="center" vertical="center"/>
      <protection hidden="1"/>
    </xf>
    <xf numFmtId="0" fontId="40" fillId="0" borderId="42" xfId="0" applyFont="1" applyBorder="1" applyAlignment="1" applyProtection="1">
      <alignment horizontal="center" vertical="center"/>
      <protection hidden="1"/>
    </xf>
    <xf numFmtId="2" fontId="24" fillId="0" borderId="30" xfId="0" applyNumberFormat="1" applyFont="1" applyBorder="1" applyAlignment="1" applyProtection="1">
      <alignment horizontal="center" vertical="center"/>
      <protection hidden="1"/>
    </xf>
    <xf numFmtId="2" fontId="24" fillId="0" borderId="17" xfId="0" applyNumberFormat="1" applyFont="1" applyBorder="1" applyAlignment="1" applyProtection="1">
      <alignment horizontal="center" vertical="center"/>
      <protection hidden="1"/>
    </xf>
    <xf numFmtId="0" fontId="20" fillId="0" borderId="36" xfId="0" applyFont="1" applyBorder="1" applyAlignment="1" applyProtection="1">
      <alignment horizontal="right"/>
      <protection hidden="1"/>
    </xf>
    <xf numFmtId="0" fontId="20" fillId="0" borderId="37" xfId="0" applyFont="1" applyBorder="1" applyAlignment="1" applyProtection="1">
      <alignment horizontal="right"/>
      <protection hidden="1"/>
    </xf>
    <xf numFmtId="0" fontId="38" fillId="3" borderId="28" xfId="2" applyFont="1" applyFill="1" applyBorder="1" applyAlignment="1" applyProtection="1">
      <alignment horizontal="center" vertical="center"/>
      <protection hidden="1"/>
    </xf>
    <xf numFmtId="0" fontId="38" fillId="3" borderId="29" xfId="2" applyFont="1" applyFill="1" applyBorder="1" applyAlignment="1" applyProtection="1">
      <alignment horizontal="center" vertical="center"/>
      <protection hidden="1"/>
    </xf>
    <xf numFmtId="0" fontId="38" fillId="3" borderId="30" xfId="2" applyFont="1" applyFill="1" applyBorder="1" applyAlignment="1" applyProtection="1">
      <alignment horizontal="center" vertical="center"/>
      <protection hidden="1"/>
    </xf>
    <xf numFmtId="0" fontId="22" fillId="3" borderId="25" xfId="3" applyFont="1" applyFill="1" applyBorder="1" applyAlignment="1" applyProtection="1">
      <alignment horizontal="center" vertical="center"/>
      <protection hidden="1"/>
    </xf>
    <xf numFmtId="0" fontId="22" fillId="3" borderId="26" xfId="3" applyFont="1" applyFill="1" applyBorder="1" applyAlignment="1" applyProtection="1">
      <alignment horizontal="center" vertical="center"/>
      <protection hidden="1"/>
    </xf>
    <xf numFmtId="0" fontId="22" fillId="3" borderId="27" xfId="3" applyFont="1" applyFill="1" applyBorder="1" applyAlignment="1" applyProtection="1">
      <alignment horizontal="center" vertical="center"/>
      <protection hidden="1"/>
    </xf>
    <xf numFmtId="0" fontId="22" fillId="3" borderId="19" xfId="3" applyFont="1" applyFill="1" applyBorder="1" applyAlignment="1" applyProtection="1">
      <alignment horizontal="center" vertical="center"/>
      <protection hidden="1"/>
    </xf>
    <xf numFmtId="0" fontId="22" fillId="3" borderId="20" xfId="3" applyFont="1" applyFill="1" applyBorder="1" applyAlignment="1" applyProtection="1">
      <alignment horizontal="center" vertical="center"/>
      <protection hidden="1"/>
    </xf>
    <xf numFmtId="0" fontId="22" fillId="3" borderId="21" xfId="3" applyFont="1" applyFill="1" applyBorder="1" applyAlignment="1" applyProtection="1">
      <alignment horizontal="center" vertical="center"/>
      <protection hidden="1"/>
    </xf>
    <xf numFmtId="0" fontId="20" fillId="0" borderId="39" xfId="0" applyFont="1" applyBorder="1" applyAlignment="1" applyProtection="1">
      <alignment horizontal="right"/>
      <protection hidden="1"/>
    </xf>
    <xf numFmtId="0" fontId="20" fillId="0" borderId="41" xfId="0" applyFont="1" applyBorder="1" applyAlignment="1" applyProtection="1">
      <alignment horizontal="right"/>
      <protection hidden="1"/>
    </xf>
    <xf numFmtId="2" fontId="24" fillId="0" borderId="47" xfId="0" applyNumberFormat="1" applyFont="1" applyBorder="1" applyAlignment="1" applyProtection="1">
      <alignment horizontal="center" vertical="center"/>
      <protection hidden="1"/>
    </xf>
    <xf numFmtId="2" fontId="24" fillId="0" borderId="40" xfId="0" applyNumberFormat="1" applyFont="1" applyBorder="1" applyAlignment="1" applyProtection="1">
      <alignment horizontal="center" vertical="center"/>
      <protection hidden="1"/>
    </xf>
    <xf numFmtId="2" fontId="24" fillId="0" borderId="48" xfId="0" applyNumberFormat="1" applyFont="1" applyBorder="1" applyAlignment="1" applyProtection="1">
      <alignment horizontal="center" vertical="center"/>
      <protection hidden="1"/>
    </xf>
    <xf numFmtId="2" fontId="24" fillId="0" borderId="38" xfId="0" applyNumberFormat="1" applyFont="1" applyBorder="1" applyAlignment="1" applyProtection="1">
      <alignment horizontal="center" vertical="center"/>
      <protection hidden="1"/>
    </xf>
    <xf numFmtId="0" fontId="45" fillId="4" borderId="75" xfId="2" applyFont="1" applyFill="1" applyBorder="1" applyAlignment="1" applyProtection="1">
      <alignment horizontal="left" vertical="center"/>
      <protection hidden="1"/>
    </xf>
    <xf numFmtId="0" fontId="18" fillId="0" borderId="11" xfId="0" applyFont="1" applyBorder="1" applyAlignment="1" applyProtection="1">
      <alignment horizontal="center" vertical="center"/>
      <protection hidden="1"/>
    </xf>
    <xf numFmtId="0" fontId="18" fillId="0" borderId="12" xfId="0" applyFont="1" applyBorder="1" applyAlignment="1" applyProtection="1">
      <alignment horizontal="center" vertical="center"/>
      <protection hidden="1"/>
    </xf>
    <xf numFmtId="0" fontId="16" fillId="8" borderId="6" xfId="3" applyFont="1" applyFill="1" applyBorder="1" applyAlignment="1" applyProtection="1">
      <alignment horizontal="center" vertical="center"/>
      <protection hidden="1"/>
    </xf>
    <xf numFmtId="0" fontId="16" fillId="8" borderId="3" xfId="3" applyFont="1" applyFill="1" applyBorder="1" applyAlignment="1" applyProtection="1">
      <alignment horizontal="center" vertical="center"/>
      <protection hidden="1"/>
    </xf>
    <xf numFmtId="0" fontId="19" fillId="0" borderId="9" xfId="0" applyFont="1" applyBorder="1" applyAlignment="1" applyProtection="1">
      <alignment horizontal="center" vertical="center"/>
      <protection hidden="1"/>
    </xf>
    <xf numFmtId="0" fontId="19" fillId="0" borderId="10" xfId="0" applyFont="1" applyBorder="1" applyAlignment="1" applyProtection="1">
      <alignment horizontal="center" vertical="center"/>
      <protection hidden="1"/>
    </xf>
    <xf numFmtId="0" fontId="19" fillId="0" borderId="13" xfId="0" applyFont="1" applyBorder="1" applyAlignment="1" applyProtection="1">
      <alignment horizontal="center" vertical="center"/>
      <protection hidden="1"/>
    </xf>
    <xf numFmtId="0" fontId="19" fillId="0" borderId="14" xfId="0" applyFont="1" applyBorder="1" applyAlignment="1" applyProtection="1">
      <alignment horizontal="center" vertical="center"/>
      <protection hidden="1"/>
    </xf>
    <xf numFmtId="0" fontId="16" fillId="8" borderId="6" xfId="3" applyFont="1" applyFill="1" applyBorder="1" applyAlignment="1" applyProtection="1">
      <alignment horizontal="center"/>
      <protection hidden="1"/>
    </xf>
    <xf numFmtId="0" fontId="16" fillId="8" borderId="3" xfId="3" applyFont="1" applyFill="1" applyBorder="1" applyAlignment="1" applyProtection="1">
      <alignment horizontal="center"/>
      <protection hidden="1"/>
    </xf>
    <xf numFmtId="0" fontId="12" fillId="0" borderId="0" xfId="0" applyFont="1" applyAlignment="1">
      <alignment horizontal="center" vertical="center"/>
    </xf>
    <xf numFmtId="0" fontId="60" fillId="0" borderId="105" xfId="0" applyFont="1" applyBorder="1" applyAlignment="1">
      <alignment horizontal="left"/>
    </xf>
    <xf numFmtId="0" fontId="60" fillId="0" borderId="106" xfId="0" applyFont="1" applyBorder="1" applyAlignment="1">
      <alignment horizontal="left"/>
    </xf>
    <xf numFmtId="0" fontId="60" fillId="0" borderId="107" xfId="0" applyFont="1" applyBorder="1" applyAlignment="1">
      <alignment horizontal="left"/>
    </xf>
    <xf numFmtId="0" fontId="60" fillId="0" borderId="108" xfId="0" applyFont="1" applyBorder="1" applyAlignment="1">
      <alignment horizontal="left"/>
    </xf>
    <xf numFmtId="0" fontId="60" fillId="0" borderId="0" xfId="0" applyFont="1" applyBorder="1" applyAlignment="1">
      <alignment horizontal="left"/>
    </xf>
    <xf numFmtId="0" fontId="60" fillId="0" borderId="109" xfId="0" applyFont="1" applyBorder="1" applyAlignment="1">
      <alignment horizontal="left"/>
    </xf>
    <xf numFmtId="0" fontId="60" fillId="0" borderId="110" xfId="0" applyFont="1" applyBorder="1" applyAlignment="1">
      <alignment horizontal="left"/>
    </xf>
    <xf numFmtId="0" fontId="60" fillId="0" borderId="111" xfId="0" applyFont="1" applyBorder="1" applyAlignment="1">
      <alignment horizontal="left"/>
    </xf>
    <xf numFmtId="0" fontId="60" fillId="0" borderId="112" xfId="0" applyFont="1" applyBorder="1" applyAlignment="1">
      <alignment horizontal="left"/>
    </xf>
    <xf numFmtId="0" fontId="63" fillId="0" borderId="0" xfId="5" applyFont="1" applyAlignment="1">
      <alignment horizontal="center" vertical="center"/>
    </xf>
    <xf numFmtId="0" fontId="12" fillId="0" borderId="0" xfId="0" applyFont="1" applyAlignment="1">
      <alignment horizontal="center"/>
    </xf>
    <xf numFmtId="0" fontId="60" fillId="0" borderId="0" xfId="0" applyFont="1" applyAlignment="1">
      <alignment horizontal="center" vertical="center"/>
    </xf>
    <xf numFmtId="0" fontId="62" fillId="0" borderId="0" xfId="5" applyFont="1" applyAlignment="1">
      <alignment horizontal="center" vertical="center"/>
    </xf>
    <xf numFmtId="0" fontId="62" fillId="0" borderId="0" xfId="0" applyFont="1" applyAlignment="1">
      <alignment horizontal="center" vertical="center"/>
    </xf>
    <xf numFmtId="0" fontId="61" fillId="0" borderId="0" xfId="5" applyFont="1" applyAlignment="1">
      <alignment horizontal="center" vertical="center"/>
    </xf>
    <xf numFmtId="0" fontId="61" fillId="0" borderId="0" xfId="0" applyFont="1" applyAlignment="1">
      <alignment horizontal="center" vertical="center"/>
    </xf>
  </cellXfs>
  <cellStyles count="6">
    <cellStyle name="Details" xfId="3" xr:uid="{00000000-0005-0000-0000-000000000000}"/>
    <cellStyle name="Heading 1" xfId="4" builtinId="16"/>
    <cellStyle name="Hyperlink" xfId="5" builtinId="8"/>
    <cellStyle name="Normal" xfId="0" builtinId="0"/>
    <cellStyle name="Percent" xfId="1" builtinId="5"/>
    <cellStyle name="Table Headings" xfId="2" xr:uid="{00000000-0005-0000-0000-000005000000}"/>
  </cellStyles>
  <dxfs count="8">
    <dxf>
      <font>
        <b val="0"/>
        <i/>
        <strike val="0"/>
        <outline val="0"/>
        <shadow val="0"/>
        <u val="none"/>
        <vertAlign val="baseline"/>
        <sz val="9"/>
        <color theme="1"/>
        <name val="Segoe UI"/>
        <family val="2"/>
        <charset val="163"/>
        <scheme val="none"/>
      </font>
      <alignment horizontal="center" vertical="center" textRotation="0" wrapText="0" indent="0" justifyLastLine="0" shrinkToFit="0" readingOrder="0"/>
      <protection locked="0" hidden="0"/>
    </dxf>
    <dxf>
      <font>
        <b/>
        <strike val="0"/>
        <outline val="0"/>
        <shadow val="0"/>
        <u val="none"/>
        <vertAlign val="baseline"/>
        <sz val="8"/>
        <color theme="1"/>
        <name val="Segoe Print"/>
        <scheme val="none"/>
      </font>
      <alignment horizontal="center" vertical="bottom" textRotation="0" wrapText="0" indent="0" justifyLastLine="0" shrinkToFit="0" readingOrder="0"/>
      <protection locked="0" hidden="0"/>
    </dxf>
    <dxf>
      <font>
        <b val="0"/>
        <i/>
        <strike val="0"/>
        <outline val="0"/>
        <shadow val="0"/>
        <u val="none"/>
        <vertAlign val="baseline"/>
        <sz val="10"/>
        <color theme="1"/>
        <name val="Segoe UI"/>
        <family val="2"/>
        <charset val="163"/>
        <scheme val="none"/>
      </font>
      <fill>
        <patternFill>
          <fgColor indexed="64"/>
          <bgColor theme="6" tint="0.39997558519241921"/>
        </patternFill>
      </fill>
      <alignment horizontal="center" vertical="center" textRotation="0" wrapText="0" indent="0" justifyLastLine="0" shrinkToFit="0" readingOrder="0"/>
      <protection locked="0" hidden="0"/>
    </dxf>
    <dxf>
      <font>
        <b/>
        <strike val="0"/>
        <outline val="0"/>
        <shadow val="0"/>
        <u val="none"/>
        <vertAlign val="baseline"/>
        <sz val="10"/>
        <color theme="1"/>
        <name val="Segoe UI"/>
        <family val="2"/>
        <charset val="163"/>
        <scheme val="none"/>
      </font>
      <numFmt numFmtId="164" formatCode="0.0"/>
      <alignment horizontal="center" vertical="center" textRotation="0" wrapText="0" indent="0" justifyLastLine="0" shrinkToFit="0" readingOrder="0"/>
      <protection locked="0" hidden="0"/>
    </dxf>
    <dxf>
      <font>
        <b/>
        <i/>
        <strike val="0"/>
        <outline val="0"/>
        <shadow val="0"/>
        <u val="none"/>
        <vertAlign val="baseline"/>
        <sz val="10"/>
        <color theme="1"/>
        <name val="Segoe UI"/>
        <family val="2"/>
        <charset val="163"/>
        <scheme val="none"/>
      </font>
      <fill>
        <patternFill patternType="solid">
          <fgColor indexed="64"/>
          <bgColor theme="9" tint="0.39997558519241921"/>
        </patternFill>
      </fill>
      <alignment horizontal="center" vertical="center" textRotation="0" wrapText="0" indent="0" justifyLastLine="0" shrinkToFit="0" readingOrder="0"/>
      <protection locked="0" hidden="0"/>
    </dxf>
    <dxf>
      <font>
        <strike val="0"/>
        <outline val="0"/>
        <shadow val="0"/>
        <u val="none"/>
        <vertAlign val="baseline"/>
        <sz val="10"/>
        <color theme="1"/>
        <name val="Segoe UI"/>
        <family val="2"/>
        <charset val="163"/>
        <scheme val="none"/>
      </font>
      <alignment vertical="center" textRotation="0" wrapText="0" indent="0" justifyLastLine="0" shrinkToFit="0" readingOrder="0"/>
      <protection locked="0" hidden="0"/>
    </dxf>
    <dxf>
      <protection locked="0"/>
    </dxf>
    <dxf>
      <font>
        <b/>
        <i val="0"/>
        <strike val="0"/>
        <condense val="0"/>
        <extend val="0"/>
        <outline val="0"/>
        <shadow val="0"/>
        <u val="none"/>
        <vertAlign val="baseline"/>
        <sz val="10"/>
        <color theme="1"/>
        <name val="Segoe UI"/>
        <scheme val="none"/>
      </font>
      <alignment horizontal="center" vertical="center" textRotation="0" wrapText="1" indent="0" justifyLastLine="0" shrinkToFit="0" readingOrder="0"/>
    </dxf>
  </dxfs>
  <tableStyles count="0" defaultTableStyle="TableStyleMedium2" defaultPivotStyle="PivotStyleMedium9"/>
  <colors>
    <mruColors>
      <color rgb="FF3898B2"/>
      <color rgb="FFB00000"/>
      <color rgb="FFFFFFFF"/>
      <color rgb="FFFF5050"/>
      <color rgb="FFD6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5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r>
              <a:rPr lang="en-US" sz="1400" b="1">
                <a:latin typeface="Segoe UI" panose="020B0502040204020203" pitchFamily="34" charset="0"/>
                <a:ea typeface="Segoe UI" panose="020B0502040204020203" pitchFamily="34" charset="0"/>
                <a:cs typeface="Segoe UI" panose="020B0502040204020203" pitchFamily="34" charset="0"/>
              </a:rPr>
              <a:t>Thống</a:t>
            </a:r>
            <a:r>
              <a:rPr lang="en-US" sz="1400" b="1" baseline="0">
                <a:latin typeface="Segoe UI" panose="020B0502040204020203" pitchFamily="34" charset="0"/>
                <a:ea typeface="Segoe UI" panose="020B0502040204020203" pitchFamily="34" charset="0"/>
                <a:cs typeface="Segoe UI" panose="020B0502040204020203" pitchFamily="34" charset="0"/>
              </a:rPr>
              <a:t> kê</a:t>
            </a:r>
            <a:r>
              <a:rPr lang="en-US" sz="1400" b="1">
                <a:latin typeface="Segoe UI" panose="020B0502040204020203" pitchFamily="34" charset="0"/>
                <a:ea typeface="Segoe UI" panose="020B0502040204020203" pitchFamily="34" charset="0"/>
                <a:cs typeface="Segoe UI" panose="020B0502040204020203" pitchFamily="34" charset="0"/>
              </a:rPr>
              <a:t> số tín chỉ và số</a:t>
            </a:r>
            <a:r>
              <a:rPr lang="en-US" sz="1400" b="1" baseline="0">
                <a:latin typeface="Segoe UI" panose="020B0502040204020203" pitchFamily="34" charset="0"/>
                <a:ea typeface="Segoe UI" panose="020B0502040204020203" pitchFamily="34" charset="0"/>
                <a:cs typeface="Segoe UI" panose="020B0502040204020203" pitchFamily="34" charset="0"/>
              </a:rPr>
              <a:t> </a:t>
            </a:r>
            <a:r>
              <a:rPr lang="en-US" sz="1400" b="1">
                <a:latin typeface="Segoe UI" panose="020B0502040204020203" pitchFamily="34" charset="0"/>
                <a:ea typeface="Segoe UI" panose="020B0502040204020203" pitchFamily="34" charset="0"/>
                <a:cs typeface="Segoe UI" panose="020B0502040204020203" pitchFamily="34" charset="0"/>
              </a:rPr>
              <a:t>môn học</a:t>
            </a:r>
          </a:p>
        </c:rich>
      </c:tx>
      <c:overlay val="0"/>
      <c:spPr>
        <a:noFill/>
        <a:ln>
          <a:noFill/>
        </a:ln>
        <a:effectLst/>
      </c:spPr>
      <c:txPr>
        <a:bodyPr rot="0" spcFirstLastPara="1" vertOverflow="ellipsis" vert="horz" wrap="square" anchor="ctr" anchorCtr="1"/>
        <a:lstStyle/>
        <a:p>
          <a:pPr>
            <a:defRPr sz="1400" b="1" i="0" u="none" strike="noStrike" kern="1200" cap="none" spc="5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title>
    <c:autoTitleDeleted val="0"/>
    <c:plotArea>
      <c:layout/>
      <c:barChart>
        <c:barDir val="col"/>
        <c:grouping val="clustered"/>
        <c:varyColors val="0"/>
        <c:ser>
          <c:idx val="0"/>
          <c:order val="0"/>
          <c:tx>
            <c:strRef>
              <c:f>'THỐNG KÊ'!$J$16</c:f>
              <c:strCache>
                <c:ptCount val="1"/>
                <c:pt idx="0">
                  <c:v>Số tín chỉ</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'THỐNG KÊ'!$I$17:$I$24</c:f>
              <c:strCache>
                <c:ptCount val="8"/>
                <c:pt idx="0">
                  <c:v>A+</c:v>
                </c:pt>
                <c:pt idx="1">
                  <c:v>A</c:v>
                </c:pt>
                <c:pt idx="2">
                  <c:v>B+</c:v>
                </c:pt>
                <c:pt idx="3">
                  <c:v>B</c:v>
                </c:pt>
                <c:pt idx="4">
                  <c:v>C+</c:v>
                </c:pt>
                <c:pt idx="5">
                  <c:v>C</c:v>
                </c:pt>
                <c:pt idx="6">
                  <c:v>D</c:v>
                </c:pt>
                <c:pt idx="7">
                  <c:v>F</c:v>
                </c:pt>
              </c:strCache>
            </c:strRef>
          </c:cat>
          <c:val>
            <c:numRef>
              <c:f>'THỐNG KÊ'!$J$17:$J$24</c:f>
              <c:numCache>
                <c:formatCode>General</c:formatCode>
                <c:ptCount val="8"/>
                <c:pt idx="0">
                  <c:v>2</c:v>
                </c:pt>
                <c:pt idx="1">
                  <c:v>7</c:v>
                </c:pt>
                <c:pt idx="2">
                  <c:v>5</c:v>
                </c:pt>
                <c:pt idx="3">
                  <c:v>25</c:v>
                </c:pt>
                <c:pt idx="4">
                  <c:v>21</c:v>
                </c:pt>
                <c:pt idx="5">
                  <c:v>3</c:v>
                </c:pt>
                <c:pt idx="6">
                  <c:v>0</c:v>
                </c:pt>
                <c:pt idx="7">
                  <c:v>0</c:v>
                </c:pt>
              </c:numCache>
            </c:numRef>
          </c:val>
          <c:extLst>
            <c:ext xmlns:c16="http://schemas.microsoft.com/office/drawing/2014/chart" uri="{C3380CC4-5D6E-409C-BE32-E72D297353CC}">
              <c16:uniqueId val="{00000000-9ECD-4FC3-890F-27A824D2E491}"/>
            </c:ext>
          </c:extLst>
        </c:ser>
        <c:ser>
          <c:idx val="1"/>
          <c:order val="1"/>
          <c:tx>
            <c:strRef>
              <c:f>'THỐNG KÊ'!$K$16</c:f>
              <c:strCache>
                <c:ptCount val="1"/>
                <c:pt idx="0">
                  <c:v>Số môn học</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'THỐNG KÊ'!$I$17:$I$24</c:f>
              <c:strCache>
                <c:ptCount val="8"/>
                <c:pt idx="0">
                  <c:v>A+</c:v>
                </c:pt>
                <c:pt idx="1">
                  <c:v>A</c:v>
                </c:pt>
                <c:pt idx="2">
                  <c:v>B+</c:v>
                </c:pt>
                <c:pt idx="3">
                  <c:v>B</c:v>
                </c:pt>
                <c:pt idx="4">
                  <c:v>C+</c:v>
                </c:pt>
                <c:pt idx="5">
                  <c:v>C</c:v>
                </c:pt>
                <c:pt idx="6">
                  <c:v>D</c:v>
                </c:pt>
                <c:pt idx="7">
                  <c:v>F</c:v>
                </c:pt>
              </c:strCache>
            </c:strRef>
          </c:cat>
          <c:val>
            <c:numRef>
              <c:f>'THỐNG KÊ'!$K$17:$K$24</c:f>
              <c:numCache>
                <c:formatCode>General</c:formatCode>
                <c:ptCount val="8"/>
                <c:pt idx="0">
                  <c:v>1</c:v>
                </c:pt>
                <c:pt idx="1">
                  <c:v>2</c:v>
                </c:pt>
                <c:pt idx="2">
                  <c:v>2</c:v>
                </c:pt>
                <c:pt idx="3">
                  <c:v>9</c:v>
                </c:pt>
                <c:pt idx="4">
                  <c:v>7</c:v>
                </c:pt>
                <c:pt idx="5">
                  <c:v>1</c:v>
                </c:pt>
                <c:pt idx="6">
                  <c:v>0</c:v>
                </c:pt>
                <c:pt idx="7">
                  <c:v>0</c:v>
                </c:pt>
              </c:numCache>
            </c:numRef>
          </c:val>
          <c:extLst>
            <c:ext xmlns:c16="http://schemas.microsoft.com/office/drawing/2014/chart" uri="{C3380CC4-5D6E-409C-BE32-E72D297353CC}">
              <c16:uniqueId val="{00000001-9ECD-4FC3-890F-27A824D2E491}"/>
            </c:ext>
          </c:extLst>
        </c:ser>
        <c:dLbls>
          <c:dLblPos val="outEnd"/>
          <c:showLegendKey val="0"/>
          <c:showVal val="1"/>
          <c:showCatName val="0"/>
          <c:showSerName val="0"/>
          <c:showPercent val="0"/>
          <c:showBubbleSize val="0"/>
        </c:dLbls>
        <c:gapWidth val="80"/>
        <c:overlap val="25"/>
        <c:axId val="224801360"/>
        <c:axId val="190642040"/>
      </c:barChart>
      <c:catAx>
        <c:axId val="22480136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190642040"/>
        <c:crosses val="autoZero"/>
        <c:auto val="1"/>
        <c:lblAlgn val="ctr"/>
        <c:lblOffset val="100"/>
        <c:noMultiLvlLbl val="0"/>
      </c:catAx>
      <c:valAx>
        <c:axId val="19064204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22480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TH&#7888;NG K&#202;'!A1"/><Relationship Id="rId13" Type="http://schemas.microsoft.com/office/2007/relationships/hdphoto" Target="../media/hdphoto3.wdp"/><Relationship Id="rId3" Type="http://schemas.openxmlformats.org/officeDocument/2006/relationships/image" Target="../media/image3.png"/><Relationship Id="rId7" Type="http://schemas.microsoft.com/office/2007/relationships/hdphoto" Target="../media/hdphoto2.wdp"/><Relationship Id="rId12" Type="http://schemas.openxmlformats.org/officeDocument/2006/relationships/image" Target="../media/image7.png"/><Relationship Id="rId17" Type="http://schemas.openxmlformats.org/officeDocument/2006/relationships/image" Target="../media/image9.png"/><Relationship Id="rId2" Type="http://schemas.microsoft.com/office/2007/relationships/hdphoto" Target="../media/hdphoto1.wdp"/><Relationship Id="rId16" Type="http://schemas.openxmlformats.org/officeDocument/2006/relationships/image" Target="../media/image8.png"/><Relationship Id="rId1" Type="http://schemas.openxmlformats.org/officeDocument/2006/relationships/image" Target="../media/image2.pn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image" Target="../media/image4.png"/><Relationship Id="rId15" Type="http://schemas.openxmlformats.org/officeDocument/2006/relationships/hyperlink" Target="#KD!A1"/><Relationship Id="rId10" Type="http://schemas.openxmlformats.org/officeDocument/2006/relationships/hyperlink" Target="http://kelvin-duong.blogspot.com" TargetMode="External"/><Relationship Id="rId4" Type="http://schemas.openxmlformats.org/officeDocument/2006/relationships/hyperlink" Target="#'M&#7908;C TI&#202;U'!A1"/><Relationship Id="rId9" Type="http://schemas.openxmlformats.org/officeDocument/2006/relationships/hyperlink" Target="#'K&#7871;t qu&#7843; h&#7885;c t&#7853;p'!A1"/><Relationship Id="rId14" Type="http://schemas.openxmlformats.org/officeDocument/2006/relationships/hyperlink" Target="#'GI&#7898;I THI&#7878;U'!A1"/></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4.png"/><Relationship Id="rId3" Type="http://schemas.openxmlformats.org/officeDocument/2006/relationships/image" Target="../media/image5.png"/><Relationship Id="rId7" Type="http://schemas.openxmlformats.org/officeDocument/2006/relationships/image" Target="../media/image10.png"/><Relationship Id="rId12" Type="http://schemas.openxmlformats.org/officeDocument/2006/relationships/image" Target="../media/image13.png"/><Relationship Id="rId2" Type="http://schemas.openxmlformats.org/officeDocument/2006/relationships/image" Target="../media/image4.png"/><Relationship Id="rId16" Type="http://schemas.openxmlformats.org/officeDocument/2006/relationships/image" Target="../media/image15.png"/><Relationship Id="rId1" Type="http://schemas.openxmlformats.org/officeDocument/2006/relationships/hyperlink" Target="#'M&#7908;C TI&#202;U'!A1"/><Relationship Id="rId6" Type="http://schemas.openxmlformats.org/officeDocument/2006/relationships/hyperlink" Target="http://kelvin-duong.blogspot.com" TargetMode="External"/><Relationship Id="rId11" Type="http://schemas.openxmlformats.org/officeDocument/2006/relationships/image" Target="../media/image12.png"/><Relationship Id="rId5" Type="http://schemas.openxmlformats.org/officeDocument/2006/relationships/hyperlink" Target="#'TH&#7888;NG K&#202;'!A1"/><Relationship Id="rId15" Type="http://schemas.openxmlformats.org/officeDocument/2006/relationships/hyperlink" Target="#'K&#7871;t qu&#7843; h&#7885;c t&#7853;p'!G2"/><Relationship Id="rId10" Type="http://schemas.openxmlformats.org/officeDocument/2006/relationships/hyperlink" Target="https://kelvin-duong.blogspot.com/2016/07/kd-study-tinh-iem-tin-chi-va-hoach-inh.html" TargetMode="External"/><Relationship Id="rId4" Type="http://schemas.microsoft.com/office/2007/relationships/hdphoto" Target="../media/hdphoto2.wdp"/><Relationship Id="rId9" Type="http://schemas.microsoft.com/office/2007/relationships/hdphoto" Target="../media/hdphoto4.wdp"/><Relationship Id="rId14" Type="http://schemas.microsoft.com/office/2007/relationships/hdphoto" Target="../media/hdphoto5.wdp"/></Relationships>
</file>

<file path=xl/drawings/_rels/drawing3.xml.rels><?xml version="1.0" encoding="UTF-8" standalone="yes"?>
<Relationships xmlns="http://schemas.openxmlformats.org/package/2006/relationships"><Relationship Id="rId8" Type="http://schemas.openxmlformats.org/officeDocument/2006/relationships/hyperlink" Target="#'TH&#7888;NG K&#202;'!A1"/><Relationship Id="rId3" Type="http://schemas.openxmlformats.org/officeDocument/2006/relationships/image" Target="../media/image17.png"/><Relationship Id="rId7" Type="http://schemas.microsoft.com/office/2007/relationships/hdphoto" Target="../media/hdphoto6.wdp"/><Relationship Id="rId2" Type="http://schemas.openxmlformats.org/officeDocument/2006/relationships/hyperlink" Target="#'K&#7871;t qu&#7843; h&#7885;c t&#7853;p'!A1"/><Relationship Id="rId1" Type="http://schemas.openxmlformats.org/officeDocument/2006/relationships/image" Target="../media/image16.png"/><Relationship Id="rId6" Type="http://schemas.openxmlformats.org/officeDocument/2006/relationships/image" Target="../media/image18.png"/><Relationship Id="rId5" Type="http://schemas.openxmlformats.org/officeDocument/2006/relationships/hyperlink" Target="http://kelvin-duong.blogspot.com/" TargetMode="External"/><Relationship Id="rId10" Type="http://schemas.openxmlformats.org/officeDocument/2006/relationships/image" Target="../media/image19.png"/><Relationship Id="rId4" Type="http://schemas.openxmlformats.org/officeDocument/2006/relationships/image" Target="../media/image3.png"/><Relationship Id="rId9" Type="http://schemas.openxmlformats.org/officeDocument/2006/relationships/hyperlink" Target="http://kelvin-duong.blogspot.com" TargetMode="External"/></Relationships>
</file>

<file path=xl/drawings/_rels/drawing4.xml.rels><?xml version="1.0" encoding="UTF-8" standalone="yes"?>
<Relationships xmlns="http://schemas.openxmlformats.org/package/2006/relationships"><Relationship Id="rId8" Type="http://schemas.openxmlformats.org/officeDocument/2006/relationships/hyperlink" Target="#'K&#7871;t qu&#7843; h&#7885;c t&#7853;p'!A1"/><Relationship Id="rId3" Type="http://schemas.openxmlformats.org/officeDocument/2006/relationships/image" Target="../media/image3.png"/><Relationship Id="rId7" Type="http://schemas.openxmlformats.org/officeDocument/2006/relationships/chart" Target="../charts/chart1.xml"/><Relationship Id="rId2" Type="http://schemas.microsoft.com/office/2007/relationships/hdphoto" Target="../media/hdphoto7.wdp"/><Relationship Id="rId1" Type="http://schemas.openxmlformats.org/officeDocument/2006/relationships/image" Target="../media/image20.png"/><Relationship Id="rId6" Type="http://schemas.microsoft.com/office/2007/relationships/hdphoto" Target="../media/hdphoto8.wdp"/><Relationship Id="rId11" Type="http://schemas.openxmlformats.org/officeDocument/2006/relationships/image" Target="../media/image22.png"/><Relationship Id="rId5" Type="http://schemas.openxmlformats.org/officeDocument/2006/relationships/image" Target="../media/image21.png"/><Relationship Id="rId10" Type="http://schemas.openxmlformats.org/officeDocument/2006/relationships/hyperlink" Target="#'M&#7908;C TI&#202;U'!A1"/><Relationship Id="rId4" Type="http://schemas.openxmlformats.org/officeDocument/2006/relationships/hyperlink" Target="http://kelvin-duong.blogspot.com" TargetMode="External"/><Relationship Id="rId9" Type="http://schemas.openxmlformats.org/officeDocument/2006/relationships/image" Target="../media/image17.png"/></Relationships>
</file>

<file path=xl/drawings/_rels/drawing5.xml.rels><?xml version="1.0" encoding="UTF-8" standalone="yes"?>
<Relationships xmlns="http://schemas.openxmlformats.org/package/2006/relationships"><Relationship Id="rId8" Type="http://schemas.openxmlformats.org/officeDocument/2006/relationships/hyperlink" Target="https://kelvin-duong.blogspot.com/search/label/Excel" TargetMode="External"/><Relationship Id="rId3" Type="http://schemas.openxmlformats.org/officeDocument/2006/relationships/hyperlink" Target="https://kelvin-duong.blogspot.com/p/contact.html" TargetMode="External"/><Relationship Id="rId7" Type="http://schemas.openxmlformats.org/officeDocument/2006/relationships/image" Target="../media/image27.pn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hyperlink" Target="https://kelvin-duong.blogspot.com/2016/07/kd-study-tinh-iem-tin-chi-va-hoach-inh.html" TargetMode="External"/><Relationship Id="rId5" Type="http://schemas.openxmlformats.org/officeDocument/2006/relationships/image" Target="../media/image26.png"/><Relationship Id="rId10" Type="http://schemas.openxmlformats.org/officeDocument/2006/relationships/image" Target="../media/image29.png"/><Relationship Id="rId4" Type="http://schemas.openxmlformats.org/officeDocument/2006/relationships/image" Target="../media/image25.png"/><Relationship Id="rId9"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485774</xdr:colOff>
      <xdr:row>8</xdr:row>
      <xdr:rowOff>149694</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5900"/>
                  </a14:imgEffect>
                  <a14:imgEffect>
                    <a14:saturation sat="66000"/>
                  </a14:imgEffect>
                </a14:imgLayer>
              </a14:imgProps>
            </a:ext>
            <a:ext uri="{28A0092B-C50C-407E-A947-70E740481C1C}">
              <a14:useLocalDpi xmlns:a14="http://schemas.microsoft.com/office/drawing/2010/main" val="0"/>
            </a:ext>
          </a:extLst>
        </a:blip>
        <a:stretch>
          <a:fillRect/>
        </a:stretch>
      </xdr:blipFill>
      <xdr:spPr>
        <a:xfrm>
          <a:off x="0" y="0"/>
          <a:ext cx="11268074" cy="1826094"/>
        </a:xfrm>
        <a:prstGeom prst="rect">
          <a:avLst/>
        </a:prstGeom>
      </xdr:spPr>
    </xdr:pic>
    <xdr:clientData/>
  </xdr:twoCellAnchor>
  <xdr:twoCellAnchor editAs="absolute">
    <xdr:from>
      <xdr:col>4</xdr:col>
      <xdr:colOff>19050</xdr:colOff>
      <xdr:row>1</xdr:row>
      <xdr:rowOff>66675</xdr:rowOff>
    </xdr:from>
    <xdr:to>
      <xdr:col>6</xdr:col>
      <xdr:colOff>485773</xdr:colOff>
      <xdr:row>7</xdr:row>
      <xdr:rowOff>43953</xdr:rowOff>
    </xdr:to>
    <xdr:grpSp>
      <xdr:nvGrpSpPr>
        <xdr:cNvPr id="12" name="Personal Information" descr="&quot;&quot;" title="Personal Information">
          <a:extLst>
            <a:ext uri="{FF2B5EF4-FFF2-40B4-BE49-F238E27FC236}">
              <a16:creationId xmlns:a16="http://schemas.microsoft.com/office/drawing/2014/main" id="{00000000-0008-0000-0000-00000C000000}"/>
            </a:ext>
          </a:extLst>
        </xdr:cNvPr>
        <xdr:cNvGrpSpPr/>
      </xdr:nvGrpSpPr>
      <xdr:grpSpPr>
        <a:xfrm>
          <a:off x="5438775" y="276225"/>
          <a:ext cx="2781298" cy="1234578"/>
          <a:chOff x="3978006" y="381000"/>
          <a:chExt cx="2633368" cy="1355897"/>
        </a:xfrm>
      </xdr:grpSpPr>
      <xdr:pic>
        <xdr:nvPicPr>
          <xdr:cNvPr id="13" name="Title Artwork" descr="&quot;&quot;" title="Personal Information">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14" name="Title">
            <a:extLst>
              <a:ext uri="{FF2B5EF4-FFF2-40B4-BE49-F238E27FC236}">
                <a16:creationId xmlns:a16="http://schemas.microsoft.com/office/drawing/2014/main" id="{00000000-0008-0000-0000-00000E000000}"/>
              </a:ext>
            </a:extLst>
          </xdr:cNvPr>
          <xdr:cNvSpPr txBox="1"/>
        </xdr:nvSpPr>
        <xdr:spPr>
          <a:xfrm>
            <a:off x="4171950" y="466906"/>
            <a:ext cx="2219324" cy="8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3500" b="1">
                <a:solidFill>
                  <a:schemeClr val="accent2"/>
                </a:solidFill>
                <a:latin typeface="Segoe UI Black" panose="020B0A02040204020203" pitchFamily="34" charset="0"/>
                <a:ea typeface="Segoe UI Black" panose="020B0A02040204020203" pitchFamily="34" charset="0"/>
                <a:cs typeface="Segoe UI Black" panose="020B0A02040204020203" pitchFamily="34" charset="0"/>
              </a:rPr>
              <a:t>KD Study 2</a:t>
            </a:r>
          </a:p>
        </xdr:txBody>
      </xdr:sp>
      <xdr:sp macro="" textlink="">
        <xdr:nvSpPr>
          <xdr:cNvPr id="15" name="Subtitle">
            <a:extLst>
              <a:ext uri="{FF2B5EF4-FFF2-40B4-BE49-F238E27FC236}">
                <a16:creationId xmlns:a16="http://schemas.microsoft.com/office/drawing/2014/main" id="{00000000-0008-0000-0000-00000F000000}"/>
              </a:ext>
            </a:extLst>
          </xdr:cNvPr>
          <xdr:cNvSpPr txBox="1"/>
        </xdr:nvSpPr>
        <xdr:spPr>
          <a:xfrm>
            <a:off x="3978006" y="1410707"/>
            <a:ext cx="2633368" cy="326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TÍNH</a:t>
            </a:r>
            <a:r>
              <a:rPr lang="en-US" sz="12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ĐIỂM TÍN CHỈ &amp; MỤC TIÊU</a:t>
            </a:r>
            <a:endPar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9525</xdr:colOff>
      <xdr:row>14</xdr:row>
      <xdr:rowOff>47625</xdr:rowOff>
    </xdr:from>
    <xdr:to>
      <xdr:col>8</xdr:col>
      <xdr:colOff>465408</xdr:colOff>
      <xdr:row>18</xdr:row>
      <xdr:rowOff>180972</xdr:rowOff>
    </xdr:to>
    <xdr:grpSp>
      <xdr:nvGrpSpPr>
        <xdr:cNvPr id="16" name="Group 15" descr="&quot;&quot;" title="Travel Details button">
          <a:hlinkClick xmlns:r="http://schemas.openxmlformats.org/officeDocument/2006/relationships" r:id="rId4" tooltip="Click to view Travel Details"/>
          <a:extLst>
            <a:ext uri="{FF2B5EF4-FFF2-40B4-BE49-F238E27FC236}">
              <a16:creationId xmlns:a16="http://schemas.microsoft.com/office/drawing/2014/main" id="{00000000-0008-0000-0000-000010000000}"/>
            </a:ext>
          </a:extLst>
        </xdr:cNvPr>
        <xdr:cNvGrpSpPr/>
      </xdr:nvGrpSpPr>
      <xdr:grpSpPr>
        <a:xfrm>
          <a:off x="7010400" y="3476625"/>
          <a:ext cx="2408508" cy="1447797"/>
          <a:chOff x="2493150" y="2035950"/>
          <a:chExt cx="1451582" cy="784857"/>
        </a:xfrm>
      </xdr:grpSpPr>
      <xdr:pic>
        <xdr:nvPicPr>
          <xdr:cNvPr id="23" name="Picture 22" descr="&quot;&quot;" title="Travel Details button">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93150" y="2035950"/>
            <a:ext cx="1451582" cy="542172"/>
          </a:xfrm>
          <a:prstGeom prst="rect">
            <a:avLst/>
          </a:prstGeom>
        </xdr:spPr>
      </xdr:pic>
      <xdr:sp macro="" textlink="">
        <xdr:nvSpPr>
          <xdr:cNvPr id="24" name="TextBox 23">
            <a:hlinkClick xmlns:r="http://schemas.openxmlformats.org/officeDocument/2006/relationships" r:id="rId4" tooltip="Click vào để đến phần MỤC TIÊU"/>
            <a:extLst>
              <a:ext uri="{FF2B5EF4-FFF2-40B4-BE49-F238E27FC236}">
                <a16:creationId xmlns:a16="http://schemas.microsoft.com/office/drawing/2014/main" id="{00000000-0008-0000-0000-000018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StudyTarget</a:t>
            </a:r>
          </a:p>
        </xdr:txBody>
      </xdr:sp>
      <xdr:sp macro="" textlink="">
        <xdr:nvSpPr>
          <xdr:cNvPr id="25" name="TextBox 24">
            <a:hlinkClick xmlns:r="http://schemas.openxmlformats.org/officeDocument/2006/relationships" r:id="rId4" tooltip="Click vào để đến phần MỤC TIÊU HỌC TẬP"/>
            <a:extLst>
              <a:ext uri="{FF2B5EF4-FFF2-40B4-BE49-F238E27FC236}">
                <a16:creationId xmlns:a16="http://schemas.microsoft.com/office/drawing/2014/main" id="{00000000-0008-0000-0000-000019000000}"/>
              </a:ext>
            </a:extLst>
          </xdr:cNvPr>
          <xdr:cNvSpPr txBox="1"/>
        </xdr:nvSpPr>
        <xdr:spPr>
          <a:xfrm>
            <a:off x="2514586" y="2633153"/>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chemeClr val="accent6"/>
                </a:solidFill>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9525</xdr:colOff>
      <xdr:row>19</xdr:row>
      <xdr:rowOff>82549</xdr:rowOff>
    </xdr:from>
    <xdr:to>
      <xdr:col>8</xdr:col>
      <xdr:colOff>465408</xdr:colOff>
      <xdr:row>26</xdr:row>
      <xdr:rowOff>25400</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7010400" y="5035549"/>
          <a:ext cx="2408508" cy="1409701"/>
          <a:chOff x="590550" y="5486399"/>
          <a:chExt cx="2357708" cy="1390651"/>
        </a:xfrm>
      </xdr:grpSpPr>
      <xdr:pic>
        <xdr:nvPicPr>
          <xdr:cNvPr id="27" name="Picture 26" descr="&quot;&quot;" title="Travel Details button">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90550" y="5486399"/>
            <a:ext cx="2357708" cy="971550"/>
          </a:xfrm>
          <a:prstGeom prst="rect">
            <a:avLst/>
          </a:prstGeom>
        </xdr:spPr>
      </xdr:pic>
      <xdr:sp macro="" textlink="">
        <xdr:nvSpPr>
          <xdr:cNvPr id="28" name="TextBox 27">
            <a:hlinkClick xmlns:r="http://schemas.openxmlformats.org/officeDocument/2006/relationships" r:id="rId8" tooltip="Click vào để đến phần THỐNG KÊ CHI TIẾT"/>
            <a:extLst>
              <a:ext uri="{FF2B5EF4-FFF2-40B4-BE49-F238E27FC236}">
                <a16:creationId xmlns:a16="http://schemas.microsoft.com/office/drawing/2014/main" id="{00000000-0008-0000-0000-00001C000000}"/>
              </a:ext>
            </a:extLst>
          </xdr:cNvPr>
          <xdr:cNvSpPr txBox="1"/>
        </xdr:nvSpPr>
        <xdr:spPr>
          <a:xfrm>
            <a:off x="609896" y="5645004"/>
            <a:ext cx="2320624" cy="698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400">
                <a:solidFill>
                  <a:srgbClr val="FFFFFF"/>
                </a:solidFill>
                <a:latin typeface="Freestyle Script" pitchFamily="66" charset="0"/>
              </a:rPr>
              <a:t>Statistics</a:t>
            </a:r>
          </a:p>
        </xdr:txBody>
      </xdr:sp>
      <xdr:sp macro="" textlink="">
        <xdr:nvSpPr>
          <xdr:cNvPr id="29" name="TextBox 28">
            <a:hlinkClick xmlns:r="http://schemas.openxmlformats.org/officeDocument/2006/relationships" r:id="rId8" tooltip="Click vào để đến phần THỐNG KÊ CHI TIẾT"/>
            <a:extLst>
              <a:ext uri="{FF2B5EF4-FFF2-40B4-BE49-F238E27FC236}">
                <a16:creationId xmlns:a16="http://schemas.microsoft.com/office/drawing/2014/main" id="{00000000-0008-0000-0000-00001D000000}"/>
              </a:ext>
            </a:extLst>
          </xdr:cNvPr>
          <xdr:cNvSpPr txBox="1"/>
        </xdr:nvSpPr>
        <xdr:spPr>
          <a:xfrm>
            <a:off x="625367" y="6553204"/>
            <a:ext cx="2289682" cy="32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 KÊ HỌC TẬP</a:t>
            </a:r>
            <a:endPar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9526</xdr:colOff>
      <xdr:row>8</xdr:row>
      <xdr:rowOff>361950</xdr:rowOff>
    </xdr:from>
    <xdr:to>
      <xdr:col>8</xdr:col>
      <xdr:colOff>474934</xdr:colOff>
      <xdr:row>13</xdr:row>
      <xdr:rowOff>171452</xdr:rowOff>
    </xdr:to>
    <xdr:grpSp>
      <xdr:nvGrpSpPr>
        <xdr:cNvPr id="30" name="Group 29" descr="&quot;&quot;" title="Travel Details button">
          <a:hlinkClick xmlns:r="http://schemas.openxmlformats.org/officeDocument/2006/relationships" r:id="rId9" tooltip="Click vào để chuyển nhập KẾT QUẢ HỌC TẬP"/>
          <a:extLst>
            <a:ext uri="{FF2B5EF4-FFF2-40B4-BE49-F238E27FC236}">
              <a16:creationId xmlns:a16="http://schemas.microsoft.com/office/drawing/2014/main" id="{00000000-0008-0000-0000-00001E000000}"/>
            </a:ext>
          </a:extLst>
        </xdr:cNvPr>
        <xdr:cNvGrpSpPr/>
      </xdr:nvGrpSpPr>
      <xdr:grpSpPr>
        <a:xfrm>
          <a:off x="7010401" y="2038350"/>
          <a:ext cx="2418033" cy="1352552"/>
          <a:chOff x="2493150" y="2035950"/>
          <a:chExt cx="1451582" cy="821004"/>
        </a:xfrm>
      </xdr:grpSpPr>
      <xdr:pic>
        <xdr:nvPicPr>
          <xdr:cNvPr id="31" name="Picture 30" descr="&quot;&quot;" title="Travel Details button">
            <a:hlinkClick xmlns:r="http://schemas.openxmlformats.org/officeDocument/2006/relationships" r:id="rId9" tooltip="Click vào để chuyển sang tab KẾT QUẢ HỌC TẬP"/>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5" cstate="print">
            <a:duotone>
              <a:prstClr val="black"/>
              <a:srgbClr val="FF0000">
                <a:tint val="45000"/>
                <a:satMod val="400000"/>
              </a:srgbClr>
            </a:duotone>
            <a:extLst>
              <a:ext uri="{28A0092B-C50C-407E-A947-70E740481C1C}">
                <a14:useLocalDpi xmlns:a14="http://schemas.microsoft.com/office/drawing/2010/main" val="0"/>
              </a:ext>
            </a:extLst>
          </a:blip>
          <a:stretch>
            <a:fillRect/>
          </a:stretch>
        </xdr:blipFill>
        <xdr:spPr>
          <a:xfrm>
            <a:off x="2493150" y="2035950"/>
            <a:ext cx="1451582" cy="598159"/>
          </a:xfrm>
          <a:prstGeom prst="rect">
            <a:avLst/>
          </a:prstGeom>
        </xdr:spPr>
      </xdr:pic>
      <xdr:sp macro="" textlink="">
        <xdr:nvSpPr>
          <xdr:cNvPr id="32" name="TextBox 31">
            <a:hlinkClick xmlns:r="http://schemas.openxmlformats.org/officeDocument/2006/relationships" r:id="rId9" tooltip="Click vào để nhập KẾT QUẢ HỌC TẬP"/>
            <a:extLst>
              <a:ext uri="{FF2B5EF4-FFF2-40B4-BE49-F238E27FC236}">
                <a16:creationId xmlns:a16="http://schemas.microsoft.com/office/drawing/2014/main" id="{00000000-0008-0000-0000-000020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StudyResult</a:t>
            </a:r>
          </a:p>
        </xdr:txBody>
      </xdr:sp>
      <xdr:sp macro="" textlink="">
        <xdr:nvSpPr>
          <xdr:cNvPr id="33" name="TextBox 32">
            <a:hlinkClick xmlns:r="http://schemas.openxmlformats.org/officeDocument/2006/relationships" r:id="rId9" tooltip="Click vào để đến phần KẾT QUẢ HỌC TẬP"/>
            <a:extLst>
              <a:ext uri="{FF2B5EF4-FFF2-40B4-BE49-F238E27FC236}">
                <a16:creationId xmlns:a16="http://schemas.microsoft.com/office/drawing/2014/main" id="{00000000-0008-0000-0000-000021000000}"/>
              </a:ext>
            </a:extLst>
          </xdr:cNvPr>
          <xdr:cNvSpPr txBox="1"/>
        </xdr:nvSpPr>
        <xdr:spPr>
          <a:xfrm>
            <a:off x="2514586" y="2669300"/>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2"/>
                </a:solidFill>
                <a:latin typeface="Segoe UI" panose="020B0502040204020203" pitchFamily="34" charset="0"/>
                <a:ea typeface="Segoe UI" panose="020B0502040204020203" pitchFamily="34" charset="0"/>
                <a:cs typeface="Segoe UI" panose="020B0502040204020203" pitchFamily="34" charset="0"/>
              </a:rPr>
              <a:t>KẾT</a:t>
            </a:r>
            <a:r>
              <a:rPr lang="en-US" sz="1600" b="1" baseline="0">
                <a:solidFill>
                  <a:schemeClr val="accent2"/>
                </a:solidFill>
                <a:latin typeface="Segoe UI" panose="020B0502040204020203" pitchFamily="34" charset="0"/>
                <a:ea typeface="Segoe UI" panose="020B0502040204020203" pitchFamily="34" charset="0"/>
                <a:cs typeface="Segoe UI" panose="020B0502040204020203" pitchFamily="34" charset="0"/>
              </a:rPr>
              <a:t> QUẢ HỌC TẬP</a:t>
            </a:r>
            <a:endParaRPr lang="en-US" sz="1600" b="1">
              <a:solidFill>
                <a:schemeClr val="accent2"/>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absolute">
    <xdr:from>
      <xdr:col>0</xdr:col>
      <xdr:colOff>609599</xdr:colOff>
      <xdr:row>21</xdr:row>
      <xdr:rowOff>175455</xdr:rowOff>
    </xdr:from>
    <xdr:to>
      <xdr:col>2</xdr:col>
      <xdr:colOff>447674</xdr:colOff>
      <xdr:row>23</xdr:row>
      <xdr:rowOff>92074</xdr:rowOff>
    </xdr:to>
    <xdr:pic>
      <xdr:nvPicPr>
        <xdr:cNvPr id="34" name="Picture 33">
          <a:hlinkClick xmlns:r="http://schemas.openxmlformats.org/officeDocument/2006/relationships" r:id="rId10" tooltip="Ghé thăm Blog để nhận nhiều phần quà hấp dẫn khác!"/>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09599" y="5547555"/>
          <a:ext cx="1971675" cy="335719"/>
        </a:xfrm>
        <a:prstGeom prst="rect">
          <a:avLst/>
        </a:prstGeom>
      </xdr:spPr>
    </xdr:pic>
    <xdr:clientData/>
  </xdr:twoCellAnchor>
  <xdr:twoCellAnchor>
    <xdr:from>
      <xdr:col>4</xdr:col>
      <xdr:colOff>0</xdr:colOff>
      <xdr:row>15</xdr:row>
      <xdr:rowOff>334853</xdr:rowOff>
    </xdr:from>
    <xdr:to>
      <xdr:col>4</xdr:col>
      <xdr:colOff>1314450</xdr:colOff>
      <xdr:row>19</xdr:row>
      <xdr:rowOff>85729</xdr:rowOff>
    </xdr:to>
    <xdr:cxnSp macro="">
      <xdr:nvCxnSpPr>
        <xdr:cNvPr id="5" name="Elbow Connector 4">
          <a:extLst>
            <a:ext uri="{FF2B5EF4-FFF2-40B4-BE49-F238E27FC236}">
              <a16:creationId xmlns:a16="http://schemas.microsoft.com/office/drawing/2014/main" id="{00000000-0008-0000-0000-000005000000}"/>
            </a:ext>
          </a:extLst>
        </xdr:cNvPr>
        <xdr:cNvCxnSpPr>
          <a:endCxn id="43" idx="1"/>
        </xdr:cNvCxnSpPr>
      </xdr:nvCxnSpPr>
      <xdr:spPr>
        <a:xfrm flipV="1">
          <a:off x="6191250" y="3973403"/>
          <a:ext cx="1314450" cy="1065326"/>
        </a:xfrm>
        <a:prstGeom prst="bentConnector3">
          <a:avLst/>
        </a:prstGeom>
        <a:ln w="12700">
          <a:solidFill>
            <a:schemeClr val="accent6">
              <a:lumMod val="75000"/>
            </a:schemeClr>
          </a:solidFill>
          <a:prstDash val="dash"/>
          <a:headEnd type="diamond"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1314450</xdr:colOff>
      <xdr:row>8</xdr:row>
      <xdr:rowOff>400051</xdr:rowOff>
    </xdr:from>
    <xdr:to>
      <xdr:col>4</xdr:col>
      <xdr:colOff>1752600</xdr:colOff>
      <xdr:row>25</xdr:row>
      <xdr:rowOff>85725</xdr:rowOff>
    </xdr:to>
    <xdr:sp macro="" textlink="">
      <xdr:nvSpPr>
        <xdr:cNvPr id="43" name="Left Brace 42">
          <a:extLst>
            <a:ext uri="{FF2B5EF4-FFF2-40B4-BE49-F238E27FC236}">
              <a16:creationId xmlns:a16="http://schemas.microsoft.com/office/drawing/2014/main" id="{00000000-0008-0000-0000-00002B000000}"/>
            </a:ext>
          </a:extLst>
        </xdr:cNvPr>
        <xdr:cNvSpPr/>
      </xdr:nvSpPr>
      <xdr:spPr>
        <a:xfrm>
          <a:off x="7505700" y="2076451"/>
          <a:ext cx="438150" cy="4219574"/>
        </a:xfrm>
        <a:prstGeom prst="leftBrace">
          <a:avLst>
            <a:gd name="adj1" fmla="val 88768"/>
            <a:gd name="adj2" fmla="val 44956"/>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clientData/>
  </xdr:twoCellAnchor>
  <xdr:twoCellAnchor editAs="absolute">
    <xdr:from>
      <xdr:col>3</xdr:col>
      <xdr:colOff>238125</xdr:colOff>
      <xdr:row>1</xdr:row>
      <xdr:rowOff>114299</xdr:rowOff>
    </xdr:from>
    <xdr:to>
      <xdr:col>4</xdr:col>
      <xdr:colOff>142875</xdr:colOff>
      <xdr:row>5</xdr:row>
      <xdr:rowOff>142874</xdr:rowOff>
    </xdr:to>
    <xdr:pic>
      <xdr:nvPicPr>
        <xdr:cNvPr id="8" name="Picture 7">
          <a:extLst>
            <a:ext uri="{FF2B5EF4-FFF2-40B4-BE49-F238E27FC236}">
              <a16:creationId xmlns:a16="http://schemas.microsoft.com/office/drawing/2014/main" id="{0C30C584-6CF4-4284-A2B6-FD665E4086F2}"/>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5469" b="89844" l="9961" r="89844">
                      <a14:foregroundMark x1="46094" y1="13672" x2="46094" y2="13672"/>
                      <a14:foregroundMark x1="57227" y1="5469" x2="57227" y2="5469"/>
                      <a14:foregroundMark x1="82813" y1="19141" x2="82813" y2="19141"/>
                      <a14:foregroundMark x1="62891" y1="71875" x2="62891" y2="71875"/>
                      <a14:foregroundMark x1="50000" y1="75000" x2="50000" y2="75000"/>
                      <a14:foregroundMark x1="31055" y1="75195" x2="31055" y2="75195"/>
                    </a14:backgroundRemoval>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4762500" y="323849"/>
          <a:ext cx="800100" cy="866775"/>
        </a:xfrm>
        <a:prstGeom prst="rect">
          <a:avLst/>
        </a:prstGeom>
      </xdr:spPr>
    </xdr:pic>
    <xdr:clientData/>
  </xdr:twoCellAnchor>
  <xdr:twoCellAnchor editAs="oneCell">
    <xdr:from>
      <xdr:col>2</xdr:col>
      <xdr:colOff>1628775</xdr:colOff>
      <xdr:row>20</xdr:row>
      <xdr:rowOff>188359</xdr:rowOff>
    </xdr:from>
    <xdr:to>
      <xdr:col>3</xdr:col>
      <xdr:colOff>895349</xdr:colOff>
      <xdr:row>25</xdr:row>
      <xdr:rowOff>58871</xdr:rowOff>
    </xdr:to>
    <xdr:grpSp>
      <xdr:nvGrpSpPr>
        <xdr:cNvPr id="9" name="Group 8">
          <a:hlinkClick xmlns:r="http://schemas.openxmlformats.org/officeDocument/2006/relationships" r:id="rId14" tooltip="Thông tin về tác giả"/>
          <a:extLst>
            <a:ext uri="{FF2B5EF4-FFF2-40B4-BE49-F238E27FC236}">
              <a16:creationId xmlns:a16="http://schemas.microsoft.com/office/drawing/2014/main" id="{7286FFC0-8DA3-4FF9-9932-F9987FE91E1D}"/>
            </a:ext>
          </a:extLst>
        </xdr:cNvPr>
        <xdr:cNvGrpSpPr/>
      </xdr:nvGrpSpPr>
      <xdr:grpSpPr>
        <a:xfrm>
          <a:off x="3762375" y="5350909"/>
          <a:ext cx="1657349" cy="918262"/>
          <a:chOff x="9782173" y="455059"/>
          <a:chExt cx="1733551" cy="918262"/>
        </a:xfrm>
      </xdr:grpSpPr>
      <xdr:sp macro="" textlink="">
        <xdr:nvSpPr>
          <xdr:cNvPr id="38" name="Rectangle: Rounded Corners 37">
            <a:hlinkClick xmlns:r="http://schemas.openxmlformats.org/officeDocument/2006/relationships" r:id="rId15" tooltip="Thông tin về tác giả"/>
            <a:extLst>
              <a:ext uri="{FF2B5EF4-FFF2-40B4-BE49-F238E27FC236}">
                <a16:creationId xmlns:a16="http://schemas.microsoft.com/office/drawing/2014/main" id="{96D1BF61-4D87-48C9-8033-8F8AE3E26A83}"/>
              </a:ext>
            </a:extLst>
          </xdr:cNvPr>
          <xdr:cNvSpPr/>
        </xdr:nvSpPr>
        <xdr:spPr>
          <a:xfrm>
            <a:off x="9782173" y="751050"/>
            <a:ext cx="1733551" cy="5650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baseline="0">
                <a:latin typeface="Segoe UI Black" panose="020B0A02040204020203" pitchFamily="34" charset="0"/>
                <a:ea typeface="Segoe UI Black" panose="020B0A02040204020203" pitchFamily="34" charset="0"/>
                <a:cs typeface="Segoe UI Black" panose="020B0A02040204020203" pitchFamily="34" charset="0"/>
              </a:rPr>
              <a:t>ABOUT ME</a:t>
            </a:r>
            <a:endParaRPr lang="vi-VN" sz="1050">
              <a:latin typeface="Segoe UI Black" panose="020B0A02040204020203" pitchFamily="34" charset="0"/>
              <a:ea typeface="Segoe UI Black" panose="020B0A02040204020203" pitchFamily="34" charset="0"/>
              <a:cs typeface="Segoe UI Black" panose="020B0A02040204020203" pitchFamily="34" charset="0"/>
            </a:endParaRPr>
          </a:p>
        </xdr:txBody>
      </xdr:sp>
      <xdr:pic>
        <xdr:nvPicPr>
          <xdr:cNvPr id="39" name="Picture 38">
            <a:extLst>
              <a:ext uri="{FF2B5EF4-FFF2-40B4-BE49-F238E27FC236}">
                <a16:creationId xmlns:a16="http://schemas.microsoft.com/office/drawing/2014/main" id="{C3EBB5E6-6356-4BE7-BC5F-3E85ED404F9C}"/>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5084" r="16455"/>
          <a:stretch/>
        </xdr:blipFill>
        <xdr:spPr>
          <a:xfrm>
            <a:off x="9858375" y="455059"/>
            <a:ext cx="628650" cy="918262"/>
          </a:xfrm>
          <a:prstGeom prst="rect">
            <a:avLst/>
          </a:prstGeom>
        </xdr:spPr>
      </xdr:pic>
    </xdr:grpSp>
    <xdr:clientData/>
  </xdr:twoCellAnchor>
  <xdr:twoCellAnchor editAs="oneCell">
    <xdr:from>
      <xdr:col>2</xdr:col>
      <xdr:colOff>1786984</xdr:colOff>
      <xdr:row>8</xdr:row>
      <xdr:rowOff>173263</xdr:rowOff>
    </xdr:from>
    <xdr:to>
      <xdr:col>3</xdr:col>
      <xdr:colOff>60963</xdr:colOff>
      <xdr:row>10</xdr:row>
      <xdr:rowOff>11201</xdr:rowOff>
    </xdr:to>
    <xdr:pic>
      <xdr:nvPicPr>
        <xdr:cNvPr id="42" name="Picture 41">
          <a:extLst>
            <a:ext uri="{FF2B5EF4-FFF2-40B4-BE49-F238E27FC236}">
              <a16:creationId xmlns:a16="http://schemas.microsoft.com/office/drawing/2014/main" id="{CD607ECA-A5C6-4F6E-9216-062639323BD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rot="16200000">
          <a:off x="3976805" y="1884882"/>
          <a:ext cx="744718" cy="7352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272415</xdr:colOff>
      <xdr:row>16</xdr:row>
      <xdr:rowOff>180975</xdr:rowOff>
    </xdr:from>
    <xdr:to>
      <xdr:col>2</xdr:col>
      <xdr:colOff>386033</xdr:colOff>
      <xdr:row>22</xdr:row>
      <xdr:rowOff>200027</xdr:rowOff>
    </xdr:to>
    <xdr:grpSp>
      <xdr:nvGrpSpPr>
        <xdr:cNvPr id="10" name="Group 9" descr="&quot;&quot;" title="Travel Details button">
          <a:hlinkClick xmlns:r="http://schemas.openxmlformats.org/officeDocument/2006/relationships" r:id="rId1" tooltip="Click to view Travel Details"/>
          <a:extLst>
            <a:ext uri="{FF2B5EF4-FFF2-40B4-BE49-F238E27FC236}">
              <a16:creationId xmlns:a16="http://schemas.microsoft.com/office/drawing/2014/main" id="{00000000-0008-0000-0100-00000A000000}"/>
            </a:ext>
          </a:extLst>
        </xdr:cNvPr>
        <xdr:cNvGrpSpPr/>
      </xdr:nvGrpSpPr>
      <xdr:grpSpPr>
        <a:xfrm>
          <a:off x="262890" y="4013387"/>
          <a:ext cx="2409143" cy="1363758"/>
          <a:chOff x="2493150" y="2035950"/>
          <a:chExt cx="1451582" cy="821004"/>
        </a:xfrm>
      </xdr:grpSpPr>
      <xdr:pic>
        <xdr:nvPicPr>
          <xdr:cNvPr id="11" name="Picture 10" descr="&quot;&quot;" title="Travel Details button">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93150" y="2035950"/>
            <a:ext cx="1451582" cy="598159"/>
          </a:xfrm>
          <a:prstGeom prst="rect">
            <a:avLst/>
          </a:prstGeom>
        </xdr:spPr>
      </xdr:pic>
      <xdr:sp macro="" textlink="">
        <xdr:nvSpPr>
          <xdr:cNvPr id="12" name="TextBox 11">
            <a:hlinkClick xmlns:r="http://schemas.openxmlformats.org/officeDocument/2006/relationships" r:id="rId1" tooltip="Click vào để đến phần MỤC TIÊU"/>
            <a:extLst>
              <a:ext uri="{FF2B5EF4-FFF2-40B4-BE49-F238E27FC236}">
                <a16:creationId xmlns:a16="http://schemas.microsoft.com/office/drawing/2014/main" id="{00000000-0008-0000-0100-00000C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StudyTarget</a:t>
            </a:r>
          </a:p>
        </xdr:txBody>
      </xdr:sp>
      <xdr:sp macro="" textlink="">
        <xdr:nvSpPr>
          <xdr:cNvPr id="13" name="TextBox 12">
            <a:hlinkClick xmlns:r="http://schemas.openxmlformats.org/officeDocument/2006/relationships" r:id="rId1" tooltip="Click vào để đến phần MỤC TIÊU HỌC TẬP"/>
            <a:extLst>
              <a:ext uri="{FF2B5EF4-FFF2-40B4-BE49-F238E27FC236}">
                <a16:creationId xmlns:a16="http://schemas.microsoft.com/office/drawing/2014/main" id="{00000000-0008-0000-0100-00000D000000}"/>
              </a:ext>
            </a:extLst>
          </xdr:cNvPr>
          <xdr:cNvSpPr txBox="1"/>
        </xdr:nvSpPr>
        <xdr:spPr>
          <a:xfrm>
            <a:off x="2514586" y="2669300"/>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chemeClr val="accent6"/>
                </a:solidFill>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1</xdr:col>
      <xdr:colOff>0</xdr:colOff>
      <xdr:row>23</xdr:row>
      <xdr:rowOff>123824</xdr:rowOff>
    </xdr:from>
    <xdr:to>
      <xdr:col>2</xdr:col>
      <xdr:colOff>386033</xdr:colOff>
      <xdr:row>29</xdr:row>
      <xdr:rowOff>200025</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268941" y="5525059"/>
          <a:ext cx="2403092" cy="1420907"/>
          <a:chOff x="590550" y="5486399"/>
          <a:chExt cx="2357708" cy="1390651"/>
        </a:xfrm>
      </xdr:grpSpPr>
      <xdr:pic>
        <xdr:nvPicPr>
          <xdr:cNvPr id="15" name="Picture 14" descr="&quot;&quot;" title="Travel Details button">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3" cstate="print">
            <a:duotone>
              <a:prstClr val="black"/>
              <a:schemeClr val="accent5">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90550" y="5486399"/>
            <a:ext cx="2357708" cy="971550"/>
          </a:xfrm>
          <a:prstGeom prst="rect">
            <a:avLst/>
          </a:prstGeom>
        </xdr:spPr>
      </xdr:pic>
      <xdr:sp macro="" textlink="">
        <xdr:nvSpPr>
          <xdr:cNvPr id="16" name="TextBox 15">
            <a:hlinkClick xmlns:r="http://schemas.openxmlformats.org/officeDocument/2006/relationships" r:id="rId5" tooltip="Click vào để đến phần THỐNG KÊ CHI TIẾT"/>
            <a:extLst>
              <a:ext uri="{FF2B5EF4-FFF2-40B4-BE49-F238E27FC236}">
                <a16:creationId xmlns:a16="http://schemas.microsoft.com/office/drawing/2014/main" id="{00000000-0008-0000-0100-000010000000}"/>
              </a:ext>
            </a:extLst>
          </xdr:cNvPr>
          <xdr:cNvSpPr txBox="1"/>
        </xdr:nvSpPr>
        <xdr:spPr>
          <a:xfrm>
            <a:off x="609896" y="5645004"/>
            <a:ext cx="2320624" cy="698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400">
                <a:solidFill>
                  <a:srgbClr val="FFFFFF"/>
                </a:solidFill>
                <a:latin typeface="Freestyle Script" pitchFamily="66" charset="0"/>
              </a:rPr>
              <a:t>Statistics</a:t>
            </a:r>
          </a:p>
        </xdr:txBody>
      </xdr:sp>
      <xdr:sp macro="" textlink="">
        <xdr:nvSpPr>
          <xdr:cNvPr id="17" name="TextBox 16">
            <a:hlinkClick xmlns:r="http://schemas.openxmlformats.org/officeDocument/2006/relationships" r:id="rId5" tooltip="Click vào để đến phần THỐNG KÊ CHI TIẾT"/>
            <a:extLst>
              <a:ext uri="{FF2B5EF4-FFF2-40B4-BE49-F238E27FC236}">
                <a16:creationId xmlns:a16="http://schemas.microsoft.com/office/drawing/2014/main" id="{00000000-0008-0000-0100-000011000000}"/>
              </a:ext>
            </a:extLst>
          </xdr:cNvPr>
          <xdr:cNvSpPr txBox="1"/>
        </xdr:nvSpPr>
        <xdr:spPr>
          <a:xfrm>
            <a:off x="625367" y="6553204"/>
            <a:ext cx="2289682" cy="32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 KÊ HỌC TẬP</a:t>
            </a:r>
            <a:endPar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oneCell">
    <xdr:from>
      <xdr:col>0</xdr:col>
      <xdr:colOff>219075</xdr:colOff>
      <xdr:row>14</xdr:row>
      <xdr:rowOff>47626</xdr:rowOff>
    </xdr:from>
    <xdr:to>
      <xdr:col>2</xdr:col>
      <xdr:colOff>438150</xdr:colOff>
      <xdr:row>16</xdr:row>
      <xdr:rowOff>9526</xdr:rowOff>
    </xdr:to>
    <xdr:pic>
      <xdr:nvPicPr>
        <xdr:cNvPr id="4" name="Picture 3">
          <a:hlinkClick xmlns:r="http://schemas.openxmlformats.org/officeDocument/2006/relationships" r:id="rId6" tooltip="Ghé thăm Blog để nhận nhiều phần quà hấp dẫn khác!"/>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9075" y="3486151"/>
          <a:ext cx="2505075" cy="419100"/>
        </a:xfrm>
        <a:prstGeom prst="rect">
          <a:avLst/>
        </a:prstGeom>
      </xdr:spPr>
    </xdr:pic>
    <xdr:clientData/>
  </xdr:twoCellAnchor>
  <xdr:twoCellAnchor>
    <xdr:from>
      <xdr:col>3</xdr:col>
      <xdr:colOff>105208</xdr:colOff>
      <xdr:row>8</xdr:row>
      <xdr:rowOff>15532</xdr:rowOff>
    </xdr:from>
    <xdr:to>
      <xdr:col>3</xdr:col>
      <xdr:colOff>304367</xdr:colOff>
      <xdr:row>8</xdr:row>
      <xdr:rowOff>216981</xdr:rowOff>
    </xdr:to>
    <xdr:grpSp>
      <xdr:nvGrpSpPr>
        <xdr:cNvPr id="24" name="Shape 534">
          <a:extLst>
            <a:ext uri="{FF2B5EF4-FFF2-40B4-BE49-F238E27FC236}">
              <a16:creationId xmlns:a16="http://schemas.microsoft.com/office/drawing/2014/main" id="{00000000-0008-0000-0100-000018000000}"/>
            </a:ext>
          </a:extLst>
        </xdr:cNvPr>
        <xdr:cNvGrpSpPr/>
      </xdr:nvGrpSpPr>
      <xdr:grpSpPr>
        <a:xfrm>
          <a:off x="2873061" y="2055003"/>
          <a:ext cx="199159" cy="201449"/>
          <a:chOff x="5297950" y="1632050"/>
          <a:chExt cx="426200" cy="431100"/>
        </a:xfrm>
        <a:solidFill>
          <a:srgbClr val="FF5050"/>
        </a:solidFill>
      </xdr:grpSpPr>
      <xdr:sp macro="" textlink="">
        <xdr:nvSpPr>
          <xdr:cNvPr id="25" name="Shape 535">
            <a:extLst>
              <a:ext uri="{FF2B5EF4-FFF2-40B4-BE49-F238E27FC236}">
                <a16:creationId xmlns:a16="http://schemas.microsoft.com/office/drawing/2014/main" id="{00000000-0008-0000-0100-000019000000}"/>
              </a:ext>
            </a:extLst>
          </xdr:cNvPr>
          <xdr:cNvSpPr/>
        </xdr:nvSpPr>
        <xdr:spPr>
          <a:xfrm>
            <a:off x="5404800" y="1936125"/>
            <a:ext cx="212500" cy="127025"/>
          </a:xfrm>
          <a:custGeom>
            <a:avLst/>
            <a:gdLst/>
            <a:ahLst/>
            <a:cxnLst/>
            <a:rect l="0" t="0" r="0" b="0"/>
            <a:pathLst>
              <a:path w="8500" h="5081" extrusionOk="0">
                <a:moveTo>
                  <a:pt x="3175" y="1"/>
                </a:moveTo>
                <a:lnTo>
                  <a:pt x="3175" y="2834"/>
                </a:lnTo>
                <a:lnTo>
                  <a:pt x="2614" y="2956"/>
                </a:lnTo>
                <a:lnTo>
                  <a:pt x="2076" y="3102"/>
                </a:lnTo>
                <a:lnTo>
                  <a:pt x="1588" y="3298"/>
                </a:lnTo>
                <a:lnTo>
                  <a:pt x="1148" y="3493"/>
                </a:lnTo>
                <a:lnTo>
                  <a:pt x="782" y="3713"/>
                </a:lnTo>
                <a:lnTo>
                  <a:pt x="611" y="3859"/>
                </a:lnTo>
                <a:lnTo>
                  <a:pt x="464" y="3982"/>
                </a:lnTo>
                <a:lnTo>
                  <a:pt x="318" y="4128"/>
                </a:lnTo>
                <a:lnTo>
                  <a:pt x="196" y="4275"/>
                </a:lnTo>
                <a:lnTo>
                  <a:pt x="74" y="4421"/>
                </a:lnTo>
                <a:lnTo>
                  <a:pt x="0" y="4592"/>
                </a:lnTo>
                <a:lnTo>
                  <a:pt x="171" y="4665"/>
                </a:lnTo>
                <a:lnTo>
                  <a:pt x="416" y="4739"/>
                </a:lnTo>
                <a:lnTo>
                  <a:pt x="782" y="4836"/>
                </a:lnTo>
                <a:lnTo>
                  <a:pt x="1344" y="4910"/>
                </a:lnTo>
                <a:lnTo>
                  <a:pt x="2101" y="5007"/>
                </a:lnTo>
                <a:lnTo>
                  <a:pt x="3053" y="5056"/>
                </a:lnTo>
                <a:lnTo>
                  <a:pt x="4250" y="5081"/>
                </a:lnTo>
                <a:lnTo>
                  <a:pt x="5447" y="5056"/>
                </a:lnTo>
                <a:lnTo>
                  <a:pt x="6399" y="5007"/>
                </a:lnTo>
                <a:lnTo>
                  <a:pt x="7156" y="4910"/>
                </a:lnTo>
                <a:lnTo>
                  <a:pt x="7718" y="4836"/>
                </a:lnTo>
                <a:lnTo>
                  <a:pt x="8084" y="4739"/>
                </a:lnTo>
                <a:lnTo>
                  <a:pt x="8329" y="4665"/>
                </a:lnTo>
                <a:lnTo>
                  <a:pt x="8500" y="4592"/>
                </a:lnTo>
                <a:lnTo>
                  <a:pt x="8426" y="4421"/>
                </a:lnTo>
                <a:lnTo>
                  <a:pt x="8304" y="4275"/>
                </a:lnTo>
                <a:lnTo>
                  <a:pt x="8182" y="4128"/>
                </a:lnTo>
                <a:lnTo>
                  <a:pt x="8036" y="3982"/>
                </a:lnTo>
                <a:lnTo>
                  <a:pt x="7889" y="3859"/>
                </a:lnTo>
                <a:lnTo>
                  <a:pt x="7718" y="3713"/>
                </a:lnTo>
                <a:lnTo>
                  <a:pt x="7352" y="3493"/>
                </a:lnTo>
                <a:lnTo>
                  <a:pt x="6912" y="3298"/>
                </a:lnTo>
                <a:lnTo>
                  <a:pt x="6424" y="3102"/>
                </a:lnTo>
                <a:lnTo>
                  <a:pt x="5886" y="2956"/>
                </a:lnTo>
                <a:lnTo>
                  <a:pt x="5325" y="2834"/>
                </a:lnTo>
                <a:lnTo>
                  <a:pt x="5325" y="1"/>
                </a:lnTo>
                <a:lnTo>
                  <a:pt x="5032" y="49"/>
                </a:lnTo>
                <a:lnTo>
                  <a:pt x="4763" y="98"/>
                </a:lnTo>
                <a:lnTo>
                  <a:pt x="4250" y="123"/>
                </a:lnTo>
                <a:lnTo>
                  <a:pt x="3737" y="98"/>
                </a:lnTo>
                <a:lnTo>
                  <a:pt x="3469" y="49"/>
                </a:lnTo>
                <a:lnTo>
                  <a:pt x="3175"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26" name="Shape 536">
            <a:extLst>
              <a:ext uri="{FF2B5EF4-FFF2-40B4-BE49-F238E27FC236}">
                <a16:creationId xmlns:a16="http://schemas.microsoft.com/office/drawing/2014/main" id="{00000000-0008-0000-0100-00001A000000}"/>
              </a:ext>
            </a:extLst>
          </xdr:cNvPr>
          <xdr:cNvSpPr/>
        </xdr:nvSpPr>
        <xdr:spPr>
          <a:xfrm>
            <a:off x="5297950" y="1632050"/>
            <a:ext cx="426200" cy="294950"/>
          </a:xfrm>
          <a:custGeom>
            <a:avLst/>
            <a:gdLst/>
            <a:ahLst/>
            <a:cxnLst/>
            <a:rect l="0" t="0" r="0" b="0"/>
            <a:pathLst>
              <a:path w="17048" h="11798" extrusionOk="0">
                <a:moveTo>
                  <a:pt x="8524" y="2956"/>
                </a:moveTo>
                <a:lnTo>
                  <a:pt x="8573" y="2981"/>
                </a:lnTo>
                <a:lnTo>
                  <a:pt x="8622" y="3054"/>
                </a:lnTo>
                <a:lnTo>
                  <a:pt x="9086" y="4128"/>
                </a:lnTo>
                <a:lnTo>
                  <a:pt x="9135" y="4202"/>
                </a:lnTo>
                <a:lnTo>
                  <a:pt x="9208" y="4275"/>
                </a:lnTo>
                <a:lnTo>
                  <a:pt x="9306" y="4324"/>
                </a:lnTo>
                <a:lnTo>
                  <a:pt x="9403" y="4348"/>
                </a:lnTo>
                <a:lnTo>
                  <a:pt x="10576" y="4470"/>
                </a:lnTo>
                <a:lnTo>
                  <a:pt x="10649" y="4495"/>
                </a:lnTo>
                <a:lnTo>
                  <a:pt x="10698" y="4519"/>
                </a:lnTo>
                <a:lnTo>
                  <a:pt x="10673" y="4592"/>
                </a:lnTo>
                <a:lnTo>
                  <a:pt x="10624" y="4641"/>
                </a:lnTo>
                <a:lnTo>
                  <a:pt x="9745" y="5423"/>
                </a:lnTo>
                <a:lnTo>
                  <a:pt x="9696" y="5496"/>
                </a:lnTo>
                <a:lnTo>
                  <a:pt x="9648" y="5594"/>
                </a:lnTo>
                <a:lnTo>
                  <a:pt x="9623" y="5691"/>
                </a:lnTo>
                <a:lnTo>
                  <a:pt x="9623" y="5789"/>
                </a:lnTo>
                <a:lnTo>
                  <a:pt x="9892" y="6961"/>
                </a:lnTo>
                <a:lnTo>
                  <a:pt x="9892" y="7035"/>
                </a:lnTo>
                <a:lnTo>
                  <a:pt x="9867" y="7084"/>
                </a:lnTo>
                <a:lnTo>
                  <a:pt x="9818" y="7084"/>
                </a:lnTo>
                <a:lnTo>
                  <a:pt x="9745" y="7059"/>
                </a:lnTo>
                <a:lnTo>
                  <a:pt x="8719" y="6473"/>
                </a:lnTo>
                <a:lnTo>
                  <a:pt x="8622" y="6424"/>
                </a:lnTo>
                <a:lnTo>
                  <a:pt x="8426" y="6424"/>
                </a:lnTo>
                <a:lnTo>
                  <a:pt x="8329" y="6473"/>
                </a:lnTo>
                <a:lnTo>
                  <a:pt x="7303" y="7059"/>
                </a:lnTo>
                <a:lnTo>
                  <a:pt x="7230" y="7084"/>
                </a:lnTo>
                <a:lnTo>
                  <a:pt x="7181" y="7084"/>
                </a:lnTo>
                <a:lnTo>
                  <a:pt x="7156" y="7035"/>
                </a:lnTo>
                <a:lnTo>
                  <a:pt x="7156" y="6961"/>
                </a:lnTo>
                <a:lnTo>
                  <a:pt x="7425" y="5789"/>
                </a:lnTo>
                <a:lnTo>
                  <a:pt x="7425" y="5691"/>
                </a:lnTo>
                <a:lnTo>
                  <a:pt x="7401" y="5594"/>
                </a:lnTo>
                <a:lnTo>
                  <a:pt x="7352" y="5496"/>
                </a:lnTo>
                <a:lnTo>
                  <a:pt x="7303" y="5423"/>
                </a:lnTo>
                <a:lnTo>
                  <a:pt x="6424" y="4641"/>
                </a:lnTo>
                <a:lnTo>
                  <a:pt x="6375" y="4592"/>
                </a:lnTo>
                <a:lnTo>
                  <a:pt x="6350" y="4519"/>
                </a:lnTo>
                <a:lnTo>
                  <a:pt x="6399" y="4495"/>
                </a:lnTo>
                <a:lnTo>
                  <a:pt x="6473" y="4470"/>
                </a:lnTo>
                <a:lnTo>
                  <a:pt x="7645" y="4348"/>
                </a:lnTo>
                <a:lnTo>
                  <a:pt x="7743" y="4324"/>
                </a:lnTo>
                <a:lnTo>
                  <a:pt x="7840" y="4275"/>
                </a:lnTo>
                <a:lnTo>
                  <a:pt x="7913" y="4202"/>
                </a:lnTo>
                <a:lnTo>
                  <a:pt x="7962" y="4128"/>
                </a:lnTo>
                <a:lnTo>
                  <a:pt x="8426" y="3054"/>
                </a:lnTo>
                <a:lnTo>
                  <a:pt x="8475" y="2981"/>
                </a:lnTo>
                <a:lnTo>
                  <a:pt x="8524" y="2956"/>
                </a:lnTo>
                <a:close/>
                <a:moveTo>
                  <a:pt x="15973" y="2150"/>
                </a:moveTo>
                <a:lnTo>
                  <a:pt x="15973" y="2516"/>
                </a:lnTo>
                <a:lnTo>
                  <a:pt x="15924" y="2932"/>
                </a:lnTo>
                <a:lnTo>
                  <a:pt x="15875" y="3371"/>
                </a:lnTo>
                <a:lnTo>
                  <a:pt x="15802" y="3835"/>
                </a:lnTo>
                <a:lnTo>
                  <a:pt x="15704" y="4299"/>
                </a:lnTo>
                <a:lnTo>
                  <a:pt x="15558" y="4788"/>
                </a:lnTo>
                <a:lnTo>
                  <a:pt x="15411" y="5252"/>
                </a:lnTo>
                <a:lnTo>
                  <a:pt x="15216" y="5740"/>
                </a:lnTo>
                <a:lnTo>
                  <a:pt x="14996" y="6204"/>
                </a:lnTo>
                <a:lnTo>
                  <a:pt x="14752" y="6620"/>
                </a:lnTo>
                <a:lnTo>
                  <a:pt x="14459" y="7035"/>
                </a:lnTo>
                <a:lnTo>
                  <a:pt x="14141" y="7426"/>
                </a:lnTo>
                <a:lnTo>
                  <a:pt x="13799" y="7767"/>
                </a:lnTo>
                <a:lnTo>
                  <a:pt x="13604" y="7914"/>
                </a:lnTo>
                <a:lnTo>
                  <a:pt x="13409" y="8061"/>
                </a:lnTo>
                <a:lnTo>
                  <a:pt x="13213" y="8183"/>
                </a:lnTo>
                <a:lnTo>
                  <a:pt x="12993" y="8305"/>
                </a:lnTo>
                <a:lnTo>
                  <a:pt x="12774" y="8402"/>
                </a:lnTo>
                <a:lnTo>
                  <a:pt x="12529" y="8476"/>
                </a:lnTo>
                <a:lnTo>
                  <a:pt x="12529" y="8476"/>
                </a:lnTo>
                <a:lnTo>
                  <a:pt x="12823" y="7767"/>
                </a:lnTo>
                <a:lnTo>
                  <a:pt x="13042" y="7059"/>
                </a:lnTo>
                <a:lnTo>
                  <a:pt x="13262" y="6351"/>
                </a:lnTo>
                <a:lnTo>
                  <a:pt x="13433" y="5618"/>
                </a:lnTo>
                <a:lnTo>
                  <a:pt x="13555" y="4837"/>
                </a:lnTo>
                <a:lnTo>
                  <a:pt x="13677" y="4031"/>
                </a:lnTo>
                <a:lnTo>
                  <a:pt x="13751" y="3127"/>
                </a:lnTo>
                <a:lnTo>
                  <a:pt x="13799" y="2150"/>
                </a:lnTo>
                <a:close/>
                <a:moveTo>
                  <a:pt x="3249" y="2150"/>
                </a:moveTo>
                <a:lnTo>
                  <a:pt x="3298" y="3127"/>
                </a:lnTo>
                <a:lnTo>
                  <a:pt x="3371" y="4031"/>
                </a:lnTo>
                <a:lnTo>
                  <a:pt x="3493" y="4837"/>
                </a:lnTo>
                <a:lnTo>
                  <a:pt x="3615" y="5618"/>
                </a:lnTo>
                <a:lnTo>
                  <a:pt x="3786" y="6351"/>
                </a:lnTo>
                <a:lnTo>
                  <a:pt x="4006" y="7059"/>
                </a:lnTo>
                <a:lnTo>
                  <a:pt x="4226" y="7767"/>
                </a:lnTo>
                <a:lnTo>
                  <a:pt x="4519" y="8476"/>
                </a:lnTo>
                <a:lnTo>
                  <a:pt x="4274" y="8402"/>
                </a:lnTo>
                <a:lnTo>
                  <a:pt x="4055" y="8305"/>
                </a:lnTo>
                <a:lnTo>
                  <a:pt x="3835" y="8183"/>
                </a:lnTo>
                <a:lnTo>
                  <a:pt x="3639" y="8061"/>
                </a:lnTo>
                <a:lnTo>
                  <a:pt x="3444" y="7914"/>
                </a:lnTo>
                <a:lnTo>
                  <a:pt x="3249" y="7767"/>
                </a:lnTo>
                <a:lnTo>
                  <a:pt x="2907" y="7426"/>
                </a:lnTo>
                <a:lnTo>
                  <a:pt x="2589" y="7035"/>
                </a:lnTo>
                <a:lnTo>
                  <a:pt x="2296" y="6620"/>
                </a:lnTo>
                <a:lnTo>
                  <a:pt x="2052" y="6204"/>
                </a:lnTo>
                <a:lnTo>
                  <a:pt x="1832" y="5740"/>
                </a:lnTo>
                <a:lnTo>
                  <a:pt x="1637" y="5252"/>
                </a:lnTo>
                <a:lnTo>
                  <a:pt x="1490" y="4788"/>
                </a:lnTo>
                <a:lnTo>
                  <a:pt x="1344" y="4299"/>
                </a:lnTo>
                <a:lnTo>
                  <a:pt x="1246" y="3835"/>
                </a:lnTo>
                <a:lnTo>
                  <a:pt x="1173" y="3371"/>
                </a:lnTo>
                <a:lnTo>
                  <a:pt x="1124" y="2932"/>
                </a:lnTo>
                <a:lnTo>
                  <a:pt x="1075" y="2516"/>
                </a:lnTo>
                <a:lnTo>
                  <a:pt x="1075" y="2150"/>
                </a:lnTo>
                <a:close/>
                <a:moveTo>
                  <a:pt x="3737" y="1"/>
                </a:moveTo>
                <a:lnTo>
                  <a:pt x="3639" y="25"/>
                </a:lnTo>
                <a:lnTo>
                  <a:pt x="3542" y="50"/>
                </a:lnTo>
                <a:lnTo>
                  <a:pt x="3444" y="99"/>
                </a:lnTo>
                <a:lnTo>
                  <a:pt x="3371" y="147"/>
                </a:lnTo>
                <a:lnTo>
                  <a:pt x="3322" y="221"/>
                </a:lnTo>
                <a:lnTo>
                  <a:pt x="3249" y="294"/>
                </a:lnTo>
                <a:lnTo>
                  <a:pt x="3224" y="392"/>
                </a:lnTo>
                <a:lnTo>
                  <a:pt x="3200" y="489"/>
                </a:lnTo>
                <a:lnTo>
                  <a:pt x="3224" y="1076"/>
                </a:lnTo>
                <a:lnTo>
                  <a:pt x="1075" y="1076"/>
                </a:lnTo>
                <a:lnTo>
                  <a:pt x="855" y="1100"/>
                </a:lnTo>
                <a:lnTo>
                  <a:pt x="660" y="1149"/>
                </a:lnTo>
                <a:lnTo>
                  <a:pt x="489" y="1246"/>
                </a:lnTo>
                <a:lnTo>
                  <a:pt x="318" y="1393"/>
                </a:lnTo>
                <a:lnTo>
                  <a:pt x="196" y="1540"/>
                </a:lnTo>
                <a:lnTo>
                  <a:pt x="98" y="1735"/>
                </a:lnTo>
                <a:lnTo>
                  <a:pt x="25" y="1930"/>
                </a:lnTo>
                <a:lnTo>
                  <a:pt x="0" y="2150"/>
                </a:lnTo>
                <a:lnTo>
                  <a:pt x="25" y="2614"/>
                </a:lnTo>
                <a:lnTo>
                  <a:pt x="49" y="3078"/>
                </a:lnTo>
                <a:lnTo>
                  <a:pt x="98" y="3518"/>
                </a:lnTo>
                <a:lnTo>
                  <a:pt x="171" y="3957"/>
                </a:lnTo>
                <a:lnTo>
                  <a:pt x="269" y="4348"/>
                </a:lnTo>
                <a:lnTo>
                  <a:pt x="367" y="4739"/>
                </a:lnTo>
                <a:lnTo>
                  <a:pt x="489" y="5130"/>
                </a:lnTo>
                <a:lnTo>
                  <a:pt x="635" y="5496"/>
                </a:lnTo>
                <a:lnTo>
                  <a:pt x="782" y="5838"/>
                </a:lnTo>
                <a:lnTo>
                  <a:pt x="928" y="6156"/>
                </a:lnTo>
                <a:lnTo>
                  <a:pt x="1099" y="6473"/>
                </a:lnTo>
                <a:lnTo>
                  <a:pt x="1295" y="6766"/>
                </a:lnTo>
                <a:lnTo>
                  <a:pt x="1466" y="7059"/>
                </a:lnTo>
                <a:lnTo>
                  <a:pt x="1661" y="7328"/>
                </a:lnTo>
                <a:lnTo>
                  <a:pt x="2076" y="7816"/>
                </a:lnTo>
                <a:lnTo>
                  <a:pt x="2516" y="8256"/>
                </a:lnTo>
                <a:lnTo>
                  <a:pt x="2931" y="8622"/>
                </a:lnTo>
                <a:lnTo>
                  <a:pt x="3346" y="8940"/>
                </a:lnTo>
                <a:lnTo>
                  <a:pt x="3762" y="9184"/>
                </a:lnTo>
                <a:lnTo>
                  <a:pt x="4152" y="9379"/>
                </a:lnTo>
                <a:lnTo>
                  <a:pt x="4519" y="9526"/>
                </a:lnTo>
                <a:lnTo>
                  <a:pt x="4836" y="9624"/>
                </a:lnTo>
                <a:lnTo>
                  <a:pt x="5105" y="9672"/>
                </a:lnTo>
                <a:lnTo>
                  <a:pt x="5422" y="10136"/>
                </a:lnTo>
                <a:lnTo>
                  <a:pt x="5764" y="10576"/>
                </a:lnTo>
                <a:lnTo>
                  <a:pt x="5935" y="10747"/>
                </a:lnTo>
                <a:lnTo>
                  <a:pt x="6131" y="10918"/>
                </a:lnTo>
                <a:lnTo>
                  <a:pt x="6326" y="11089"/>
                </a:lnTo>
                <a:lnTo>
                  <a:pt x="6546" y="11236"/>
                </a:lnTo>
                <a:lnTo>
                  <a:pt x="6766" y="11358"/>
                </a:lnTo>
                <a:lnTo>
                  <a:pt x="6985" y="11480"/>
                </a:lnTo>
                <a:lnTo>
                  <a:pt x="7230" y="11577"/>
                </a:lnTo>
                <a:lnTo>
                  <a:pt x="7474" y="11651"/>
                </a:lnTo>
                <a:lnTo>
                  <a:pt x="7718" y="11724"/>
                </a:lnTo>
                <a:lnTo>
                  <a:pt x="7987" y="11773"/>
                </a:lnTo>
                <a:lnTo>
                  <a:pt x="8255" y="11797"/>
                </a:lnTo>
                <a:lnTo>
                  <a:pt x="8793" y="11797"/>
                </a:lnTo>
                <a:lnTo>
                  <a:pt x="9061" y="11773"/>
                </a:lnTo>
                <a:lnTo>
                  <a:pt x="9330" y="11724"/>
                </a:lnTo>
                <a:lnTo>
                  <a:pt x="9574" y="11651"/>
                </a:lnTo>
                <a:lnTo>
                  <a:pt x="9818" y="11577"/>
                </a:lnTo>
                <a:lnTo>
                  <a:pt x="10063" y="11480"/>
                </a:lnTo>
                <a:lnTo>
                  <a:pt x="10283" y="11358"/>
                </a:lnTo>
                <a:lnTo>
                  <a:pt x="10502" y="11236"/>
                </a:lnTo>
                <a:lnTo>
                  <a:pt x="10722" y="11089"/>
                </a:lnTo>
                <a:lnTo>
                  <a:pt x="10918" y="10918"/>
                </a:lnTo>
                <a:lnTo>
                  <a:pt x="11113" y="10747"/>
                </a:lnTo>
                <a:lnTo>
                  <a:pt x="11284" y="10576"/>
                </a:lnTo>
                <a:lnTo>
                  <a:pt x="11626" y="10136"/>
                </a:lnTo>
                <a:lnTo>
                  <a:pt x="11943" y="9672"/>
                </a:lnTo>
                <a:lnTo>
                  <a:pt x="12212" y="9624"/>
                </a:lnTo>
                <a:lnTo>
                  <a:pt x="12529" y="9550"/>
                </a:lnTo>
                <a:lnTo>
                  <a:pt x="12896" y="9404"/>
                </a:lnTo>
                <a:lnTo>
                  <a:pt x="13287" y="9208"/>
                </a:lnTo>
                <a:lnTo>
                  <a:pt x="13702" y="8964"/>
                </a:lnTo>
                <a:lnTo>
                  <a:pt x="14117" y="8647"/>
                </a:lnTo>
                <a:lnTo>
                  <a:pt x="14557" y="8280"/>
                </a:lnTo>
                <a:lnTo>
                  <a:pt x="14972" y="7865"/>
                </a:lnTo>
                <a:lnTo>
                  <a:pt x="15387" y="7377"/>
                </a:lnTo>
                <a:lnTo>
                  <a:pt x="15582" y="7108"/>
                </a:lnTo>
                <a:lnTo>
                  <a:pt x="15753" y="6815"/>
                </a:lnTo>
                <a:lnTo>
                  <a:pt x="15949" y="6522"/>
                </a:lnTo>
                <a:lnTo>
                  <a:pt x="16120" y="6204"/>
                </a:lnTo>
                <a:lnTo>
                  <a:pt x="16266" y="5887"/>
                </a:lnTo>
                <a:lnTo>
                  <a:pt x="16413" y="5521"/>
                </a:lnTo>
                <a:lnTo>
                  <a:pt x="16559" y="5179"/>
                </a:lnTo>
                <a:lnTo>
                  <a:pt x="16681" y="4788"/>
                </a:lnTo>
                <a:lnTo>
                  <a:pt x="16779" y="4397"/>
                </a:lnTo>
                <a:lnTo>
                  <a:pt x="16877" y="3982"/>
                </a:lnTo>
                <a:lnTo>
                  <a:pt x="16950" y="3542"/>
                </a:lnTo>
                <a:lnTo>
                  <a:pt x="16999" y="3103"/>
                </a:lnTo>
                <a:lnTo>
                  <a:pt x="17023" y="2614"/>
                </a:lnTo>
                <a:lnTo>
                  <a:pt x="17048" y="2150"/>
                </a:lnTo>
                <a:lnTo>
                  <a:pt x="17023" y="1930"/>
                </a:lnTo>
                <a:lnTo>
                  <a:pt x="16950" y="1735"/>
                </a:lnTo>
                <a:lnTo>
                  <a:pt x="16852" y="1540"/>
                </a:lnTo>
                <a:lnTo>
                  <a:pt x="16730" y="1393"/>
                </a:lnTo>
                <a:lnTo>
                  <a:pt x="16559" y="1246"/>
                </a:lnTo>
                <a:lnTo>
                  <a:pt x="16388" y="1149"/>
                </a:lnTo>
                <a:lnTo>
                  <a:pt x="16193" y="1100"/>
                </a:lnTo>
                <a:lnTo>
                  <a:pt x="15973" y="1076"/>
                </a:lnTo>
                <a:lnTo>
                  <a:pt x="13824" y="1076"/>
                </a:lnTo>
                <a:lnTo>
                  <a:pt x="13848" y="489"/>
                </a:lnTo>
                <a:lnTo>
                  <a:pt x="13824" y="392"/>
                </a:lnTo>
                <a:lnTo>
                  <a:pt x="13799" y="294"/>
                </a:lnTo>
                <a:lnTo>
                  <a:pt x="13726" y="221"/>
                </a:lnTo>
                <a:lnTo>
                  <a:pt x="13677" y="147"/>
                </a:lnTo>
                <a:lnTo>
                  <a:pt x="13604" y="99"/>
                </a:lnTo>
                <a:lnTo>
                  <a:pt x="13506" y="50"/>
                </a:lnTo>
                <a:lnTo>
                  <a:pt x="13409" y="25"/>
                </a:lnTo>
                <a:lnTo>
                  <a:pt x="13311"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xdr:from>
      <xdr:col>3</xdr:col>
      <xdr:colOff>139558</xdr:colOff>
      <xdr:row>3</xdr:row>
      <xdr:rowOff>25393</xdr:rowOff>
    </xdr:from>
    <xdr:to>
      <xdr:col>3</xdr:col>
      <xdr:colOff>254883</xdr:colOff>
      <xdr:row>3</xdr:row>
      <xdr:rowOff>188742</xdr:rowOff>
    </xdr:to>
    <xdr:grpSp>
      <xdr:nvGrpSpPr>
        <xdr:cNvPr id="30" name="Shape 525">
          <a:extLst>
            <a:ext uri="{FF2B5EF4-FFF2-40B4-BE49-F238E27FC236}">
              <a16:creationId xmlns:a16="http://schemas.microsoft.com/office/drawing/2014/main" id="{00000000-0008-0000-0100-00001E000000}"/>
            </a:ext>
          </a:extLst>
        </xdr:cNvPr>
        <xdr:cNvGrpSpPr/>
      </xdr:nvGrpSpPr>
      <xdr:grpSpPr>
        <a:xfrm>
          <a:off x="2907411" y="944275"/>
          <a:ext cx="115325" cy="163349"/>
          <a:chOff x="3984000" y="1594200"/>
          <a:chExt cx="357800" cy="506800"/>
        </a:xfrm>
        <a:solidFill>
          <a:schemeClr val="accent5">
            <a:lumMod val="75000"/>
          </a:schemeClr>
        </a:solidFill>
      </xdr:grpSpPr>
      <xdr:sp macro="" textlink="">
        <xdr:nvSpPr>
          <xdr:cNvPr id="31" name="Shape 526">
            <a:extLst>
              <a:ext uri="{FF2B5EF4-FFF2-40B4-BE49-F238E27FC236}">
                <a16:creationId xmlns:a16="http://schemas.microsoft.com/office/drawing/2014/main" id="{00000000-0008-0000-0100-00001F000000}"/>
              </a:ext>
            </a:extLst>
          </xdr:cNvPr>
          <xdr:cNvSpPr/>
        </xdr:nvSpPr>
        <xdr:spPr>
          <a:xfrm>
            <a:off x="3984000" y="1597875"/>
            <a:ext cx="44575" cy="503125"/>
          </a:xfrm>
          <a:custGeom>
            <a:avLst/>
            <a:gdLst/>
            <a:ahLst/>
            <a:cxnLst/>
            <a:rect l="0" t="0" r="0" b="0"/>
            <a:pathLst>
              <a:path w="1783" h="20125" extrusionOk="0">
                <a:moveTo>
                  <a:pt x="391" y="0"/>
                </a:moveTo>
                <a:lnTo>
                  <a:pt x="293" y="25"/>
                </a:lnTo>
                <a:lnTo>
                  <a:pt x="220" y="73"/>
                </a:lnTo>
                <a:lnTo>
                  <a:pt x="147" y="147"/>
                </a:lnTo>
                <a:lnTo>
                  <a:pt x="98" y="220"/>
                </a:lnTo>
                <a:lnTo>
                  <a:pt x="49" y="293"/>
                </a:lnTo>
                <a:lnTo>
                  <a:pt x="24" y="391"/>
                </a:lnTo>
                <a:lnTo>
                  <a:pt x="0" y="489"/>
                </a:lnTo>
                <a:lnTo>
                  <a:pt x="0" y="20125"/>
                </a:lnTo>
                <a:lnTo>
                  <a:pt x="1783" y="20125"/>
                </a:lnTo>
                <a:lnTo>
                  <a:pt x="1783" y="489"/>
                </a:lnTo>
                <a:lnTo>
                  <a:pt x="1783" y="391"/>
                </a:lnTo>
                <a:lnTo>
                  <a:pt x="1734" y="293"/>
                </a:lnTo>
                <a:lnTo>
                  <a:pt x="1710" y="220"/>
                </a:lnTo>
                <a:lnTo>
                  <a:pt x="1636" y="147"/>
                </a:lnTo>
                <a:lnTo>
                  <a:pt x="1563" y="73"/>
                </a:lnTo>
                <a:lnTo>
                  <a:pt x="1490" y="25"/>
                </a:lnTo>
                <a:lnTo>
                  <a:pt x="1392"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2" name="Shape 527">
            <a:extLst>
              <a:ext uri="{FF2B5EF4-FFF2-40B4-BE49-F238E27FC236}">
                <a16:creationId xmlns:a16="http://schemas.microsoft.com/office/drawing/2014/main" id="{00000000-0008-0000-0100-000020000000}"/>
              </a:ext>
            </a:extLst>
          </xdr:cNvPr>
          <xdr:cNvSpPr/>
        </xdr:nvSpPr>
        <xdr:spPr>
          <a:xfrm>
            <a:off x="4041375" y="1594200"/>
            <a:ext cx="300425" cy="229600"/>
          </a:xfrm>
          <a:custGeom>
            <a:avLst/>
            <a:gdLst/>
            <a:ahLst/>
            <a:cxnLst/>
            <a:rect l="0" t="0" r="0" b="0"/>
            <a:pathLst>
              <a:path w="12017" h="9184" extrusionOk="0">
                <a:moveTo>
                  <a:pt x="2541" y="1"/>
                </a:moveTo>
                <a:lnTo>
                  <a:pt x="2174" y="25"/>
                </a:lnTo>
                <a:lnTo>
                  <a:pt x="1808" y="74"/>
                </a:lnTo>
                <a:lnTo>
                  <a:pt x="1442" y="123"/>
                </a:lnTo>
                <a:lnTo>
                  <a:pt x="1100" y="245"/>
                </a:lnTo>
                <a:lnTo>
                  <a:pt x="734" y="367"/>
                </a:lnTo>
                <a:lnTo>
                  <a:pt x="367" y="538"/>
                </a:lnTo>
                <a:lnTo>
                  <a:pt x="1" y="758"/>
                </a:lnTo>
                <a:lnTo>
                  <a:pt x="1" y="8427"/>
                </a:lnTo>
                <a:lnTo>
                  <a:pt x="367" y="8207"/>
                </a:lnTo>
                <a:lnTo>
                  <a:pt x="734" y="8036"/>
                </a:lnTo>
                <a:lnTo>
                  <a:pt x="1100" y="7889"/>
                </a:lnTo>
                <a:lnTo>
                  <a:pt x="1442" y="7792"/>
                </a:lnTo>
                <a:lnTo>
                  <a:pt x="1808" y="7718"/>
                </a:lnTo>
                <a:lnTo>
                  <a:pt x="2174" y="7694"/>
                </a:lnTo>
                <a:lnTo>
                  <a:pt x="2541" y="7670"/>
                </a:lnTo>
                <a:lnTo>
                  <a:pt x="2883" y="7694"/>
                </a:lnTo>
                <a:lnTo>
                  <a:pt x="3249" y="7718"/>
                </a:lnTo>
                <a:lnTo>
                  <a:pt x="3615" y="7767"/>
                </a:lnTo>
                <a:lnTo>
                  <a:pt x="3982" y="7840"/>
                </a:lnTo>
                <a:lnTo>
                  <a:pt x="4324" y="7914"/>
                </a:lnTo>
                <a:lnTo>
                  <a:pt x="5056" y="8134"/>
                </a:lnTo>
                <a:lnTo>
                  <a:pt x="5765" y="8353"/>
                </a:lnTo>
                <a:lnTo>
                  <a:pt x="6497" y="8573"/>
                </a:lnTo>
                <a:lnTo>
                  <a:pt x="7206" y="8793"/>
                </a:lnTo>
                <a:lnTo>
                  <a:pt x="7938" y="8988"/>
                </a:lnTo>
                <a:lnTo>
                  <a:pt x="8305" y="9062"/>
                </a:lnTo>
                <a:lnTo>
                  <a:pt x="8647" y="9110"/>
                </a:lnTo>
                <a:lnTo>
                  <a:pt x="9013" y="9159"/>
                </a:lnTo>
                <a:lnTo>
                  <a:pt x="9379" y="9184"/>
                </a:lnTo>
                <a:lnTo>
                  <a:pt x="9746" y="9159"/>
                </a:lnTo>
                <a:lnTo>
                  <a:pt x="10088" y="9135"/>
                </a:lnTo>
                <a:lnTo>
                  <a:pt x="10454" y="9086"/>
                </a:lnTo>
                <a:lnTo>
                  <a:pt x="10820" y="8988"/>
                </a:lnTo>
                <a:lnTo>
                  <a:pt x="11187" y="8866"/>
                </a:lnTo>
                <a:lnTo>
                  <a:pt x="11529" y="8695"/>
                </a:lnTo>
                <a:lnTo>
                  <a:pt x="11699" y="8598"/>
                </a:lnTo>
                <a:lnTo>
                  <a:pt x="11822" y="8500"/>
                </a:lnTo>
                <a:lnTo>
                  <a:pt x="11895" y="8378"/>
                </a:lnTo>
                <a:lnTo>
                  <a:pt x="11968" y="8256"/>
                </a:lnTo>
                <a:lnTo>
                  <a:pt x="12017" y="8134"/>
                </a:lnTo>
                <a:lnTo>
                  <a:pt x="12017" y="8011"/>
                </a:lnTo>
                <a:lnTo>
                  <a:pt x="11968" y="7914"/>
                </a:lnTo>
                <a:lnTo>
                  <a:pt x="11919" y="7816"/>
                </a:lnTo>
                <a:lnTo>
                  <a:pt x="11529" y="7425"/>
                </a:lnTo>
                <a:lnTo>
                  <a:pt x="11138" y="6961"/>
                </a:lnTo>
                <a:lnTo>
                  <a:pt x="10771" y="6473"/>
                </a:lnTo>
                <a:lnTo>
                  <a:pt x="10381" y="5960"/>
                </a:lnTo>
                <a:lnTo>
                  <a:pt x="10307" y="5813"/>
                </a:lnTo>
                <a:lnTo>
                  <a:pt x="10259" y="5667"/>
                </a:lnTo>
                <a:lnTo>
                  <a:pt x="10234" y="5496"/>
                </a:lnTo>
                <a:lnTo>
                  <a:pt x="10210" y="5300"/>
                </a:lnTo>
                <a:lnTo>
                  <a:pt x="10234" y="5130"/>
                </a:lnTo>
                <a:lnTo>
                  <a:pt x="10259" y="4959"/>
                </a:lnTo>
                <a:lnTo>
                  <a:pt x="10307" y="4788"/>
                </a:lnTo>
                <a:lnTo>
                  <a:pt x="10381" y="4617"/>
                </a:lnTo>
                <a:lnTo>
                  <a:pt x="10771" y="3884"/>
                </a:lnTo>
                <a:lnTo>
                  <a:pt x="11138" y="3127"/>
                </a:lnTo>
                <a:lnTo>
                  <a:pt x="11529" y="2345"/>
                </a:lnTo>
                <a:lnTo>
                  <a:pt x="11919" y="1490"/>
                </a:lnTo>
                <a:lnTo>
                  <a:pt x="11993" y="1320"/>
                </a:lnTo>
                <a:lnTo>
                  <a:pt x="12017" y="1173"/>
                </a:lnTo>
                <a:lnTo>
                  <a:pt x="12017" y="1051"/>
                </a:lnTo>
                <a:lnTo>
                  <a:pt x="11968" y="978"/>
                </a:lnTo>
                <a:lnTo>
                  <a:pt x="11895" y="953"/>
                </a:lnTo>
                <a:lnTo>
                  <a:pt x="11822" y="929"/>
                </a:lnTo>
                <a:lnTo>
                  <a:pt x="11699" y="978"/>
                </a:lnTo>
                <a:lnTo>
                  <a:pt x="11529" y="1026"/>
                </a:lnTo>
                <a:lnTo>
                  <a:pt x="11187" y="1197"/>
                </a:lnTo>
                <a:lnTo>
                  <a:pt x="10820" y="1320"/>
                </a:lnTo>
                <a:lnTo>
                  <a:pt x="10454" y="1417"/>
                </a:lnTo>
                <a:lnTo>
                  <a:pt x="10088" y="1466"/>
                </a:lnTo>
                <a:lnTo>
                  <a:pt x="9746" y="1515"/>
                </a:lnTo>
                <a:lnTo>
                  <a:pt x="9379" y="1515"/>
                </a:lnTo>
                <a:lnTo>
                  <a:pt x="9013" y="1490"/>
                </a:lnTo>
                <a:lnTo>
                  <a:pt x="8647" y="1466"/>
                </a:lnTo>
                <a:lnTo>
                  <a:pt x="8305" y="1393"/>
                </a:lnTo>
                <a:lnTo>
                  <a:pt x="7938" y="1320"/>
                </a:lnTo>
                <a:lnTo>
                  <a:pt x="7206" y="1149"/>
                </a:lnTo>
                <a:lnTo>
                  <a:pt x="6497" y="929"/>
                </a:lnTo>
                <a:lnTo>
                  <a:pt x="5765" y="685"/>
                </a:lnTo>
                <a:lnTo>
                  <a:pt x="5056" y="465"/>
                </a:lnTo>
                <a:lnTo>
                  <a:pt x="4324" y="269"/>
                </a:lnTo>
                <a:lnTo>
                  <a:pt x="3982" y="172"/>
                </a:lnTo>
                <a:lnTo>
                  <a:pt x="3615" y="98"/>
                </a:lnTo>
                <a:lnTo>
                  <a:pt x="3249" y="50"/>
                </a:lnTo>
                <a:lnTo>
                  <a:pt x="2883" y="25"/>
                </a:lnTo>
                <a:lnTo>
                  <a:pt x="2541"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editAs="absolute">
    <xdr:from>
      <xdr:col>0</xdr:col>
      <xdr:colOff>47624</xdr:colOff>
      <xdr:row>0</xdr:row>
      <xdr:rowOff>76200</xdr:rowOff>
    </xdr:from>
    <xdr:to>
      <xdr:col>1</xdr:col>
      <xdr:colOff>114299</xdr:colOff>
      <xdr:row>0</xdr:row>
      <xdr:rowOff>419100</xdr:rowOff>
    </xdr:to>
    <xdr:pic>
      <xdr:nvPicPr>
        <xdr:cNvPr id="33" name="Picture 32">
          <a:extLst>
            <a:ext uri="{FF2B5EF4-FFF2-40B4-BE49-F238E27FC236}">
              <a16:creationId xmlns:a16="http://schemas.microsoft.com/office/drawing/2014/main" id="{01A47CD7-5C28-46F8-8A2A-AF4732E2D735}"/>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5469" b="89844" l="9961" r="89844">
                      <a14:foregroundMark x1="46094" y1="13672" x2="46094" y2="13672"/>
                      <a14:foregroundMark x1="57227" y1="5469" x2="57227" y2="5469"/>
                      <a14:foregroundMark x1="82813" y1="19141" x2="82813" y2="19141"/>
                      <a14:foregroundMark x1="62891" y1="71875" x2="62891" y2="71875"/>
                      <a14:foregroundMark x1="50000" y1="75000" x2="50000" y2="75000"/>
                      <a14:foregroundMark x1="31055" y1="75195" x2="31055" y2="75195"/>
                    </a14:backgroundRemoval>
                  </a14:imgEffect>
                </a14:imgLayer>
              </a14:imgProps>
            </a:ext>
            <a:ext uri="{28A0092B-C50C-407E-A947-70E740481C1C}">
              <a14:useLocalDpi xmlns:a14="http://schemas.microsoft.com/office/drawing/2010/main" val="0"/>
            </a:ext>
          </a:extLst>
        </a:blip>
        <a:stretch>
          <a:fillRect/>
        </a:stretch>
      </xdr:blipFill>
      <xdr:spPr>
        <a:xfrm>
          <a:off x="47624" y="76200"/>
          <a:ext cx="340995" cy="342900"/>
        </a:xfrm>
        <a:prstGeom prst="rect">
          <a:avLst/>
        </a:prstGeom>
      </xdr:spPr>
    </xdr:pic>
    <xdr:clientData/>
  </xdr:twoCellAnchor>
  <xdr:twoCellAnchor>
    <xdr:from>
      <xdr:col>1</xdr:col>
      <xdr:colOff>76200</xdr:colOff>
      <xdr:row>30</xdr:row>
      <xdr:rowOff>66675</xdr:rowOff>
    </xdr:from>
    <xdr:to>
      <xdr:col>2</xdr:col>
      <xdr:colOff>295274</xdr:colOff>
      <xdr:row>35</xdr:row>
      <xdr:rowOff>192221</xdr:rowOff>
    </xdr:to>
    <xdr:grpSp>
      <xdr:nvGrpSpPr>
        <xdr:cNvPr id="6" name="Group 5">
          <a:hlinkClick xmlns:r="http://schemas.openxmlformats.org/officeDocument/2006/relationships" r:id="rId10" tooltip="Kiểm tra và tải KD Study phiên bản mới nhất!"/>
          <a:extLst>
            <a:ext uri="{FF2B5EF4-FFF2-40B4-BE49-F238E27FC236}">
              <a16:creationId xmlns:a16="http://schemas.microsoft.com/office/drawing/2014/main" id="{CE71E251-1007-43E1-945A-513B99C427A5}"/>
            </a:ext>
          </a:extLst>
        </xdr:cNvPr>
        <xdr:cNvGrpSpPr/>
      </xdr:nvGrpSpPr>
      <xdr:grpSpPr>
        <a:xfrm>
          <a:off x="345141" y="7036734"/>
          <a:ext cx="2236133" cy="1246134"/>
          <a:chOff x="381000" y="7162800"/>
          <a:chExt cx="2285999" cy="1268546"/>
        </a:xfrm>
      </xdr:grpSpPr>
      <xdr:sp macro="" textlink="">
        <xdr:nvSpPr>
          <xdr:cNvPr id="34" name="Rectangle: Rounded Corners 33">
            <a:extLst>
              <a:ext uri="{FF2B5EF4-FFF2-40B4-BE49-F238E27FC236}">
                <a16:creationId xmlns:a16="http://schemas.microsoft.com/office/drawing/2014/main" id="{0CA8E663-A3EB-4714-8A9E-FCE0BD445347}"/>
              </a:ext>
            </a:extLst>
          </xdr:cNvPr>
          <xdr:cNvSpPr/>
        </xdr:nvSpPr>
        <xdr:spPr>
          <a:xfrm>
            <a:off x="485775" y="7526270"/>
            <a:ext cx="2181224" cy="722379"/>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a:latin typeface="Segoe UI Black" panose="020B0A02040204020203" pitchFamily="34" charset="0"/>
                <a:ea typeface="Segoe UI Black" panose="020B0A02040204020203" pitchFamily="34" charset="0"/>
                <a:cs typeface="Segoe UI Black" panose="020B0A02040204020203" pitchFamily="34" charset="0"/>
              </a:rPr>
              <a:t>UPDATE</a:t>
            </a:r>
            <a:br>
              <a:rPr lang="en-US" sz="1600" baseline="0">
                <a:latin typeface="Segoe UI Black" panose="020B0A02040204020203" pitchFamily="34" charset="0"/>
                <a:ea typeface="Segoe UI Black" panose="020B0A02040204020203" pitchFamily="34" charset="0"/>
                <a:cs typeface="Segoe UI Black" panose="020B0A02040204020203" pitchFamily="34" charset="0"/>
              </a:rPr>
            </a:br>
            <a:r>
              <a:rPr lang="en-US" sz="1600" baseline="0">
                <a:latin typeface="Segoe UI Black" panose="020B0A02040204020203" pitchFamily="34" charset="0"/>
                <a:ea typeface="Segoe UI Black" panose="020B0A02040204020203" pitchFamily="34" charset="0"/>
                <a:cs typeface="Segoe UI Black" panose="020B0A02040204020203" pitchFamily="34" charset="0"/>
              </a:rPr>
              <a:t>KD STUDY</a:t>
            </a:r>
            <a:endParaRPr lang="vi-VN" sz="1200">
              <a:latin typeface="Segoe UI Black" panose="020B0A02040204020203" pitchFamily="34" charset="0"/>
              <a:ea typeface="Segoe UI Black" panose="020B0A02040204020203" pitchFamily="34" charset="0"/>
              <a:cs typeface="Segoe UI Black" panose="020B0A02040204020203" pitchFamily="34" charset="0"/>
            </a:endParaRPr>
          </a:p>
        </xdr:txBody>
      </xdr:sp>
      <xdr:pic>
        <xdr:nvPicPr>
          <xdr:cNvPr id="35" name="Picture 34">
            <a:extLst>
              <a:ext uri="{FF2B5EF4-FFF2-40B4-BE49-F238E27FC236}">
                <a16:creationId xmlns:a16="http://schemas.microsoft.com/office/drawing/2014/main" id="{08B5971B-D0AA-4D45-B1C2-D142F5D2E14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81000" y="7162800"/>
            <a:ext cx="1268546" cy="1268546"/>
          </a:xfrm>
          <a:prstGeom prst="rect">
            <a:avLst/>
          </a:prstGeom>
        </xdr:spPr>
      </xdr:pic>
    </xdr:grpSp>
    <xdr:clientData/>
  </xdr:twoCellAnchor>
  <xdr:twoCellAnchor>
    <xdr:from>
      <xdr:col>1</xdr:col>
      <xdr:colOff>1438275</xdr:colOff>
      <xdr:row>0</xdr:row>
      <xdr:rowOff>0</xdr:rowOff>
    </xdr:from>
    <xdr:to>
      <xdr:col>4</xdr:col>
      <xdr:colOff>152400</xdr:colOff>
      <xdr:row>0</xdr:row>
      <xdr:rowOff>400049</xdr:rowOff>
    </xdr:to>
    <xdr:grpSp>
      <xdr:nvGrpSpPr>
        <xdr:cNvPr id="38" name="Group 37">
          <a:extLst>
            <a:ext uri="{FF2B5EF4-FFF2-40B4-BE49-F238E27FC236}">
              <a16:creationId xmlns:a16="http://schemas.microsoft.com/office/drawing/2014/main" id="{759D3898-6B1E-4BCC-83CF-B8386A302EC5}"/>
            </a:ext>
          </a:extLst>
        </xdr:cNvPr>
        <xdr:cNvGrpSpPr/>
      </xdr:nvGrpSpPr>
      <xdr:grpSpPr>
        <a:xfrm>
          <a:off x="1707216" y="0"/>
          <a:ext cx="1638860" cy="400049"/>
          <a:chOff x="304800" y="1619248"/>
          <a:chExt cx="2571944" cy="418519"/>
        </a:xfrm>
      </xdr:grpSpPr>
      <xdr:sp macro="[0]!open_formKD" textlink="">
        <xdr:nvSpPr>
          <xdr:cNvPr id="28" name="Rectangle: Top Corners Rounded 27">
            <a:extLst>
              <a:ext uri="{FF2B5EF4-FFF2-40B4-BE49-F238E27FC236}">
                <a16:creationId xmlns:a16="http://schemas.microsoft.com/office/drawing/2014/main" id="{7E4DDB4A-C12C-4DF9-8082-B9BA0221B2DD}"/>
              </a:ext>
            </a:extLst>
          </xdr:cNvPr>
          <xdr:cNvSpPr/>
        </xdr:nvSpPr>
        <xdr:spPr>
          <a:xfrm>
            <a:off x="1743075" y="0"/>
            <a:ext cx="1762125" cy="400049"/>
          </a:xfrm>
          <a:prstGeom prst="round2SameRect">
            <a:avLst>
              <a:gd name="adj1" fmla="val 0"/>
              <a:gd name="adj2" fmla="val 29545"/>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0">
                <a:latin typeface="Segoe UI" panose="020B0502040204020203" pitchFamily="34" charset="0"/>
                <a:cs typeface="Segoe UI" panose="020B0502040204020203" pitchFamily="34" charset="0"/>
              </a:rPr>
              <a:t>NHẬP</a:t>
            </a:r>
            <a:r>
              <a:rPr lang="en-US" sz="1400" b="1" i="0" baseline="0">
                <a:latin typeface="Segoe UI" panose="020B0502040204020203" pitchFamily="34" charset="0"/>
                <a:cs typeface="Segoe UI" panose="020B0502040204020203" pitchFamily="34" charset="0"/>
              </a:rPr>
              <a:t> DỮ LIỆU </a:t>
            </a:r>
            <a:endParaRPr lang="vi-VN" sz="1400" b="1" i="0">
              <a:latin typeface="Segoe UI" panose="020B0502040204020203" pitchFamily="34" charset="0"/>
              <a:cs typeface="Segoe UI" panose="020B0502040204020203" pitchFamily="34" charset="0"/>
            </a:endParaRPr>
          </a:p>
        </xdr:txBody>
      </xdr:sp>
      <xdr:pic macro="[0]!open_formKD">
        <xdr:nvPicPr>
          <xdr:cNvPr id="36" name="Picture 35">
            <a:extLst>
              <a:ext uri="{FF2B5EF4-FFF2-40B4-BE49-F238E27FC236}">
                <a16:creationId xmlns:a16="http://schemas.microsoft.com/office/drawing/2014/main" id="{E94D80EF-8C4E-4640-83C7-429D13B4441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58836" y="38098"/>
            <a:ext cx="289214" cy="289214"/>
          </a:xfrm>
          <a:prstGeom prst="rect">
            <a:avLst/>
          </a:prstGeom>
        </xdr:spPr>
      </xdr:pic>
    </xdr:grpSp>
    <xdr:clientData/>
  </xdr:twoCellAnchor>
  <xdr:twoCellAnchor editAs="oneCell">
    <xdr:from>
      <xdr:col>1</xdr:col>
      <xdr:colOff>1504949</xdr:colOff>
      <xdr:row>0</xdr:row>
      <xdr:rowOff>0</xdr:rowOff>
    </xdr:from>
    <xdr:to>
      <xdr:col>4</xdr:col>
      <xdr:colOff>314324</xdr:colOff>
      <xdr:row>0</xdr:row>
      <xdr:rowOff>409574</xdr:rowOff>
    </xdr:to>
    <xdr:grpSp>
      <xdr:nvGrpSpPr>
        <xdr:cNvPr id="8" name="Group 7">
          <a:extLst>
            <a:ext uri="{FF2B5EF4-FFF2-40B4-BE49-F238E27FC236}">
              <a16:creationId xmlns:a16="http://schemas.microsoft.com/office/drawing/2014/main" id="{4D866B16-1E27-4EFE-9FFE-E553BE8E5A8B}"/>
            </a:ext>
          </a:extLst>
        </xdr:cNvPr>
        <xdr:cNvGrpSpPr/>
      </xdr:nvGrpSpPr>
      <xdr:grpSpPr>
        <a:xfrm>
          <a:off x="1773890" y="0"/>
          <a:ext cx="1734110" cy="409574"/>
          <a:chOff x="1771649" y="0"/>
          <a:chExt cx="1733550" cy="409574"/>
        </a:xfrm>
      </xdr:grpSpPr>
      <xdr:sp macro="[0]!open_formKD" textlink="">
        <xdr:nvSpPr>
          <xdr:cNvPr id="2" name="Rectangle: Top Corners Rounded 1">
            <a:extLst>
              <a:ext uri="{FF2B5EF4-FFF2-40B4-BE49-F238E27FC236}">
                <a16:creationId xmlns:a16="http://schemas.microsoft.com/office/drawing/2014/main" id="{B3B2BD7D-AABC-4572-8CC7-94A93520A872}"/>
              </a:ext>
            </a:extLst>
          </xdr:cNvPr>
          <xdr:cNvSpPr/>
        </xdr:nvSpPr>
        <xdr:spPr>
          <a:xfrm>
            <a:off x="1771649" y="0"/>
            <a:ext cx="1733550" cy="409574"/>
          </a:xfrm>
          <a:prstGeom prst="round2SameRect">
            <a:avLst>
              <a:gd name="adj1" fmla="val 0"/>
              <a:gd name="adj2" fmla="val 27083"/>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latin typeface="Segoe UI" panose="020B0502040204020203" pitchFamily="34" charset="0"/>
                <a:cs typeface="Segoe UI" panose="020B0502040204020203" pitchFamily="34" charset="0"/>
              </a:rPr>
              <a:t>NHẬP</a:t>
            </a:r>
            <a:r>
              <a:rPr lang="en-US" sz="1200" b="1" baseline="0">
                <a:latin typeface="Segoe UI" panose="020B0502040204020203" pitchFamily="34" charset="0"/>
                <a:cs typeface="Segoe UI" panose="020B0502040204020203" pitchFamily="34" charset="0"/>
              </a:rPr>
              <a:t> DỮ LIỆU</a:t>
            </a:r>
            <a:endParaRPr lang="en-US" sz="1200" b="1">
              <a:latin typeface="Segoe UI" panose="020B0502040204020203" pitchFamily="34" charset="0"/>
              <a:cs typeface="Segoe UI" panose="020B0502040204020203" pitchFamily="34" charset="0"/>
            </a:endParaRPr>
          </a:p>
        </xdr:txBody>
      </xdr:sp>
      <xdr:pic macro="[0]!open_formKD">
        <xdr:nvPicPr>
          <xdr:cNvPr id="5" name="Picture 4">
            <a:extLst>
              <a:ext uri="{FF2B5EF4-FFF2-40B4-BE49-F238E27FC236}">
                <a16:creationId xmlns:a16="http://schemas.microsoft.com/office/drawing/2014/main" id="{D99F922C-DC78-4B55-AE97-363C64C5962C}"/>
              </a:ext>
            </a:extLst>
          </xdr:cNvPr>
          <xdr:cNvPicPr>
            <a:picLocks noChangeAspect="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saturation sat="400000"/>
                    </a14:imgEffect>
                  </a14:imgLayer>
                </a14:imgProps>
              </a:ext>
              <a:ext uri="{28A0092B-C50C-407E-A947-70E740481C1C}">
                <a14:useLocalDpi xmlns:a14="http://schemas.microsoft.com/office/drawing/2010/main" val="0"/>
              </a:ext>
            </a:extLst>
          </a:blip>
          <a:stretch>
            <a:fillRect/>
          </a:stretch>
        </xdr:blipFill>
        <xdr:spPr>
          <a:xfrm>
            <a:off x="3116712" y="54092"/>
            <a:ext cx="310642" cy="291867"/>
          </a:xfrm>
          <a:prstGeom prst="rect">
            <a:avLst/>
          </a:prstGeom>
        </xdr:spPr>
      </xdr:pic>
    </xdr:grpSp>
    <xdr:clientData/>
  </xdr:twoCellAnchor>
  <xdr:twoCellAnchor editAs="oneCell">
    <xdr:from>
      <xdr:col>23</xdr:col>
      <xdr:colOff>73771</xdr:colOff>
      <xdr:row>0</xdr:row>
      <xdr:rowOff>64245</xdr:rowOff>
    </xdr:from>
    <xdr:to>
      <xdr:col>23</xdr:col>
      <xdr:colOff>431054</xdr:colOff>
      <xdr:row>0</xdr:row>
      <xdr:rowOff>421528</xdr:rowOff>
    </xdr:to>
    <xdr:pic>
      <xdr:nvPicPr>
        <xdr:cNvPr id="27" name="Picture 26">
          <a:hlinkClick xmlns:r="http://schemas.openxmlformats.org/officeDocument/2006/relationships" r:id="rId15" tooltip="Back to TOP"/>
          <a:extLst>
            <a:ext uri="{FF2B5EF4-FFF2-40B4-BE49-F238E27FC236}">
              <a16:creationId xmlns:a16="http://schemas.microsoft.com/office/drawing/2014/main" id="{8025D393-38F4-4CDA-A2E6-9ED59661CD3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flipH="1">
          <a:off x="10217896" y="64245"/>
          <a:ext cx="357283" cy="3572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32808</xdr:colOff>
      <xdr:row>0</xdr:row>
      <xdr:rowOff>2076450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1906250" cy="2076450"/>
        </a:xfrm>
        <a:prstGeom prst="rect">
          <a:avLst/>
        </a:prstGeom>
      </xdr:spPr>
    </xdr:pic>
    <xdr:clientData/>
  </xdr:twoCellAnchor>
  <xdr:twoCellAnchor editAs="absolute">
    <xdr:from>
      <xdr:col>1</xdr:col>
      <xdr:colOff>105835</xdr:colOff>
      <xdr:row>0</xdr:row>
      <xdr:rowOff>695325</xdr:rowOff>
    </xdr:from>
    <xdr:to>
      <xdr:col>3</xdr:col>
      <xdr:colOff>601146</xdr:colOff>
      <xdr:row>0</xdr:row>
      <xdr:rowOff>1179739</xdr:rowOff>
    </xdr:to>
    <xdr:grpSp>
      <xdr:nvGrpSpPr>
        <xdr:cNvPr id="4" name="Home" descr="&quot;&quot;" title="Home button">
          <a:hlinkClick xmlns:r="http://schemas.openxmlformats.org/officeDocument/2006/relationships" r:id="rId2" tooltip="Click vào đây để quay lại KẾT QUẢ HỌC TẬP"/>
          <a:extLst>
            <a:ext uri="{FF2B5EF4-FFF2-40B4-BE49-F238E27FC236}">
              <a16:creationId xmlns:a16="http://schemas.microsoft.com/office/drawing/2014/main" id="{00000000-0008-0000-0300-000004000000}"/>
            </a:ext>
          </a:extLst>
        </xdr:cNvPr>
        <xdr:cNvGrpSpPr/>
      </xdr:nvGrpSpPr>
      <xdr:grpSpPr>
        <a:xfrm>
          <a:off x="391585" y="695325"/>
          <a:ext cx="2057411" cy="484414"/>
          <a:chOff x="9086845" y="466726"/>
          <a:chExt cx="952505" cy="484414"/>
        </a:xfrm>
      </xdr:grpSpPr>
      <xdr:pic>
        <xdr:nvPicPr>
          <xdr:cNvPr id="5" name="Picture 4" descr="Click to return to the Home sheet" title="Home button">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086845" y="547608"/>
            <a:ext cx="948090" cy="3070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800" b="1" i="1">
                <a:solidFill>
                  <a:schemeClr val="accent6">
                    <a:lumMod val="20000"/>
                    <a:lumOff val="80000"/>
                  </a:schemeClr>
                </a:solidFill>
                <a:latin typeface="Segoe UI" panose="020B0502040204020203" pitchFamily="34" charset="0"/>
                <a:cs typeface="Segoe UI" panose="020B0502040204020203" pitchFamily="34" charset="0"/>
              </a:rPr>
              <a:t>Kết</a:t>
            </a:r>
            <a:r>
              <a:rPr lang="en-US" sz="1800" b="1" i="1" baseline="0">
                <a:solidFill>
                  <a:schemeClr val="accent6">
                    <a:lumMod val="20000"/>
                    <a:lumOff val="80000"/>
                  </a:schemeClr>
                </a:solidFill>
                <a:latin typeface="Segoe UI" panose="020B0502040204020203" pitchFamily="34" charset="0"/>
                <a:cs typeface="Segoe UI" panose="020B0502040204020203" pitchFamily="34" charset="0"/>
              </a:rPr>
              <a:t> quả học tập</a:t>
            </a:r>
            <a:endParaRPr lang="en-US" sz="1800" b="1" i="1">
              <a:solidFill>
                <a:schemeClr val="accent6">
                  <a:lumMod val="20000"/>
                  <a:lumOff val="80000"/>
                </a:schemeClr>
              </a:solidFill>
              <a:latin typeface="Segoe UI" panose="020B0502040204020203" pitchFamily="34" charset="0"/>
              <a:cs typeface="Segoe UI" panose="020B0502040204020203" pitchFamily="34" charset="0"/>
            </a:endParaRPr>
          </a:p>
        </xdr:txBody>
      </xdr:sp>
    </xdr:grpSp>
    <xdr:clientData/>
  </xdr:twoCellAnchor>
  <xdr:twoCellAnchor editAs="absolute">
    <xdr:from>
      <xdr:col>8</xdr:col>
      <xdr:colOff>162983</xdr:colOff>
      <xdr:row>0</xdr:row>
      <xdr:rowOff>333375</xdr:rowOff>
    </xdr:from>
    <xdr:to>
      <xdr:col>10</xdr:col>
      <xdr:colOff>620185</xdr:colOff>
      <xdr:row>0</xdr:row>
      <xdr:rowOff>1713343</xdr:rowOff>
    </xdr:to>
    <xdr:grpSp>
      <xdr:nvGrpSpPr>
        <xdr:cNvPr id="7" name="Personal Information" descr="&quot;&quot;" title="Personal Information">
          <a:extLst>
            <a:ext uri="{FF2B5EF4-FFF2-40B4-BE49-F238E27FC236}">
              <a16:creationId xmlns:a16="http://schemas.microsoft.com/office/drawing/2014/main" id="{00000000-0008-0000-0300-000007000000}"/>
            </a:ext>
          </a:extLst>
        </xdr:cNvPr>
        <xdr:cNvGrpSpPr/>
      </xdr:nvGrpSpPr>
      <xdr:grpSpPr>
        <a:xfrm>
          <a:off x="4820708" y="333375"/>
          <a:ext cx="2533652" cy="1379968"/>
          <a:chOff x="4086225" y="381000"/>
          <a:chExt cx="2398892" cy="1374723"/>
        </a:xfrm>
      </xdr:grpSpPr>
      <xdr:pic>
        <xdr:nvPicPr>
          <xdr:cNvPr id="8" name="Title Artwork" descr="&quot;&quot;" title="Personal Information">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9" name="Title">
            <a:extLst>
              <a:ext uri="{FF2B5EF4-FFF2-40B4-BE49-F238E27FC236}">
                <a16:creationId xmlns:a16="http://schemas.microsoft.com/office/drawing/2014/main" id="{00000000-0008-0000-0300-000009000000}"/>
              </a:ext>
            </a:extLst>
          </xdr:cNvPr>
          <xdr:cNvSpPr txBox="1"/>
        </xdr:nvSpPr>
        <xdr:spPr>
          <a:xfrm>
            <a:off x="4171950" y="466906"/>
            <a:ext cx="2219324" cy="8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4800">
                <a:solidFill>
                  <a:schemeClr val="accent6"/>
                </a:solidFill>
                <a:latin typeface="Freestyle Script" pitchFamily="66" charset="0"/>
              </a:rPr>
              <a:t>StudyTarget</a:t>
            </a:r>
            <a:endParaRPr lang="en-US" sz="5400">
              <a:solidFill>
                <a:schemeClr val="accent6"/>
              </a:solidFill>
              <a:latin typeface="Freestyle Script" pitchFamily="66" charset="0"/>
            </a:endParaRPr>
          </a:p>
        </xdr:txBody>
      </xdr:sp>
      <xdr:sp macro="" textlink="">
        <xdr:nvSpPr>
          <xdr:cNvPr id="10" name="Subtitle">
            <a:extLst>
              <a:ext uri="{FF2B5EF4-FFF2-40B4-BE49-F238E27FC236}">
                <a16:creationId xmlns:a16="http://schemas.microsoft.com/office/drawing/2014/main" id="{00000000-0008-0000-0300-00000A000000}"/>
              </a:ext>
            </a:extLst>
          </xdr:cNvPr>
          <xdr:cNvSpPr txBox="1"/>
        </xdr:nvSpPr>
        <xdr:spPr>
          <a:xfrm>
            <a:off x="4086226" y="1391883"/>
            <a:ext cx="2398891" cy="36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oneCell">
    <xdr:from>
      <xdr:col>8</xdr:col>
      <xdr:colOff>74665</xdr:colOff>
      <xdr:row>30</xdr:row>
      <xdr:rowOff>114483</xdr:rowOff>
    </xdr:from>
    <xdr:to>
      <xdr:col>10</xdr:col>
      <xdr:colOff>741763</xdr:colOff>
      <xdr:row>32</xdr:row>
      <xdr:rowOff>285567</xdr:rowOff>
    </xdr:to>
    <xdr:pic>
      <xdr:nvPicPr>
        <xdr:cNvPr id="11" name="Picture 10">
          <a:hlinkClick xmlns:r="http://schemas.openxmlformats.org/officeDocument/2006/relationships" r:id="rId5" tooltip="Chấp cánh cho ước mơ bay xa!"/>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6" cstate="print">
          <a:duotone>
            <a:schemeClr val="accent6">
              <a:shade val="45000"/>
              <a:satMod val="135000"/>
            </a:schemeClr>
            <a:prstClr val="white"/>
          </a:duotone>
          <a:extLst>
            <a:ext uri="{BEBA8EAE-BF5A-486C-A8C5-ECC9F3942E4B}">
              <a14:imgProps xmlns:a14="http://schemas.microsoft.com/office/drawing/2010/main">
                <a14:imgLayer r:embed="rId7">
                  <a14:imgEffect>
                    <a14:colorTemperature colorTemp="4700"/>
                  </a14:imgEffect>
                </a14:imgLayer>
              </a14:imgProps>
            </a:ext>
            <a:ext uri="{28A0092B-C50C-407E-A947-70E740481C1C}">
              <a14:useLocalDpi xmlns:a14="http://schemas.microsoft.com/office/drawing/2010/main" val="0"/>
            </a:ext>
          </a:extLst>
        </a:blip>
        <a:stretch>
          <a:fillRect/>
        </a:stretch>
      </xdr:blipFill>
      <xdr:spPr>
        <a:xfrm flipH="1">
          <a:off x="4818115" y="8058333"/>
          <a:ext cx="2743547" cy="780685"/>
        </a:xfrm>
        <a:prstGeom prst="rect">
          <a:avLst/>
        </a:prstGeom>
        <a:noFill/>
        <a:ln>
          <a:noFill/>
        </a:ln>
      </xdr:spPr>
    </xdr:pic>
    <xdr:clientData/>
  </xdr:twoCellAnchor>
  <xdr:twoCellAnchor>
    <xdr:from>
      <xdr:col>12</xdr:col>
      <xdr:colOff>0</xdr:colOff>
      <xdr:row>1</xdr:row>
      <xdr:rowOff>200025</xdr:rowOff>
    </xdr:from>
    <xdr:to>
      <xdr:col>14</xdr:col>
      <xdr:colOff>542925</xdr:colOff>
      <xdr:row>1</xdr:row>
      <xdr:rowOff>200025</xdr:rowOff>
    </xdr:to>
    <xdr:cxnSp macro="">
      <xdr:nvCxnSpPr>
        <xdr:cNvPr id="16" name="Straight Arrow Connector 15">
          <a:extLst>
            <a:ext uri="{FF2B5EF4-FFF2-40B4-BE49-F238E27FC236}">
              <a16:creationId xmlns:a16="http://schemas.microsoft.com/office/drawing/2014/main" id="{00000000-0008-0000-0300-000010000000}"/>
            </a:ext>
          </a:extLst>
        </xdr:cNvPr>
        <xdr:cNvCxnSpPr/>
      </xdr:nvCxnSpPr>
      <xdr:spPr>
        <a:xfrm flipH="1">
          <a:off x="8353425" y="2305050"/>
          <a:ext cx="752475"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191559</xdr:colOff>
      <xdr:row>30</xdr:row>
      <xdr:rowOff>359834</xdr:rowOff>
    </xdr:from>
    <xdr:to>
      <xdr:col>1</xdr:col>
      <xdr:colOff>1144059</xdr:colOff>
      <xdr:row>32</xdr:row>
      <xdr:rowOff>231472</xdr:rowOff>
    </xdr:to>
    <xdr:grpSp>
      <xdr:nvGrpSpPr>
        <xdr:cNvPr id="26" name="Home" descr="&quot;&quot;" title="Home button">
          <a:hlinkClick xmlns:r="http://schemas.openxmlformats.org/officeDocument/2006/relationships" r:id="rId2" tooltip="Click vào để trở về trang KẾT QUẢ HỌC TẬP"/>
          <a:extLst>
            <a:ext uri="{FF2B5EF4-FFF2-40B4-BE49-F238E27FC236}">
              <a16:creationId xmlns:a16="http://schemas.microsoft.com/office/drawing/2014/main" id="{00000000-0008-0000-0300-00001A000000}"/>
            </a:ext>
          </a:extLst>
        </xdr:cNvPr>
        <xdr:cNvGrpSpPr/>
      </xdr:nvGrpSpPr>
      <xdr:grpSpPr>
        <a:xfrm>
          <a:off x="477309" y="8008409"/>
          <a:ext cx="952500" cy="481238"/>
          <a:chOff x="9086850" y="466726"/>
          <a:chExt cx="952500" cy="484414"/>
        </a:xfrm>
      </xdr:grpSpPr>
      <xdr:pic>
        <xdr:nvPicPr>
          <xdr:cNvPr id="27" name="Picture 26" descr="Click to return to the Home sheet" title="Home button">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9342912" y="523875"/>
            <a:ext cx="445122"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rgbClr val="FFFFFF"/>
                </a:solidFill>
                <a:latin typeface="Freestyle Script" pitchFamily="66" charset="0"/>
              </a:rPr>
              <a:t>Back</a:t>
            </a:r>
          </a:p>
        </xdr:txBody>
      </xdr:sp>
    </xdr:grpSp>
    <xdr:clientData/>
  </xdr:twoCellAnchor>
  <xdr:twoCellAnchor editAs="absolute">
    <xdr:from>
      <xdr:col>2</xdr:col>
      <xdr:colOff>172508</xdr:colOff>
      <xdr:row>30</xdr:row>
      <xdr:rowOff>359834</xdr:rowOff>
    </xdr:from>
    <xdr:to>
      <xdr:col>4</xdr:col>
      <xdr:colOff>220133</xdr:colOff>
      <xdr:row>32</xdr:row>
      <xdr:rowOff>240997</xdr:rowOff>
    </xdr:to>
    <xdr:grpSp>
      <xdr:nvGrpSpPr>
        <xdr:cNvPr id="29" name="Home" descr="&quot;&quot;" title="Home button">
          <a:hlinkClick xmlns:r="http://schemas.openxmlformats.org/officeDocument/2006/relationships" r:id="rId8" tooltip="Click vào để sang phần THỐNG KÊ"/>
          <a:extLst>
            <a:ext uri="{FF2B5EF4-FFF2-40B4-BE49-F238E27FC236}">
              <a16:creationId xmlns:a16="http://schemas.microsoft.com/office/drawing/2014/main" id="{00000000-0008-0000-0300-00001D000000}"/>
            </a:ext>
          </a:extLst>
        </xdr:cNvPr>
        <xdr:cNvGrpSpPr/>
      </xdr:nvGrpSpPr>
      <xdr:grpSpPr>
        <a:xfrm>
          <a:off x="1725083" y="8008409"/>
          <a:ext cx="952500" cy="490763"/>
          <a:chOff x="9086850" y="466726"/>
          <a:chExt cx="952500" cy="484414"/>
        </a:xfrm>
      </xdr:grpSpPr>
      <xdr:pic>
        <xdr:nvPicPr>
          <xdr:cNvPr id="30" name="Picture 29" descr="Click to return to the Home sheet" title="Home button">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9342912" y="523875"/>
            <a:ext cx="371021" cy="3900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rgbClr val="FFFFFF"/>
                </a:solidFill>
                <a:latin typeface="Freestyle Script" pitchFamily="66" charset="0"/>
              </a:rPr>
              <a:t>Next</a:t>
            </a:r>
          </a:p>
        </xdr:txBody>
      </xdr:sp>
    </xdr:grpSp>
    <xdr:clientData/>
  </xdr:twoCellAnchor>
  <xdr:twoCellAnchor editAs="oneCell">
    <xdr:from>
      <xdr:col>3</xdr:col>
      <xdr:colOff>243416</xdr:colOff>
      <xdr:row>1</xdr:row>
      <xdr:rowOff>210608</xdr:rowOff>
    </xdr:from>
    <xdr:to>
      <xdr:col>4</xdr:col>
      <xdr:colOff>457199</xdr:colOff>
      <xdr:row>3</xdr:row>
      <xdr:rowOff>306680</xdr:rowOff>
    </xdr:to>
    <xdr:grpSp>
      <xdr:nvGrpSpPr>
        <xdr:cNvPr id="34" name="Shape 537">
          <a:hlinkClick xmlns:r="http://schemas.openxmlformats.org/officeDocument/2006/relationships" r:id="rId5" tooltip="Hãy nổ lực học tập để hoàn thành mục tiêu bạn nhé!"/>
          <a:extLst>
            <a:ext uri="{FF2B5EF4-FFF2-40B4-BE49-F238E27FC236}">
              <a16:creationId xmlns:a16="http://schemas.microsoft.com/office/drawing/2014/main" id="{00000000-0008-0000-0300-000022000000}"/>
            </a:ext>
          </a:extLst>
        </xdr:cNvPr>
        <xdr:cNvGrpSpPr/>
      </xdr:nvGrpSpPr>
      <xdr:grpSpPr>
        <a:xfrm>
          <a:off x="2091266" y="2315633"/>
          <a:ext cx="823383" cy="858072"/>
          <a:chOff x="5970800" y="1619250"/>
          <a:chExt cx="428650" cy="456725"/>
        </a:xfrm>
        <a:solidFill>
          <a:schemeClr val="accent6"/>
        </a:solidFill>
      </xdr:grpSpPr>
      <xdr:sp macro="" textlink="">
        <xdr:nvSpPr>
          <xdr:cNvPr id="35" name="Shape 538">
            <a:extLst>
              <a:ext uri="{FF2B5EF4-FFF2-40B4-BE49-F238E27FC236}">
                <a16:creationId xmlns:a16="http://schemas.microsoft.com/office/drawing/2014/main" id="{00000000-0008-0000-0300-000023000000}"/>
              </a:ext>
            </a:extLst>
          </xdr:cNvPr>
          <xdr:cNvSpPr/>
        </xdr:nvSpPr>
        <xdr:spPr>
          <a:xfrm>
            <a:off x="5970800" y="1674200"/>
            <a:ext cx="377975" cy="377950"/>
          </a:xfrm>
          <a:custGeom>
            <a:avLst/>
            <a:gdLst/>
            <a:ahLst/>
            <a:cxnLst/>
            <a:rect l="0" t="0" r="0" b="0"/>
            <a:pathLst>
              <a:path w="15119" h="15118" extrusionOk="0">
                <a:moveTo>
                  <a:pt x="7181" y="0"/>
                </a:moveTo>
                <a:lnTo>
                  <a:pt x="6790" y="49"/>
                </a:lnTo>
                <a:lnTo>
                  <a:pt x="6424" y="98"/>
                </a:lnTo>
                <a:lnTo>
                  <a:pt x="6058" y="147"/>
                </a:lnTo>
                <a:lnTo>
                  <a:pt x="5691" y="244"/>
                </a:lnTo>
                <a:lnTo>
                  <a:pt x="5325" y="342"/>
                </a:lnTo>
                <a:lnTo>
                  <a:pt x="4983" y="464"/>
                </a:lnTo>
                <a:lnTo>
                  <a:pt x="4641" y="586"/>
                </a:lnTo>
                <a:lnTo>
                  <a:pt x="4299" y="733"/>
                </a:lnTo>
                <a:lnTo>
                  <a:pt x="3982" y="904"/>
                </a:lnTo>
                <a:lnTo>
                  <a:pt x="3664" y="1099"/>
                </a:lnTo>
                <a:lnTo>
                  <a:pt x="3347" y="1295"/>
                </a:lnTo>
                <a:lnTo>
                  <a:pt x="3053" y="1490"/>
                </a:lnTo>
                <a:lnTo>
                  <a:pt x="2760" y="1734"/>
                </a:lnTo>
                <a:lnTo>
                  <a:pt x="2492" y="1954"/>
                </a:lnTo>
                <a:lnTo>
                  <a:pt x="2223" y="2223"/>
                </a:lnTo>
                <a:lnTo>
                  <a:pt x="1979" y="2467"/>
                </a:lnTo>
                <a:lnTo>
                  <a:pt x="1735" y="2760"/>
                </a:lnTo>
                <a:lnTo>
                  <a:pt x="1515" y="3029"/>
                </a:lnTo>
                <a:lnTo>
                  <a:pt x="1295" y="3322"/>
                </a:lnTo>
                <a:lnTo>
                  <a:pt x="1100" y="3639"/>
                </a:lnTo>
                <a:lnTo>
                  <a:pt x="929" y="3957"/>
                </a:lnTo>
                <a:lnTo>
                  <a:pt x="758" y="4274"/>
                </a:lnTo>
                <a:lnTo>
                  <a:pt x="611" y="4616"/>
                </a:lnTo>
                <a:lnTo>
                  <a:pt x="465" y="4958"/>
                </a:lnTo>
                <a:lnTo>
                  <a:pt x="343" y="5300"/>
                </a:lnTo>
                <a:lnTo>
                  <a:pt x="245" y="5666"/>
                </a:lnTo>
                <a:lnTo>
                  <a:pt x="172" y="6033"/>
                </a:lnTo>
                <a:lnTo>
                  <a:pt x="98" y="6399"/>
                </a:lnTo>
                <a:lnTo>
                  <a:pt x="49" y="6790"/>
                </a:lnTo>
                <a:lnTo>
                  <a:pt x="25" y="7156"/>
                </a:lnTo>
                <a:lnTo>
                  <a:pt x="1" y="7547"/>
                </a:lnTo>
                <a:lnTo>
                  <a:pt x="25" y="7938"/>
                </a:lnTo>
                <a:lnTo>
                  <a:pt x="49" y="8328"/>
                </a:lnTo>
                <a:lnTo>
                  <a:pt x="98" y="8695"/>
                </a:lnTo>
                <a:lnTo>
                  <a:pt x="172" y="9085"/>
                </a:lnTo>
                <a:lnTo>
                  <a:pt x="245" y="9452"/>
                </a:lnTo>
                <a:lnTo>
                  <a:pt x="343" y="9794"/>
                </a:lnTo>
                <a:lnTo>
                  <a:pt x="465" y="10160"/>
                </a:lnTo>
                <a:lnTo>
                  <a:pt x="611" y="10502"/>
                </a:lnTo>
                <a:lnTo>
                  <a:pt x="758" y="10820"/>
                </a:lnTo>
                <a:lnTo>
                  <a:pt x="929" y="11161"/>
                </a:lnTo>
                <a:lnTo>
                  <a:pt x="1100" y="11479"/>
                </a:lnTo>
                <a:lnTo>
                  <a:pt x="1295" y="11772"/>
                </a:lnTo>
                <a:lnTo>
                  <a:pt x="1515" y="12065"/>
                </a:lnTo>
                <a:lnTo>
                  <a:pt x="1735" y="12358"/>
                </a:lnTo>
                <a:lnTo>
                  <a:pt x="1979" y="12627"/>
                </a:lnTo>
                <a:lnTo>
                  <a:pt x="2223" y="12895"/>
                </a:lnTo>
                <a:lnTo>
                  <a:pt x="2492" y="13140"/>
                </a:lnTo>
                <a:lnTo>
                  <a:pt x="2760" y="13384"/>
                </a:lnTo>
                <a:lnTo>
                  <a:pt x="3053" y="13604"/>
                </a:lnTo>
                <a:lnTo>
                  <a:pt x="3347" y="13824"/>
                </a:lnTo>
                <a:lnTo>
                  <a:pt x="3664" y="14019"/>
                </a:lnTo>
                <a:lnTo>
                  <a:pt x="3982" y="14190"/>
                </a:lnTo>
                <a:lnTo>
                  <a:pt x="4299" y="14361"/>
                </a:lnTo>
                <a:lnTo>
                  <a:pt x="4641" y="14507"/>
                </a:lnTo>
                <a:lnTo>
                  <a:pt x="4983" y="14654"/>
                </a:lnTo>
                <a:lnTo>
                  <a:pt x="5325" y="14776"/>
                </a:lnTo>
                <a:lnTo>
                  <a:pt x="5691" y="14874"/>
                </a:lnTo>
                <a:lnTo>
                  <a:pt x="6058" y="14947"/>
                </a:lnTo>
                <a:lnTo>
                  <a:pt x="6424" y="15020"/>
                </a:lnTo>
                <a:lnTo>
                  <a:pt x="6790" y="15069"/>
                </a:lnTo>
                <a:lnTo>
                  <a:pt x="7181" y="15094"/>
                </a:lnTo>
                <a:lnTo>
                  <a:pt x="7572" y="15118"/>
                </a:lnTo>
                <a:lnTo>
                  <a:pt x="7963" y="15094"/>
                </a:lnTo>
                <a:lnTo>
                  <a:pt x="8329" y="15069"/>
                </a:lnTo>
                <a:lnTo>
                  <a:pt x="8720" y="15020"/>
                </a:lnTo>
                <a:lnTo>
                  <a:pt x="9086" y="14947"/>
                </a:lnTo>
                <a:lnTo>
                  <a:pt x="9452" y="14874"/>
                </a:lnTo>
                <a:lnTo>
                  <a:pt x="9819" y="14776"/>
                </a:lnTo>
                <a:lnTo>
                  <a:pt x="10161" y="14654"/>
                </a:lnTo>
                <a:lnTo>
                  <a:pt x="10503" y="14507"/>
                </a:lnTo>
                <a:lnTo>
                  <a:pt x="10844" y="14361"/>
                </a:lnTo>
                <a:lnTo>
                  <a:pt x="11162" y="14190"/>
                </a:lnTo>
                <a:lnTo>
                  <a:pt x="11479" y="14019"/>
                </a:lnTo>
                <a:lnTo>
                  <a:pt x="11797" y="13824"/>
                </a:lnTo>
                <a:lnTo>
                  <a:pt x="12090" y="13604"/>
                </a:lnTo>
                <a:lnTo>
                  <a:pt x="12383" y="13384"/>
                </a:lnTo>
                <a:lnTo>
                  <a:pt x="12652" y="13140"/>
                </a:lnTo>
                <a:lnTo>
                  <a:pt x="12920" y="12895"/>
                </a:lnTo>
                <a:lnTo>
                  <a:pt x="13165" y="12627"/>
                </a:lnTo>
                <a:lnTo>
                  <a:pt x="13409" y="12358"/>
                </a:lnTo>
                <a:lnTo>
                  <a:pt x="13629" y="12065"/>
                </a:lnTo>
                <a:lnTo>
                  <a:pt x="13824" y="11772"/>
                </a:lnTo>
                <a:lnTo>
                  <a:pt x="14019" y="11479"/>
                </a:lnTo>
                <a:lnTo>
                  <a:pt x="14215" y="11161"/>
                </a:lnTo>
                <a:lnTo>
                  <a:pt x="14386" y="10820"/>
                </a:lnTo>
                <a:lnTo>
                  <a:pt x="14532" y="10502"/>
                </a:lnTo>
                <a:lnTo>
                  <a:pt x="14654" y="10160"/>
                </a:lnTo>
                <a:lnTo>
                  <a:pt x="14777" y="9794"/>
                </a:lnTo>
                <a:lnTo>
                  <a:pt x="14899" y="9452"/>
                </a:lnTo>
                <a:lnTo>
                  <a:pt x="14972" y="9085"/>
                </a:lnTo>
                <a:lnTo>
                  <a:pt x="15045" y="8695"/>
                </a:lnTo>
                <a:lnTo>
                  <a:pt x="15094" y="8328"/>
                </a:lnTo>
                <a:lnTo>
                  <a:pt x="15118" y="7938"/>
                </a:lnTo>
                <a:lnTo>
                  <a:pt x="15118" y="7547"/>
                </a:lnTo>
                <a:lnTo>
                  <a:pt x="15094" y="6936"/>
                </a:lnTo>
                <a:lnTo>
                  <a:pt x="15021" y="6326"/>
                </a:lnTo>
                <a:lnTo>
                  <a:pt x="14899" y="5740"/>
                </a:lnTo>
                <a:lnTo>
                  <a:pt x="14728" y="5178"/>
                </a:lnTo>
                <a:lnTo>
                  <a:pt x="14532" y="4616"/>
                </a:lnTo>
                <a:lnTo>
                  <a:pt x="14288" y="4079"/>
                </a:lnTo>
                <a:lnTo>
                  <a:pt x="13995" y="3590"/>
                </a:lnTo>
                <a:lnTo>
                  <a:pt x="13653" y="3102"/>
                </a:lnTo>
                <a:lnTo>
                  <a:pt x="13458" y="3053"/>
                </a:lnTo>
                <a:lnTo>
                  <a:pt x="12163" y="4347"/>
                </a:lnTo>
                <a:lnTo>
                  <a:pt x="12383" y="4689"/>
                </a:lnTo>
                <a:lnTo>
                  <a:pt x="12578" y="5056"/>
                </a:lnTo>
                <a:lnTo>
                  <a:pt x="12749" y="5446"/>
                </a:lnTo>
                <a:lnTo>
                  <a:pt x="12896" y="5837"/>
                </a:lnTo>
                <a:lnTo>
                  <a:pt x="13018" y="6252"/>
                </a:lnTo>
                <a:lnTo>
                  <a:pt x="13091" y="6668"/>
                </a:lnTo>
                <a:lnTo>
                  <a:pt x="13165" y="7107"/>
                </a:lnTo>
                <a:lnTo>
                  <a:pt x="13165" y="7547"/>
                </a:lnTo>
                <a:lnTo>
                  <a:pt x="13140" y="8133"/>
                </a:lnTo>
                <a:lnTo>
                  <a:pt x="13067" y="8695"/>
                </a:lnTo>
                <a:lnTo>
                  <a:pt x="12920" y="9208"/>
                </a:lnTo>
                <a:lnTo>
                  <a:pt x="12725" y="9745"/>
                </a:lnTo>
                <a:lnTo>
                  <a:pt x="12505" y="10233"/>
                </a:lnTo>
                <a:lnTo>
                  <a:pt x="12212" y="10673"/>
                </a:lnTo>
                <a:lnTo>
                  <a:pt x="11895" y="11113"/>
                </a:lnTo>
                <a:lnTo>
                  <a:pt x="11528" y="11503"/>
                </a:lnTo>
                <a:lnTo>
                  <a:pt x="11138" y="11870"/>
                </a:lnTo>
                <a:lnTo>
                  <a:pt x="10698" y="12187"/>
                </a:lnTo>
                <a:lnTo>
                  <a:pt x="10234" y="12480"/>
                </a:lnTo>
                <a:lnTo>
                  <a:pt x="9745" y="12725"/>
                </a:lnTo>
                <a:lnTo>
                  <a:pt x="9233" y="12895"/>
                </a:lnTo>
                <a:lnTo>
                  <a:pt x="8695" y="13042"/>
                </a:lnTo>
                <a:lnTo>
                  <a:pt x="8133" y="13140"/>
                </a:lnTo>
                <a:lnTo>
                  <a:pt x="7572" y="13164"/>
                </a:lnTo>
                <a:lnTo>
                  <a:pt x="6986" y="13140"/>
                </a:lnTo>
                <a:lnTo>
                  <a:pt x="6448" y="13042"/>
                </a:lnTo>
                <a:lnTo>
                  <a:pt x="5911" y="12895"/>
                </a:lnTo>
                <a:lnTo>
                  <a:pt x="5398" y="12725"/>
                </a:lnTo>
                <a:lnTo>
                  <a:pt x="4910" y="12480"/>
                </a:lnTo>
                <a:lnTo>
                  <a:pt x="4446" y="12187"/>
                </a:lnTo>
                <a:lnTo>
                  <a:pt x="4006" y="11870"/>
                </a:lnTo>
                <a:lnTo>
                  <a:pt x="3615" y="11503"/>
                </a:lnTo>
                <a:lnTo>
                  <a:pt x="3249" y="11113"/>
                </a:lnTo>
                <a:lnTo>
                  <a:pt x="2931" y="10673"/>
                </a:lnTo>
                <a:lnTo>
                  <a:pt x="2638" y="10233"/>
                </a:lnTo>
                <a:lnTo>
                  <a:pt x="2418" y="9745"/>
                </a:lnTo>
                <a:lnTo>
                  <a:pt x="2223" y="9208"/>
                </a:lnTo>
                <a:lnTo>
                  <a:pt x="2077" y="8695"/>
                </a:lnTo>
                <a:lnTo>
                  <a:pt x="2003" y="8133"/>
                </a:lnTo>
                <a:lnTo>
                  <a:pt x="1954" y="7547"/>
                </a:lnTo>
                <a:lnTo>
                  <a:pt x="2003" y="6985"/>
                </a:lnTo>
                <a:lnTo>
                  <a:pt x="2077" y="6423"/>
                </a:lnTo>
                <a:lnTo>
                  <a:pt x="2223" y="5886"/>
                </a:lnTo>
                <a:lnTo>
                  <a:pt x="2418" y="5373"/>
                </a:lnTo>
                <a:lnTo>
                  <a:pt x="2638" y="4885"/>
                </a:lnTo>
                <a:lnTo>
                  <a:pt x="2931" y="4421"/>
                </a:lnTo>
                <a:lnTo>
                  <a:pt x="3249" y="4005"/>
                </a:lnTo>
                <a:lnTo>
                  <a:pt x="3615" y="3590"/>
                </a:lnTo>
                <a:lnTo>
                  <a:pt x="4006" y="3224"/>
                </a:lnTo>
                <a:lnTo>
                  <a:pt x="4446" y="2906"/>
                </a:lnTo>
                <a:lnTo>
                  <a:pt x="4910" y="2638"/>
                </a:lnTo>
                <a:lnTo>
                  <a:pt x="5398" y="2394"/>
                </a:lnTo>
                <a:lnTo>
                  <a:pt x="5911" y="2198"/>
                </a:lnTo>
                <a:lnTo>
                  <a:pt x="6448" y="2076"/>
                </a:lnTo>
                <a:lnTo>
                  <a:pt x="6986" y="1978"/>
                </a:lnTo>
                <a:lnTo>
                  <a:pt x="7572" y="1954"/>
                </a:lnTo>
                <a:lnTo>
                  <a:pt x="8011" y="1978"/>
                </a:lnTo>
                <a:lnTo>
                  <a:pt x="8451" y="2027"/>
                </a:lnTo>
                <a:lnTo>
                  <a:pt x="8866" y="2100"/>
                </a:lnTo>
                <a:lnTo>
                  <a:pt x="9281" y="2223"/>
                </a:lnTo>
                <a:lnTo>
                  <a:pt x="9672" y="2369"/>
                </a:lnTo>
                <a:lnTo>
                  <a:pt x="10063" y="2540"/>
                </a:lnTo>
                <a:lnTo>
                  <a:pt x="10429" y="2735"/>
                </a:lnTo>
                <a:lnTo>
                  <a:pt x="10771" y="2955"/>
                </a:lnTo>
                <a:lnTo>
                  <a:pt x="11943" y="1807"/>
                </a:lnTo>
                <a:lnTo>
                  <a:pt x="11846" y="1343"/>
                </a:lnTo>
                <a:lnTo>
                  <a:pt x="11382" y="1026"/>
                </a:lnTo>
                <a:lnTo>
                  <a:pt x="10893" y="782"/>
                </a:lnTo>
                <a:lnTo>
                  <a:pt x="10380" y="537"/>
                </a:lnTo>
                <a:lnTo>
                  <a:pt x="9843" y="342"/>
                </a:lnTo>
                <a:lnTo>
                  <a:pt x="9306" y="195"/>
                </a:lnTo>
                <a:lnTo>
                  <a:pt x="8744" y="98"/>
                </a:lnTo>
                <a:lnTo>
                  <a:pt x="8158" y="25"/>
                </a:lnTo>
                <a:lnTo>
                  <a:pt x="7572"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6" name="Shape 539">
            <a:extLst>
              <a:ext uri="{FF2B5EF4-FFF2-40B4-BE49-F238E27FC236}">
                <a16:creationId xmlns:a16="http://schemas.microsoft.com/office/drawing/2014/main" id="{00000000-0008-0000-0300-000024000000}"/>
              </a:ext>
            </a:extLst>
          </xdr:cNvPr>
          <xdr:cNvSpPr/>
        </xdr:nvSpPr>
        <xdr:spPr>
          <a:xfrm>
            <a:off x="6068500" y="1771875"/>
            <a:ext cx="182575" cy="182600"/>
          </a:xfrm>
          <a:custGeom>
            <a:avLst/>
            <a:gdLst/>
            <a:ahLst/>
            <a:cxnLst/>
            <a:rect l="0" t="0" r="0" b="0"/>
            <a:pathLst>
              <a:path w="7303" h="7304" extrusionOk="0">
                <a:moveTo>
                  <a:pt x="3664" y="1"/>
                </a:moveTo>
                <a:lnTo>
                  <a:pt x="3297" y="25"/>
                </a:lnTo>
                <a:lnTo>
                  <a:pt x="2931" y="74"/>
                </a:lnTo>
                <a:lnTo>
                  <a:pt x="2565" y="147"/>
                </a:lnTo>
                <a:lnTo>
                  <a:pt x="2247" y="294"/>
                </a:lnTo>
                <a:lnTo>
                  <a:pt x="1930" y="440"/>
                </a:lnTo>
                <a:lnTo>
                  <a:pt x="1612" y="611"/>
                </a:lnTo>
                <a:lnTo>
                  <a:pt x="1344" y="831"/>
                </a:lnTo>
                <a:lnTo>
                  <a:pt x="1075" y="1075"/>
                </a:lnTo>
                <a:lnTo>
                  <a:pt x="831" y="1320"/>
                </a:lnTo>
                <a:lnTo>
                  <a:pt x="635" y="1613"/>
                </a:lnTo>
                <a:lnTo>
                  <a:pt x="440" y="1906"/>
                </a:lnTo>
                <a:lnTo>
                  <a:pt x="293" y="2223"/>
                </a:lnTo>
                <a:lnTo>
                  <a:pt x="171" y="2565"/>
                </a:lnTo>
                <a:lnTo>
                  <a:pt x="74" y="2907"/>
                </a:lnTo>
                <a:lnTo>
                  <a:pt x="25" y="3273"/>
                </a:lnTo>
                <a:lnTo>
                  <a:pt x="0" y="3640"/>
                </a:lnTo>
                <a:lnTo>
                  <a:pt x="25" y="4031"/>
                </a:lnTo>
                <a:lnTo>
                  <a:pt x="74" y="4373"/>
                </a:lnTo>
                <a:lnTo>
                  <a:pt x="171" y="4739"/>
                </a:lnTo>
                <a:lnTo>
                  <a:pt x="293" y="5081"/>
                </a:lnTo>
                <a:lnTo>
                  <a:pt x="440" y="5398"/>
                </a:lnTo>
                <a:lnTo>
                  <a:pt x="635" y="5691"/>
                </a:lnTo>
                <a:lnTo>
                  <a:pt x="831" y="5960"/>
                </a:lnTo>
                <a:lnTo>
                  <a:pt x="1075" y="6229"/>
                </a:lnTo>
                <a:lnTo>
                  <a:pt x="1344" y="6473"/>
                </a:lnTo>
                <a:lnTo>
                  <a:pt x="1612" y="6668"/>
                </a:lnTo>
                <a:lnTo>
                  <a:pt x="1930" y="6864"/>
                </a:lnTo>
                <a:lnTo>
                  <a:pt x="2247" y="7010"/>
                </a:lnTo>
                <a:lnTo>
                  <a:pt x="2565" y="7132"/>
                </a:lnTo>
                <a:lnTo>
                  <a:pt x="2931" y="7230"/>
                </a:lnTo>
                <a:lnTo>
                  <a:pt x="3297" y="7279"/>
                </a:lnTo>
                <a:lnTo>
                  <a:pt x="3664" y="7303"/>
                </a:lnTo>
                <a:lnTo>
                  <a:pt x="4030" y="7279"/>
                </a:lnTo>
                <a:lnTo>
                  <a:pt x="4396" y="7230"/>
                </a:lnTo>
                <a:lnTo>
                  <a:pt x="4738" y="7132"/>
                </a:lnTo>
                <a:lnTo>
                  <a:pt x="5080" y="7010"/>
                </a:lnTo>
                <a:lnTo>
                  <a:pt x="5398" y="6864"/>
                </a:lnTo>
                <a:lnTo>
                  <a:pt x="5691" y="6668"/>
                </a:lnTo>
                <a:lnTo>
                  <a:pt x="5984" y="6473"/>
                </a:lnTo>
                <a:lnTo>
                  <a:pt x="6253" y="6229"/>
                </a:lnTo>
                <a:lnTo>
                  <a:pt x="6472" y="5960"/>
                </a:lnTo>
                <a:lnTo>
                  <a:pt x="6692" y="5691"/>
                </a:lnTo>
                <a:lnTo>
                  <a:pt x="6863" y="5398"/>
                </a:lnTo>
                <a:lnTo>
                  <a:pt x="7034" y="5081"/>
                </a:lnTo>
                <a:lnTo>
                  <a:pt x="7156" y="4739"/>
                </a:lnTo>
                <a:lnTo>
                  <a:pt x="7230" y="4373"/>
                </a:lnTo>
                <a:lnTo>
                  <a:pt x="7303" y="4031"/>
                </a:lnTo>
                <a:lnTo>
                  <a:pt x="7303" y="3640"/>
                </a:lnTo>
                <a:lnTo>
                  <a:pt x="7303" y="3396"/>
                </a:lnTo>
                <a:lnTo>
                  <a:pt x="7278" y="3176"/>
                </a:lnTo>
                <a:lnTo>
                  <a:pt x="7254" y="2932"/>
                </a:lnTo>
                <a:lnTo>
                  <a:pt x="7181" y="2712"/>
                </a:lnTo>
                <a:lnTo>
                  <a:pt x="7132" y="2492"/>
                </a:lnTo>
                <a:lnTo>
                  <a:pt x="7034" y="2272"/>
                </a:lnTo>
                <a:lnTo>
                  <a:pt x="6839" y="1857"/>
                </a:lnTo>
                <a:lnTo>
                  <a:pt x="5325" y="3347"/>
                </a:lnTo>
                <a:lnTo>
                  <a:pt x="5349" y="3640"/>
                </a:lnTo>
                <a:lnTo>
                  <a:pt x="5349" y="3811"/>
                </a:lnTo>
                <a:lnTo>
                  <a:pt x="5325" y="3982"/>
                </a:lnTo>
                <a:lnTo>
                  <a:pt x="5276" y="4153"/>
                </a:lnTo>
                <a:lnTo>
                  <a:pt x="5227" y="4299"/>
                </a:lnTo>
                <a:lnTo>
                  <a:pt x="5154" y="4446"/>
                </a:lnTo>
                <a:lnTo>
                  <a:pt x="5080" y="4592"/>
                </a:lnTo>
                <a:lnTo>
                  <a:pt x="4983" y="4739"/>
                </a:lnTo>
                <a:lnTo>
                  <a:pt x="4860" y="4861"/>
                </a:lnTo>
                <a:lnTo>
                  <a:pt x="4738" y="4959"/>
                </a:lnTo>
                <a:lnTo>
                  <a:pt x="4616" y="5056"/>
                </a:lnTo>
                <a:lnTo>
                  <a:pt x="4470" y="5154"/>
                </a:lnTo>
                <a:lnTo>
                  <a:pt x="4323" y="5203"/>
                </a:lnTo>
                <a:lnTo>
                  <a:pt x="4177" y="5276"/>
                </a:lnTo>
                <a:lnTo>
                  <a:pt x="4006" y="5301"/>
                </a:lnTo>
                <a:lnTo>
                  <a:pt x="3835" y="5349"/>
                </a:lnTo>
                <a:lnTo>
                  <a:pt x="3493" y="5349"/>
                </a:lnTo>
                <a:lnTo>
                  <a:pt x="3322" y="5301"/>
                </a:lnTo>
                <a:lnTo>
                  <a:pt x="3151" y="5276"/>
                </a:lnTo>
                <a:lnTo>
                  <a:pt x="3004" y="5203"/>
                </a:lnTo>
                <a:lnTo>
                  <a:pt x="2858" y="5154"/>
                </a:lnTo>
                <a:lnTo>
                  <a:pt x="2711" y="5056"/>
                </a:lnTo>
                <a:lnTo>
                  <a:pt x="2589" y="4959"/>
                </a:lnTo>
                <a:lnTo>
                  <a:pt x="2467" y="4861"/>
                </a:lnTo>
                <a:lnTo>
                  <a:pt x="2345" y="4739"/>
                </a:lnTo>
                <a:lnTo>
                  <a:pt x="2247" y="4592"/>
                </a:lnTo>
                <a:lnTo>
                  <a:pt x="2174" y="4446"/>
                </a:lnTo>
                <a:lnTo>
                  <a:pt x="2101" y="4299"/>
                </a:lnTo>
                <a:lnTo>
                  <a:pt x="2027" y="4153"/>
                </a:lnTo>
                <a:lnTo>
                  <a:pt x="2003" y="3982"/>
                </a:lnTo>
                <a:lnTo>
                  <a:pt x="1979" y="3811"/>
                </a:lnTo>
                <a:lnTo>
                  <a:pt x="1954" y="3640"/>
                </a:lnTo>
                <a:lnTo>
                  <a:pt x="1979" y="3469"/>
                </a:lnTo>
                <a:lnTo>
                  <a:pt x="2003" y="3298"/>
                </a:lnTo>
                <a:lnTo>
                  <a:pt x="2027" y="3151"/>
                </a:lnTo>
                <a:lnTo>
                  <a:pt x="2101" y="2980"/>
                </a:lnTo>
                <a:lnTo>
                  <a:pt x="2174" y="2834"/>
                </a:lnTo>
                <a:lnTo>
                  <a:pt x="2247" y="2687"/>
                </a:lnTo>
                <a:lnTo>
                  <a:pt x="2345" y="2565"/>
                </a:lnTo>
                <a:lnTo>
                  <a:pt x="2467" y="2443"/>
                </a:lnTo>
                <a:lnTo>
                  <a:pt x="2589" y="2345"/>
                </a:lnTo>
                <a:lnTo>
                  <a:pt x="2711" y="2248"/>
                </a:lnTo>
                <a:lnTo>
                  <a:pt x="2858" y="2150"/>
                </a:lnTo>
                <a:lnTo>
                  <a:pt x="3004" y="2077"/>
                </a:lnTo>
                <a:lnTo>
                  <a:pt x="3151" y="2028"/>
                </a:lnTo>
                <a:lnTo>
                  <a:pt x="3322" y="1979"/>
                </a:lnTo>
                <a:lnTo>
                  <a:pt x="3493" y="1955"/>
                </a:lnTo>
                <a:lnTo>
                  <a:pt x="3664" y="1955"/>
                </a:lnTo>
                <a:lnTo>
                  <a:pt x="3957" y="1979"/>
                </a:lnTo>
                <a:lnTo>
                  <a:pt x="5447" y="465"/>
                </a:lnTo>
                <a:lnTo>
                  <a:pt x="5056" y="269"/>
                </a:lnTo>
                <a:lnTo>
                  <a:pt x="4836" y="196"/>
                </a:lnTo>
                <a:lnTo>
                  <a:pt x="4616" y="123"/>
                </a:lnTo>
                <a:lnTo>
                  <a:pt x="4372" y="74"/>
                </a:lnTo>
                <a:lnTo>
                  <a:pt x="4152" y="25"/>
                </a:lnTo>
                <a:lnTo>
                  <a:pt x="3908"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7" name="Shape 540">
            <a:extLst>
              <a:ext uri="{FF2B5EF4-FFF2-40B4-BE49-F238E27FC236}">
                <a16:creationId xmlns:a16="http://schemas.microsoft.com/office/drawing/2014/main" id="{00000000-0008-0000-0300-000025000000}"/>
              </a:ext>
            </a:extLst>
          </xdr:cNvPr>
          <xdr:cNvSpPr/>
        </xdr:nvSpPr>
        <xdr:spPr>
          <a:xfrm>
            <a:off x="5981175" y="2005125"/>
            <a:ext cx="75125" cy="70850"/>
          </a:xfrm>
          <a:custGeom>
            <a:avLst/>
            <a:gdLst/>
            <a:ahLst/>
            <a:cxnLst/>
            <a:rect l="0" t="0" r="0" b="0"/>
            <a:pathLst>
              <a:path w="3005" h="2834" extrusionOk="0">
                <a:moveTo>
                  <a:pt x="1466" y="0"/>
                </a:moveTo>
                <a:lnTo>
                  <a:pt x="294" y="1173"/>
                </a:lnTo>
                <a:lnTo>
                  <a:pt x="172" y="1319"/>
                </a:lnTo>
                <a:lnTo>
                  <a:pt x="74" y="1490"/>
                </a:lnTo>
                <a:lnTo>
                  <a:pt x="25" y="1661"/>
                </a:lnTo>
                <a:lnTo>
                  <a:pt x="1" y="1857"/>
                </a:lnTo>
                <a:lnTo>
                  <a:pt x="25" y="2052"/>
                </a:lnTo>
                <a:lnTo>
                  <a:pt x="74" y="2223"/>
                </a:lnTo>
                <a:lnTo>
                  <a:pt x="172" y="2394"/>
                </a:lnTo>
                <a:lnTo>
                  <a:pt x="294" y="2540"/>
                </a:lnTo>
                <a:lnTo>
                  <a:pt x="440" y="2663"/>
                </a:lnTo>
                <a:lnTo>
                  <a:pt x="611" y="2760"/>
                </a:lnTo>
                <a:lnTo>
                  <a:pt x="807" y="2809"/>
                </a:lnTo>
                <a:lnTo>
                  <a:pt x="978" y="2833"/>
                </a:lnTo>
                <a:lnTo>
                  <a:pt x="1173" y="2809"/>
                </a:lnTo>
                <a:lnTo>
                  <a:pt x="1344" y="2760"/>
                </a:lnTo>
                <a:lnTo>
                  <a:pt x="1515" y="2663"/>
                </a:lnTo>
                <a:lnTo>
                  <a:pt x="1686" y="2540"/>
                </a:lnTo>
                <a:lnTo>
                  <a:pt x="2858" y="1368"/>
                </a:lnTo>
                <a:lnTo>
                  <a:pt x="3005" y="1197"/>
                </a:lnTo>
                <a:lnTo>
                  <a:pt x="2590" y="928"/>
                </a:lnTo>
                <a:lnTo>
                  <a:pt x="2199" y="635"/>
                </a:lnTo>
                <a:lnTo>
                  <a:pt x="1808" y="342"/>
                </a:lnTo>
                <a:lnTo>
                  <a:pt x="1466"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8" name="Shape 541">
            <a:extLst>
              <a:ext uri="{FF2B5EF4-FFF2-40B4-BE49-F238E27FC236}">
                <a16:creationId xmlns:a16="http://schemas.microsoft.com/office/drawing/2014/main" id="{00000000-0008-0000-0300-000026000000}"/>
              </a:ext>
            </a:extLst>
          </xdr:cNvPr>
          <xdr:cNvSpPr/>
        </xdr:nvSpPr>
        <xdr:spPr>
          <a:xfrm>
            <a:off x="6263875" y="2005125"/>
            <a:ext cx="74525" cy="70850"/>
          </a:xfrm>
          <a:custGeom>
            <a:avLst/>
            <a:gdLst/>
            <a:ahLst/>
            <a:cxnLst/>
            <a:rect l="0" t="0" r="0" b="0"/>
            <a:pathLst>
              <a:path w="2981" h="2834" extrusionOk="0">
                <a:moveTo>
                  <a:pt x="1539" y="0"/>
                </a:moveTo>
                <a:lnTo>
                  <a:pt x="1173" y="342"/>
                </a:lnTo>
                <a:lnTo>
                  <a:pt x="807" y="635"/>
                </a:lnTo>
                <a:lnTo>
                  <a:pt x="416" y="928"/>
                </a:lnTo>
                <a:lnTo>
                  <a:pt x="1" y="1197"/>
                </a:lnTo>
                <a:lnTo>
                  <a:pt x="123" y="1368"/>
                </a:lnTo>
                <a:lnTo>
                  <a:pt x="1319" y="2540"/>
                </a:lnTo>
                <a:lnTo>
                  <a:pt x="1466" y="2663"/>
                </a:lnTo>
                <a:lnTo>
                  <a:pt x="1637" y="2760"/>
                </a:lnTo>
                <a:lnTo>
                  <a:pt x="1832" y="2809"/>
                </a:lnTo>
                <a:lnTo>
                  <a:pt x="2003" y="2833"/>
                </a:lnTo>
                <a:lnTo>
                  <a:pt x="2199" y="2809"/>
                </a:lnTo>
                <a:lnTo>
                  <a:pt x="2370" y="2760"/>
                </a:lnTo>
                <a:lnTo>
                  <a:pt x="2541" y="2663"/>
                </a:lnTo>
                <a:lnTo>
                  <a:pt x="2712" y="2540"/>
                </a:lnTo>
                <a:lnTo>
                  <a:pt x="2834" y="2394"/>
                </a:lnTo>
                <a:lnTo>
                  <a:pt x="2931" y="2223"/>
                </a:lnTo>
                <a:lnTo>
                  <a:pt x="2980" y="2052"/>
                </a:lnTo>
                <a:lnTo>
                  <a:pt x="2980" y="1857"/>
                </a:lnTo>
                <a:lnTo>
                  <a:pt x="2980" y="1661"/>
                </a:lnTo>
                <a:lnTo>
                  <a:pt x="2931" y="1490"/>
                </a:lnTo>
                <a:lnTo>
                  <a:pt x="2834" y="1319"/>
                </a:lnTo>
                <a:lnTo>
                  <a:pt x="2712" y="1173"/>
                </a:lnTo>
                <a:lnTo>
                  <a:pt x="1539"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9" name="Shape 542">
            <a:extLst>
              <a:ext uri="{FF2B5EF4-FFF2-40B4-BE49-F238E27FC236}">
                <a16:creationId xmlns:a16="http://schemas.microsoft.com/office/drawing/2014/main" id="{00000000-0008-0000-0300-000027000000}"/>
              </a:ext>
            </a:extLst>
          </xdr:cNvPr>
          <xdr:cNvSpPr/>
        </xdr:nvSpPr>
        <xdr:spPr>
          <a:xfrm>
            <a:off x="6147875" y="1619250"/>
            <a:ext cx="251575" cy="255850"/>
          </a:xfrm>
          <a:custGeom>
            <a:avLst/>
            <a:gdLst/>
            <a:ahLst/>
            <a:cxnLst/>
            <a:rect l="0" t="0" r="0" b="0"/>
            <a:pathLst>
              <a:path w="10063" h="10234" extrusionOk="0">
                <a:moveTo>
                  <a:pt x="7352" y="0"/>
                </a:moveTo>
                <a:lnTo>
                  <a:pt x="7254" y="24"/>
                </a:lnTo>
                <a:lnTo>
                  <a:pt x="7181" y="73"/>
                </a:lnTo>
                <a:lnTo>
                  <a:pt x="7083" y="147"/>
                </a:lnTo>
                <a:lnTo>
                  <a:pt x="5447" y="1758"/>
                </a:lnTo>
                <a:lnTo>
                  <a:pt x="5373" y="1856"/>
                </a:lnTo>
                <a:lnTo>
                  <a:pt x="5300" y="1978"/>
                </a:lnTo>
                <a:lnTo>
                  <a:pt x="5227" y="2125"/>
                </a:lnTo>
                <a:lnTo>
                  <a:pt x="5178" y="2247"/>
                </a:lnTo>
                <a:lnTo>
                  <a:pt x="5154" y="2393"/>
                </a:lnTo>
                <a:lnTo>
                  <a:pt x="5129" y="2540"/>
                </a:lnTo>
                <a:lnTo>
                  <a:pt x="5129" y="2687"/>
                </a:lnTo>
                <a:lnTo>
                  <a:pt x="5129" y="2809"/>
                </a:lnTo>
                <a:lnTo>
                  <a:pt x="5349" y="3981"/>
                </a:lnTo>
                <a:lnTo>
                  <a:pt x="5398" y="4152"/>
                </a:lnTo>
                <a:lnTo>
                  <a:pt x="147" y="9403"/>
                </a:lnTo>
                <a:lnTo>
                  <a:pt x="74" y="9476"/>
                </a:lnTo>
                <a:lnTo>
                  <a:pt x="25" y="9574"/>
                </a:lnTo>
                <a:lnTo>
                  <a:pt x="0" y="9672"/>
                </a:lnTo>
                <a:lnTo>
                  <a:pt x="0" y="9745"/>
                </a:lnTo>
                <a:lnTo>
                  <a:pt x="0" y="9843"/>
                </a:lnTo>
                <a:lnTo>
                  <a:pt x="25" y="9940"/>
                </a:lnTo>
                <a:lnTo>
                  <a:pt x="74" y="10013"/>
                </a:lnTo>
                <a:lnTo>
                  <a:pt x="147" y="10087"/>
                </a:lnTo>
                <a:lnTo>
                  <a:pt x="220" y="10160"/>
                </a:lnTo>
                <a:lnTo>
                  <a:pt x="293" y="10209"/>
                </a:lnTo>
                <a:lnTo>
                  <a:pt x="391" y="10233"/>
                </a:lnTo>
                <a:lnTo>
                  <a:pt x="586" y="10233"/>
                </a:lnTo>
                <a:lnTo>
                  <a:pt x="660" y="10209"/>
                </a:lnTo>
                <a:lnTo>
                  <a:pt x="757" y="10160"/>
                </a:lnTo>
                <a:lnTo>
                  <a:pt x="831" y="10087"/>
                </a:lnTo>
                <a:lnTo>
                  <a:pt x="6204" y="4738"/>
                </a:lnTo>
                <a:lnTo>
                  <a:pt x="7254" y="4909"/>
                </a:lnTo>
                <a:lnTo>
                  <a:pt x="7376" y="4933"/>
                </a:lnTo>
                <a:lnTo>
                  <a:pt x="7523" y="4933"/>
                </a:lnTo>
                <a:lnTo>
                  <a:pt x="7645" y="4909"/>
                </a:lnTo>
                <a:lnTo>
                  <a:pt x="7791" y="4860"/>
                </a:lnTo>
                <a:lnTo>
                  <a:pt x="7938" y="4811"/>
                </a:lnTo>
                <a:lnTo>
                  <a:pt x="8060" y="4763"/>
                </a:lnTo>
                <a:lnTo>
                  <a:pt x="8182" y="4689"/>
                </a:lnTo>
                <a:lnTo>
                  <a:pt x="8280" y="4592"/>
                </a:lnTo>
                <a:lnTo>
                  <a:pt x="9916" y="2955"/>
                </a:lnTo>
                <a:lnTo>
                  <a:pt x="9989" y="2882"/>
                </a:lnTo>
                <a:lnTo>
                  <a:pt x="10038" y="2784"/>
                </a:lnTo>
                <a:lnTo>
                  <a:pt x="10063" y="2711"/>
                </a:lnTo>
                <a:lnTo>
                  <a:pt x="10038" y="2613"/>
                </a:lnTo>
                <a:lnTo>
                  <a:pt x="10014" y="2564"/>
                </a:lnTo>
                <a:lnTo>
                  <a:pt x="9940" y="2491"/>
                </a:lnTo>
                <a:lnTo>
                  <a:pt x="9843" y="2442"/>
                </a:lnTo>
                <a:lnTo>
                  <a:pt x="9745" y="2418"/>
                </a:lnTo>
                <a:lnTo>
                  <a:pt x="8695" y="2223"/>
                </a:lnTo>
                <a:lnTo>
                  <a:pt x="9721" y="1197"/>
                </a:lnTo>
                <a:lnTo>
                  <a:pt x="9794" y="1123"/>
                </a:lnTo>
                <a:lnTo>
                  <a:pt x="9843" y="1026"/>
                </a:lnTo>
                <a:lnTo>
                  <a:pt x="9867" y="953"/>
                </a:lnTo>
                <a:lnTo>
                  <a:pt x="9867" y="855"/>
                </a:lnTo>
                <a:lnTo>
                  <a:pt x="9867" y="757"/>
                </a:lnTo>
                <a:lnTo>
                  <a:pt x="9843" y="659"/>
                </a:lnTo>
                <a:lnTo>
                  <a:pt x="9794" y="586"/>
                </a:lnTo>
                <a:lnTo>
                  <a:pt x="9721" y="513"/>
                </a:lnTo>
                <a:lnTo>
                  <a:pt x="9647" y="440"/>
                </a:lnTo>
                <a:lnTo>
                  <a:pt x="9574" y="391"/>
                </a:lnTo>
                <a:lnTo>
                  <a:pt x="9476" y="366"/>
                </a:lnTo>
                <a:lnTo>
                  <a:pt x="9281" y="366"/>
                </a:lnTo>
                <a:lnTo>
                  <a:pt x="9208" y="391"/>
                </a:lnTo>
                <a:lnTo>
                  <a:pt x="9110" y="440"/>
                </a:lnTo>
                <a:lnTo>
                  <a:pt x="9037" y="513"/>
                </a:lnTo>
                <a:lnTo>
                  <a:pt x="7889" y="1661"/>
                </a:lnTo>
                <a:lnTo>
                  <a:pt x="7840" y="1490"/>
                </a:lnTo>
                <a:lnTo>
                  <a:pt x="7620" y="318"/>
                </a:lnTo>
                <a:lnTo>
                  <a:pt x="7596" y="195"/>
                </a:lnTo>
                <a:lnTo>
                  <a:pt x="7547" y="98"/>
                </a:lnTo>
                <a:lnTo>
                  <a:pt x="7498" y="49"/>
                </a:lnTo>
                <a:lnTo>
                  <a:pt x="7425"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editAs="oneCell">
    <xdr:from>
      <xdr:col>1</xdr:col>
      <xdr:colOff>2946</xdr:colOff>
      <xdr:row>32</xdr:row>
      <xdr:rowOff>365019</xdr:rowOff>
    </xdr:from>
    <xdr:to>
      <xdr:col>5</xdr:col>
      <xdr:colOff>57149</xdr:colOff>
      <xdr:row>35</xdr:row>
      <xdr:rowOff>81598</xdr:rowOff>
    </xdr:to>
    <xdr:pic>
      <xdr:nvPicPr>
        <xdr:cNvPr id="42" name="Picture 41">
          <a:hlinkClick xmlns:r="http://schemas.openxmlformats.org/officeDocument/2006/relationships" r:id="rId9" tooltip="Ghé thăm Blog để nhận nhiều phần quà hấp dẫn khác!"/>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88696" y="8623194"/>
          <a:ext cx="2759303" cy="4690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600075</xdr:colOff>
      <xdr:row>12</xdr:row>
      <xdr:rowOff>152400</xdr:rowOff>
    </xdr:to>
    <xdr:pic>
      <xdr:nvPicPr>
        <xdr:cNvPr id="4" name="Header artwork" descr="Picture of hot air balloons in the sky" title="Personal Details artwork">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duotone>
            <a:prstClr val="black"/>
            <a:srgbClr val="00B0F0">
              <a:tint val="45000"/>
              <a:satMod val="400000"/>
            </a:srgbClr>
          </a:duotone>
          <a:extLst>
            <a:ext uri="{BEBA8EAE-BF5A-486C-A8C5-ECC9F3942E4B}">
              <a14:imgProps xmlns:a14="http://schemas.microsoft.com/office/drawing/2010/main">
                <a14:imgLayer r:embed="rId2">
                  <a14:imgEffect>
                    <a14:backgroundRemoval t="0" b="100000" l="105" r="100000"/>
                  </a14:imgEffect>
                </a14:imgLayer>
              </a14:imgProps>
            </a:ext>
            <a:ext uri="{28A0092B-C50C-407E-A947-70E740481C1C}">
              <a14:useLocalDpi xmlns:a14="http://schemas.microsoft.com/office/drawing/2010/main" val="0"/>
            </a:ext>
          </a:extLst>
        </a:blip>
        <a:srcRect/>
        <a:stretch/>
      </xdr:blipFill>
      <xdr:spPr>
        <a:xfrm>
          <a:off x="0" y="0"/>
          <a:ext cx="11016615" cy="2354580"/>
        </a:xfrm>
        <a:prstGeom prst="rect">
          <a:avLst/>
        </a:prstGeom>
        <a:noFill/>
        <a:ln>
          <a:noFill/>
        </a:ln>
      </xdr:spPr>
    </xdr:pic>
    <xdr:clientData/>
  </xdr:twoCellAnchor>
  <xdr:twoCellAnchor editAs="absolute">
    <xdr:from>
      <xdr:col>4</xdr:col>
      <xdr:colOff>413148</xdr:colOff>
      <xdr:row>2</xdr:row>
      <xdr:rowOff>126206</xdr:rowOff>
    </xdr:from>
    <xdr:to>
      <xdr:col>8</xdr:col>
      <xdr:colOff>536956</xdr:colOff>
      <xdr:row>10</xdr:row>
      <xdr:rowOff>158857</xdr:rowOff>
    </xdr:to>
    <xdr:grpSp>
      <xdr:nvGrpSpPr>
        <xdr:cNvPr id="10" name="Personal Information" descr="&quot;&quot;" title="Personal Information">
          <a:extLst>
            <a:ext uri="{FF2B5EF4-FFF2-40B4-BE49-F238E27FC236}">
              <a16:creationId xmlns:a16="http://schemas.microsoft.com/office/drawing/2014/main" id="{00000000-0008-0000-0400-00000A000000}"/>
            </a:ext>
          </a:extLst>
        </xdr:cNvPr>
        <xdr:cNvGrpSpPr/>
      </xdr:nvGrpSpPr>
      <xdr:grpSpPr>
        <a:xfrm>
          <a:off x="4194573" y="507206"/>
          <a:ext cx="2562208" cy="1556651"/>
          <a:chOff x="4067513" y="381000"/>
          <a:chExt cx="2425930" cy="1542321"/>
        </a:xfrm>
      </xdr:grpSpPr>
      <xdr:pic>
        <xdr:nvPicPr>
          <xdr:cNvPr id="11" name="Title Artwork" descr="&quot;&quot;" title="Personal Information">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12" name="Title">
            <a:extLst>
              <a:ext uri="{FF2B5EF4-FFF2-40B4-BE49-F238E27FC236}">
                <a16:creationId xmlns:a16="http://schemas.microsoft.com/office/drawing/2014/main" id="{00000000-0008-0000-0400-00000C000000}"/>
              </a:ext>
            </a:extLst>
          </xdr:cNvPr>
          <xdr:cNvSpPr txBox="1"/>
        </xdr:nvSpPr>
        <xdr:spPr>
          <a:xfrm>
            <a:off x="4171950" y="590260"/>
            <a:ext cx="2219324"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5400">
                <a:solidFill>
                  <a:schemeClr val="accent5">
                    <a:lumMod val="75000"/>
                  </a:schemeClr>
                </a:solidFill>
                <a:latin typeface="Freestyle Script" pitchFamily="66" charset="0"/>
              </a:rPr>
              <a:t>Statistics</a:t>
            </a:r>
          </a:p>
        </xdr:txBody>
      </xdr:sp>
      <xdr:sp macro="" textlink="">
        <xdr:nvSpPr>
          <xdr:cNvPr id="13" name="Subtitle">
            <a:extLst>
              <a:ext uri="{FF2B5EF4-FFF2-40B4-BE49-F238E27FC236}">
                <a16:creationId xmlns:a16="http://schemas.microsoft.com/office/drawing/2014/main" id="{00000000-0008-0000-0400-00000D000000}"/>
              </a:ext>
            </a:extLst>
          </xdr:cNvPr>
          <xdr:cNvSpPr txBox="1"/>
        </xdr:nvSpPr>
        <xdr:spPr>
          <a:xfrm>
            <a:off x="4067513" y="1291072"/>
            <a:ext cx="2425930" cy="632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KÊ HỌC TẬP</a:t>
            </a:r>
            <a:endPar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oneCell">
    <xdr:from>
      <xdr:col>1</xdr:col>
      <xdr:colOff>571500</xdr:colOff>
      <xdr:row>24</xdr:row>
      <xdr:rowOff>8923</xdr:rowOff>
    </xdr:from>
    <xdr:to>
      <xdr:col>3</xdr:col>
      <xdr:colOff>161925</xdr:colOff>
      <xdr:row>29</xdr:row>
      <xdr:rowOff>160022</xdr:rowOff>
    </xdr:to>
    <xdr:pic>
      <xdr:nvPicPr>
        <xdr:cNvPr id="14" name="Picture 13">
          <a:hlinkClick xmlns:r="http://schemas.openxmlformats.org/officeDocument/2006/relationships" r:id="rId4" tooltip="Hãy nhớ rằng: &quot;Máy bay cất cánh được là nhờ NGƯỢC GIÓ&quot;"/>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5" cstate="print">
          <a:duotone>
            <a:schemeClr val="accent5">
              <a:shade val="45000"/>
              <a:satMod val="135000"/>
            </a:schemeClr>
            <a:prstClr val="white"/>
          </a:duotone>
          <a:extLst>
            <a:ext uri="{BEBA8EAE-BF5A-486C-A8C5-ECC9F3942E4B}">
              <a14:imgProps xmlns:a14="http://schemas.microsoft.com/office/drawing/2010/main">
                <a14:imgLayer r:embed="rId6">
                  <a14:imgEffect>
                    <a14:colorTemperature colorTemp="7054"/>
                  </a14:imgEffect>
                  <a14:imgEffect>
                    <a14:saturation sat="190000"/>
                  </a14:imgEffect>
                </a14:imgLayer>
              </a14:imgProps>
            </a:ext>
            <a:ext uri="{28A0092B-C50C-407E-A947-70E740481C1C}">
              <a14:useLocalDpi xmlns:a14="http://schemas.microsoft.com/office/drawing/2010/main" val="0"/>
            </a:ext>
          </a:extLst>
        </a:blip>
        <a:stretch>
          <a:fillRect/>
        </a:stretch>
      </xdr:blipFill>
      <xdr:spPr>
        <a:xfrm>
          <a:off x="1026583" y="4972506"/>
          <a:ext cx="2754842" cy="1114183"/>
        </a:xfrm>
        <a:prstGeom prst="rect">
          <a:avLst/>
        </a:prstGeom>
        <a:noFill/>
      </xdr:spPr>
    </xdr:pic>
    <xdr:clientData/>
  </xdr:twoCellAnchor>
  <xdr:twoCellAnchor>
    <xdr:from>
      <xdr:col>5</xdr:col>
      <xdr:colOff>561975</xdr:colOff>
      <xdr:row>25</xdr:row>
      <xdr:rowOff>52387</xdr:rowOff>
    </xdr:from>
    <xdr:to>
      <xdr:col>10</xdr:col>
      <xdr:colOff>990600</xdr:colOff>
      <xdr:row>39</xdr:row>
      <xdr:rowOff>109537</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238125</xdr:colOff>
      <xdr:row>4</xdr:row>
      <xdr:rowOff>85725</xdr:rowOff>
    </xdr:from>
    <xdr:to>
      <xdr:col>1</xdr:col>
      <xdr:colOff>1895487</xdr:colOff>
      <xdr:row>6</xdr:row>
      <xdr:rowOff>179614</xdr:rowOff>
    </xdr:to>
    <xdr:grpSp>
      <xdr:nvGrpSpPr>
        <xdr:cNvPr id="16" name="Home" descr="&quot;&quot;" title="Home button">
          <a:hlinkClick xmlns:r="http://schemas.openxmlformats.org/officeDocument/2006/relationships" r:id="rId8" tooltip="Click vào đây để quay lại KẾT QUẢ HỌC TẬP"/>
          <a:extLst>
            <a:ext uri="{FF2B5EF4-FFF2-40B4-BE49-F238E27FC236}">
              <a16:creationId xmlns:a16="http://schemas.microsoft.com/office/drawing/2014/main" id="{00000000-0008-0000-0400-000010000000}"/>
            </a:ext>
          </a:extLst>
        </xdr:cNvPr>
        <xdr:cNvGrpSpPr/>
      </xdr:nvGrpSpPr>
      <xdr:grpSpPr>
        <a:xfrm>
          <a:off x="238125" y="847725"/>
          <a:ext cx="2057412" cy="474889"/>
          <a:chOff x="9086845" y="466726"/>
          <a:chExt cx="952505" cy="484414"/>
        </a:xfrm>
      </xdr:grpSpPr>
      <xdr:pic>
        <xdr:nvPicPr>
          <xdr:cNvPr id="17" name="Picture 16" descr="Click to return to the Home sheet" title="Home button">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9"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9086845" y="537223"/>
            <a:ext cx="948090" cy="327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800" b="1" i="1">
                <a:solidFill>
                  <a:schemeClr val="accent5">
                    <a:lumMod val="20000"/>
                    <a:lumOff val="80000"/>
                  </a:schemeClr>
                </a:solidFill>
                <a:latin typeface="Segoe UI" panose="020B0502040204020203" pitchFamily="34" charset="0"/>
                <a:cs typeface="Segoe UI" panose="020B0502040204020203" pitchFamily="34" charset="0"/>
              </a:rPr>
              <a:t>Kết</a:t>
            </a:r>
            <a:r>
              <a:rPr lang="en-US" sz="1800" b="1" i="1" baseline="0">
                <a:solidFill>
                  <a:schemeClr val="accent5">
                    <a:lumMod val="20000"/>
                    <a:lumOff val="80000"/>
                  </a:schemeClr>
                </a:solidFill>
                <a:latin typeface="Segoe UI" panose="020B0502040204020203" pitchFamily="34" charset="0"/>
                <a:cs typeface="Segoe UI" panose="020B0502040204020203" pitchFamily="34" charset="0"/>
              </a:rPr>
              <a:t> quả học tập</a:t>
            </a:r>
            <a:endParaRPr lang="en-US" sz="1800" b="1" i="1">
              <a:solidFill>
                <a:schemeClr val="accent5">
                  <a:lumMod val="20000"/>
                  <a:lumOff val="80000"/>
                </a:schemeClr>
              </a:solidFill>
              <a:latin typeface="Segoe UI" panose="020B0502040204020203" pitchFamily="34" charset="0"/>
              <a:cs typeface="Segoe UI" panose="020B0502040204020203" pitchFamily="34" charset="0"/>
            </a:endParaRPr>
          </a:p>
        </xdr:txBody>
      </xdr:sp>
    </xdr:grpSp>
    <xdr:clientData/>
  </xdr:twoCellAnchor>
  <xdr:twoCellAnchor>
    <xdr:from>
      <xdr:col>5</xdr:col>
      <xdr:colOff>561976</xdr:colOff>
      <xdr:row>14</xdr:row>
      <xdr:rowOff>238127</xdr:rowOff>
    </xdr:from>
    <xdr:to>
      <xdr:col>8</xdr:col>
      <xdr:colOff>9526</xdr:colOff>
      <xdr:row>32</xdr:row>
      <xdr:rowOff>71436</xdr:rowOff>
    </xdr:to>
    <xdr:cxnSp macro="">
      <xdr:nvCxnSpPr>
        <xdr:cNvPr id="20" name="Elbow Connector 19">
          <a:extLst>
            <a:ext uri="{FF2B5EF4-FFF2-40B4-BE49-F238E27FC236}">
              <a16:creationId xmlns:a16="http://schemas.microsoft.com/office/drawing/2014/main" id="{00000000-0008-0000-0400-000014000000}"/>
            </a:ext>
          </a:extLst>
        </xdr:cNvPr>
        <xdr:cNvCxnSpPr>
          <a:endCxn id="15" idx="1"/>
        </xdr:cNvCxnSpPr>
      </xdr:nvCxnSpPr>
      <xdr:spPr>
        <a:xfrm rot="5400000">
          <a:off x="3683796" y="4174332"/>
          <a:ext cx="3814759" cy="1276350"/>
        </a:xfrm>
        <a:prstGeom prst="bentConnector4">
          <a:avLst>
            <a:gd name="adj1" fmla="val 561"/>
            <a:gd name="adj2" fmla="val 117910"/>
          </a:avLst>
        </a:prstGeom>
        <a:ln>
          <a:solidFill>
            <a:schemeClr val="accent5">
              <a:lumMod val="75000"/>
            </a:schemeClr>
          </a:solidFill>
          <a:prstDash val="dash"/>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38100</xdr:colOff>
      <xdr:row>40</xdr:row>
      <xdr:rowOff>76200</xdr:rowOff>
    </xdr:from>
    <xdr:to>
      <xdr:col>10</xdr:col>
      <xdr:colOff>990600</xdr:colOff>
      <xdr:row>42</xdr:row>
      <xdr:rowOff>179614</xdr:rowOff>
    </xdr:to>
    <xdr:grpSp>
      <xdr:nvGrpSpPr>
        <xdr:cNvPr id="26" name="Home" descr="&quot;&quot;" title="Home button">
          <a:hlinkClick xmlns:r="http://schemas.openxmlformats.org/officeDocument/2006/relationships" r:id="rId10" tooltip="Click vào để quay lại trang MỤC TIÊU"/>
          <a:extLst>
            <a:ext uri="{FF2B5EF4-FFF2-40B4-BE49-F238E27FC236}">
              <a16:creationId xmlns:a16="http://schemas.microsoft.com/office/drawing/2014/main" id="{00000000-0008-0000-0400-00001A000000}"/>
            </a:ext>
          </a:extLst>
        </xdr:cNvPr>
        <xdr:cNvGrpSpPr/>
      </xdr:nvGrpSpPr>
      <xdr:grpSpPr>
        <a:xfrm>
          <a:off x="8572500" y="8248650"/>
          <a:ext cx="952500" cy="484414"/>
          <a:chOff x="9086850" y="466726"/>
          <a:chExt cx="952500" cy="484414"/>
        </a:xfrm>
      </xdr:grpSpPr>
      <xdr:pic>
        <xdr:nvPicPr>
          <xdr:cNvPr id="27" name="Picture 26" descr="Click to return to the Home sheet" title="Home button">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9"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9342912" y="523875"/>
            <a:ext cx="445122"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chemeClr val="accent5">
                    <a:lumMod val="20000"/>
                    <a:lumOff val="80000"/>
                  </a:schemeClr>
                </a:solidFill>
                <a:latin typeface="Freestyle Script" pitchFamily="66" charset="0"/>
              </a:rPr>
              <a:t>Back</a:t>
            </a:r>
          </a:p>
        </xdr:txBody>
      </xdr:sp>
    </xdr:grpSp>
    <xdr:clientData/>
  </xdr:twoCellAnchor>
  <xdr:twoCellAnchor>
    <xdr:from>
      <xdr:col>5</xdr:col>
      <xdr:colOff>571501</xdr:colOff>
      <xdr:row>21</xdr:row>
      <xdr:rowOff>91776</xdr:rowOff>
    </xdr:from>
    <xdr:to>
      <xdr:col>7</xdr:col>
      <xdr:colOff>222251</xdr:colOff>
      <xdr:row>24</xdr:row>
      <xdr:rowOff>182448</xdr:rowOff>
    </xdr:to>
    <xdr:grpSp>
      <xdr:nvGrpSpPr>
        <xdr:cNvPr id="35" name="Shape 622">
          <a:extLst>
            <a:ext uri="{FF2B5EF4-FFF2-40B4-BE49-F238E27FC236}">
              <a16:creationId xmlns:a16="http://schemas.microsoft.com/office/drawing/2014/main" id="{00000000-0008-0000-0400-000023000000}"/>
            </a:ext>
          </a:extLst>
        </xdr:cNvPr>
        <xdr:cNvGrpSpPr/>
      </xdr:nvGrpSpPr>
      <xdr:grpSpPr>
        <a:xfrm>
          <a:off x="4962526" y="4549476"/>
          <a:ext cx="869950" cy="719322"/>
          <a:chOff x="4610450" y="3703750"/>
          <a:chExt cx="453050" cy="332175"/>
        </a:xfrm>
        <a:solidFill>
          <a:schemeClr val="accent5">
            <a:lumMod val="75000"/>
          </a:schemeClr>
        </a:solidFill>
      </xdr:grpSpPr>
      <xdr:sp macro="" textlink="">
        <xdr:nvSpPr>
          <xdr:cNvPr id="36" name="Shape 623">
            <a:extLst>
              <a:ext uri="{FF2B5EF4-FFF2-40B4-BE49-F238E27FC236}">
                <a16:creationId xmlns:a16="http://schemas.microsoft.com/office/drawing/2014/main" id="{00000000-0008-0000-0400-000024000000}"/>
              </a:ext>
            </a:extLst>
          </xdr:cNvPr>
          <xdr:cNvSpPr/>
        </xdr:nvSpPr>
        <xdr:spPr>
          <a:xfrm>
            <a:off x="4610450" y="3703750"/>
            <a:ext cx="453050" cy="332175"/>
          </a:xfrm>
          <a:custGeom>
            <a:avLst/>
            <a:gdLst/>
            <a:ahLst/>
            <a:cxnLst/>
            <a:rect l="0" t="0" r="0" b="0"/>
            <a:pathLst>
              <a:path w="18122" h="13287" extrusionOk="0">
                <a:moveTo>
                  <a:pt x="366" y="0"/>
                </a:moveTo>
                <a:lnTo>
                  <a:pt x="293" y="49"/>
                </a:lnTo>
                <a:lnTo>
                  <a:pt x="195" y="74"/>
                </a:lnTo>
                <a:lnTo>
                  <a:pt x="122" y="147"/>
                </a:lnTo>
                <a:lnTo>
                  <a:pt x="73" y="220"/>
                </a:lnTo>
                <a:lnTo>
                  <a:pt x="25" y="293"/>
                </a:lnTo>
                <a:lnTo>
                  <a:pt x="0" y="391"/>
                </a:lnTo>
                <a:lnTo>
                  <a:pt x="0" y="489"/>
                </a:lnTo>
                <a:lnTo>
                  <a:pt x="0" y="12798"/>
                </a:lnTo>
                <a:lnTo>
                  <a:pt x="0" y="12896"/>
                </a:lnTo>
                <a:lnTo>
                  <a:pt x="25" y="12993"/>
                </a:lnTo>
                <a:lnTo>
                  <a:pt x="73" y="13067"/>
                </a:lnTo>
                <a:lnTo>
                  <a:pt x="122" y="13140"/>
                </a:lnTo>
                <a:lnTo>
                  <a:pt x="195" y="13213"/>
                </a:lnTo>
                <a:lnTo>
                  <a:pt x="293" y="13238"/>
                </a:lnTo>
                <a:lnTo>
                  <a:pt x="366" y="13287"/>
                </a:lnTo>
                <a:lnTo>
                  <a:pt x="17756" y="13287"/>
                </a:lnTo>
                <a:lnTo>
                  <a:pt x="17829" y="13238"/>
                </a:lnTo>
                <a:lnTo>
                  <a:pt x="17927" y="13213"/>
                </a:lnTo>
                <a:lnTo>
                  <a:pt x="18000" y="13140"/>
                </a:lnTo>
                <a:lnTo>
                  <a:pt x="18049" y="13067"/>
                </a:lnTo>
                <a:lnTo>
                  <a:pt x="18098" y="12993"/>
                </a:lnTo>
                <a:lnTo>
                  <a:pt x="18122" y="12896"/>
                </a:lnTo>
                <a:lnTo>
                  <a:pt x="18122" y="12798"/>
                </a:lnTo>
                <a:lnTo>
                  <a:pt x="18122" y="12700"/>
                </a:lnTo>
                <a:lnTo>
                  <a:pt x="18098" y="12603"/>
                </a:lnTo>
                <a:lnTo>
                  <a:pt x="18049" y="12529"/>
                </a:lnTo>
                <a:lnTo>
                  <a:pt x="18000" y="12456"/>
                </a:lnTo>
                <a:lnTo>
                  <a:pt x="17927" y="12383"/>
                </a:lnTo>
                <a:lnTo>
                  <a:pt x="17829" y="12358"/>
                </a:lnTo>
                <a:lnTo>
                  <a:pt x="17756" y="12310"/>
                </a:lnTo>
                <a:lnTo>
                  <a:pt x="977" y="12310"/>
                </a:lnTo>
                <a:lnTo>
                  <a:pt x="977" y="489"/>
                </a:lnTo>
                <a:lnTo>
                  <a:pt x="953" y="391"/>
                </a:lnTo>
                <a:lnTo>
                  <a:pt x="928" y="293"/>
                </a:lnTo>
                <a:lnTo>
                  <a:pt x="879" y="220"/>
                </a:lnTo>
                <a:lnTo>
                  <a:pt x="830" y="147"/>
                </a:lnTo>
                <a:lnTo>
                  <a:pt x="757" y="74"/>
                </a:lnTo>
                <a:lnTo>
                  <a:pt x="660" y="49"/>
                </a:lnTo>
                <a:lnTo>
                  <a:pt x="586"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7" name="Shape 624">
            <a:extLst>
              <a:ext uri="{FF2B5EF4-FFF2-40B4-BE49-F238E27FC236}">
                <a16:creationId xmlns:a16="http://schemas.microsoft.com/office/drawing/2014/main" id="{00000000-0008-0000-0400-000025000000}"/>
              </a:ext>
            </a:extLst>
          </xdr:cNvPr>
          <xdr:cNvSpPr/>
        </xdr:nvSpPr>
        <xdr:spPr>
          <a:xfrm>
            <a:off x="4642200" y="3730000"/>
            <a:ext cx="389550" cy="249150"/>
          </a:xfrm>
          <a:custGeom>
            <a:avLst/>
            <a:gdLst/>
            <a:ahLst/>
            <a:cxnLst/>
            <a:rect l="0" t="0" r="0" b="0"/>
            <a:pathLst>
              <a:path w="15582" h="9966" extrusionOk="0">
                <a:moveTo>
                  <a:pt x="14752" y="1"/>
                </a:moveTo>
                <a:lnTo>
                  <a:pt x="14629" y="49"/>
                </a:lnTo>
                <a:lnTo>
                  <a:pt x="14507" y="98"/>
                </a:lnTo>
                <a:lnTo>
                  <a:pt x="14410" y="196"/>
                </a:lnTo>
                <a:lnTo>
                  <a:pt x="14336" y="294"/>
                </a:lnTo>
                <a:lnTo>
                  <a:pt x="14263" y="416"/>
                </a:lnTo>
                <a:lnTo>
                  <a:pt x="14239" y="538"/>
                </a:lnTo>
                <a:lnTo>
                  <a:pt x="14214" y="684"/>
                </a:lnTo>
                <a:lnTo>
                  <a:pt x="14239" y="831"/>
                </a:lnTo>
                <a:lnTo>
                  <a:pt x="14288" y="1002"/>
                </a:lnTo>
                <a:lnTo>
                  <a:pt x="11308" y="4372"/>
                </a:lnTo>
                <a:lnTo>
                  <a:pt x="11161" y="4323"/>
                </a:lnTo>
                <a:lnTo>
                  <a:pt x="11015" y="4299"/>
                </a:lnTo>
                <a:lnTo>
                  <a:pt x="10844" y="4323"/>
                </a:lnTo>
                <a:lnTo>
                  <a:pt x="10087" y="3005"/>
                </a:lnTo>
                <a:lnTo>
                  <a:pt x="10160" y="2907"/>
                </a:lnTo>
                <a:lnTo>
                  <a:pt x="10209" y="2809"/>
                </a:lnTo>
                <a:lnTo>
                  <a:pt x="10233" y="2687"/>
                </a:lnTo>
                <a:lnTo>
                  <a:pt x="10233" y="2565"/>
                </a:lnTo>
                <a:lnTo>
                  <a:pt x="10233" y="2418"/>
                </a:lnTo>
                <a:lnTo>
                  <a:pt x="10184" y="2296"/>
                </a:lnTo>
                <a:lnTo>
                  <a:pt x="10136" y="2174"/>
                </a:lnTo>
                <a:lnTo>
                  <a:pt x="10038" y="2077"/>
                </a:lnTo>
                <a:lnTo>
                  <a:pt x="9940" y="2003"/>
                </a:lnTo>
                <a:lnTo>
                  <a:pt x="9818" y="1930"/>
                </a:lnTo>
                <a:lnTo>
                  <a:pt x="9696" y="1906"/>
                </a:lnTo>
                <a:lnTo>
                  <a:pt x="9549" y="1881"/>
                </a:lnTo>
                <a:lnTo>
                  <a:pt x="9427" y="1906"/>
                </a:lnTo>
                <a:lnTo>
                  <a:pt x="9281" y="1930"/>
                </a:lnTo>
                <a:lnTo>
                  <a:pt x="9183" y="2003"/>
                </a:lnTo>
                <a:lnTo>
                  <a:pt x="9085" y="2077"/>
                </a:lnTo>
                <a:lnTo>
                  <a:pt x="8988" y="2174"/>
                </a:lnTo>
                <a:lnTo>
                  <a:pt x="8939" y="2296"/>
                </a:lnTo>
                <a:lnTo>
                  <a:pt x="8890" y="2418"/>
                </a:lnTo>
                <a:lnTo>
                  <a:pt x="8866" y="2565"/>
                </a:lnTo>
                <a:lnTo>
                  <a:pt x="8890" y="2663"/>
                </a:lnTo>
                <a:lnTo>
                  <a:pt x="8914" y="2785"/>
                </a:lnTo>
                <a:lnTo>
                  <a:pt x="8939" y="2883"/>
                </a:lnTo>
                <a:lnTo>
                  <a:pt x="8988" y="2956"/>
                </a:lnTo>
                <a:lnTo>
                  <a:pt x="6521" y="6668"/>
                </a:lnTo>
                <a:lnTo>
                  <a:pt x="6399" y="6644"/>
                </a:lnTo>
                <a:lnTo>
                  <a:pt x="6130" y="6644"/>
                </a:lnTo>
                <a:lnTo>
                  <a:pt x="5959" y="6717"/>
                </a:lnTo>
                <a:lnTo>
                  <a:pt x="4714" y="5398"/>
                </a:lnTo>
                <a:lnTo>
                  <a:pt x="4763" y="5252"/>
                </a:lnTo>
                <a:lnTo>
                  <a:pt x="4763" y="5105"/>
                </a:lnTo>
                <a:lnTo>
                  <a:pt x="4763" y="4958"/>
                </a:lnTo>
                <a:lnTo>
                  <a:pt x="4714" y="4836"/>
                </a:lnTo>
                <a:lnTo>
                  <a:pt x="4665" y="4714"/>
                </a:lnTo>
                <a:lnTo>
                  <a:pt x="4567" y="4617"/>
                </a:lnTo>
                <a:lnTo>
                  <a:pt x="4470" y="4543"/>
                </a:lnTo>
                <a:lnTo>
                  <a:pt x="4347" y="4470"/>
                </a:lnTo>
                <a:lnTo>
                  <a:pt x="4225" y="4446"/>
                </a:lnTo>
                <a:lnTo>
                  <a:pt x="4079" y="4421"/>
                </a:lnTo>
                <a:lnTo>
                  <a:pt x="3957" y="4446"/>
                </a:lnTo>
                <a:lnTo>
                  <a:pt x="3810" y="4470"/>
                </a:lnTo>
                <a:lnTo>
                  <a:pt x="3712" y="4543"/>
                </a:lnTo>
                <a:lnTo>
                  <a:pt x="3615" y="4617"/>
                </a:lnTo>
                <a:lnTo>
                  <a:pt x="3517" y="4714"/>
                </a:lnTo>
                <a:lnTo>
                  <a:pt x="3468" y="4836"/>
                </a:lnTo>
                <a:lnTo>
                  <a:pt x="3419" y="4958"/>
                </a:lnTo>
                <a:lnTo>
                  <a:pt x="3395" y="5105"/>
                </a:lnTo>
                <a:lnTo>
                  <a:pt x="3419" y="5276"/>
                </a:lnTo>
                <a:lnTo>
                  <a:pt x="3493" y="5447"/>
                </a:lnTo>
                <a:lnTo>
                  <a:pt x="49" y="9574"/>
                </a:lnTo>
                <a:lnTo>
                  <a:pt x="0" y="9648"/>
                </a:lnTo>
                <a:lnTo>
                  <a:pt x="0" y="9745"/>
                </a:lnTo>
                <a:lnTo>
                  <a:pt x="25" y="9843"/>
                </a:lnTo>
                <a:lnTo>
                  <a:pt x="98" y="9916"/>
                </a:lnTo>
                <a:lnTo>
                  <a:pt x="171" y="9965"/>
                </a:lnTo>
                <a:lnTo>
                  <a:pt x="244" y="9965"/>
                </a:lnTo>
                <a:lnTo>
                  <a:pt x="342" y="9941"/>
                </a:lnTo>
                <a:lnTo>
                  <a:pt x="440" y="9892"/>
                </a:lnTo>
                <a:lnTo>
                  <a:pt x="3859" y="5740"/>
                </a:lnTo>
                <a:lnTo>
                  <a:pt x="3981" y="5789"/>
                </a:lnTo>
                <a:lnTo>
                  <a:pt x="4079" y="5789"/>
                </a:lnTo>
                <a:lnTo>
                  <a:pt x="4225" y="5764"/>
                </a:lnTo>
                <a:lnTo>
                  <a:pt x="4347" y="5740"/>
                </a:lnTo>
                <a:lnTo>
                  <a:pt x="5642" y="7083"/>
                </a:lnTo>
                <a:lnTo>
                  <a:pt x="5617" y="7205"/>
                </a:lnTo>
                <a:lnTo>
                  <a:pt x="5617" y="7328"/>
                </a:lnTo>
                <a:lnTo>
                  <a:pt x="5617" y="7450"/>
                </a:lnTo>
                <a:lnTo>
                  <a:pt x="5666" y="7572"/>
                </a:lnTo>
                <a:lnTo>
                  <a:pt x="5740" y="7694"/>
                </a:lnTo>
                <a:lnTo>
                  <a:pt x="5813" y="7792"/>
                </a:lnTo>
                <a:lnTo>
                  <a:pt x="5910" y="7889"/>
                </a:lnTo>
                <a:lnTo>
                  <a:pt x="6033" y="7938"/>
                </a:lnTo>
                <a:lnTo>
                  <a:pt x="6155" y="7987"/>
                </a:lnTo>
                <a:lnTo>
                  <a:pt x="6301" y="8011"/>
                </a:lnTo>
                <a:lnTo>
                  <a:pt x="6448" y="7987"/>
                </a:lnTo>
                <a:lnTo>
                  <a:pt x="6570" y="7938"/>
                </a:lnTo>
                <a:lnTo>
                  <a:pt x="6692" y="7889"/>
                </a:lnTo>
                <a:lnTo>
                  <a:pt x="6790" y="7792"/>
                </a:lnTo>
                <a:lnTo>
                  <a:pt x="6863" y="7694"/>
                </a:lnTo>
                <a:lnTo>
                  <a:pt x="6936" y="7572"/>
                </a:lnTo>
                <a:lnTo>
                  <a:pt x="6961" y="7450"/>
                </a:lnTo>
                <a:lnTo>
                  <a:pt x="6985" y="7328"/>
                </a:lnTo>
                <a:lnTo>
                  <a:pt x="6961" y="7132"/>
                </a:lnTo>
                <a:lnTo>
                  <a:pt x="6887" y="6986"/>
                </a:lnTo>
                <a:lnTo>
                  <a:pt x="9403" y="3224"/>
                </a:lnTo>
                <a:lnTo>
                  <a:pt x="9549" y="3249"/>
                </a:lnTo>
                <a:lnTo>
                  <a:pt x="9647" y="3249"/>
                </a:lnTo>
                <a:lnTo>
                  <a:pt x="10429" y="4617"/>
                </a:lnTo>
                <a:lnTo>
                  <a:pt x="10355" y="4788"/>
                </a:lnTo>
                <a:lnTo>
                  <a:pt x="10331" y="4885"/>
                </a:lnTo>
                <a:lnTo>
                  <a:pt x="10331" y="4983"/>
                </a:lnTo>
                <a:lnTo>
                  <a:pt x="10331" y="5129"/>
                </a:lnTo>
                <a:lnTo>
                  <a:pt x="10380" y="5252"/>
                </a:lnTo>
                <a:lnTo>
                  <a:pt x="10429" y="5374"/>
                </a:lnTo>
                <a:lnTo>
                  <a:pt x="10526" y="5471"/>
                </a:lnTo>
                <a:lnTo>
                  <a:pt x="10624" y="5569"/>
                </a:lnTo>
                <a:lnTo>
                  <a:pt x="10746" y="5618"/>
                </a:lnTo>
                <a:lnTo>
                  <a:pt x="10868" y="5667"/>
                </a:lnTo>
                <a:lnTo>
                  <a:pt x="11137" y="5667"/>
                </a:lnTo>
                <a:lnTo>
                  <a:pt x="11284" y="5618"/>
                </a:lnTo>
                <a:lnTo>
                  <a:pt x="11381" y="5569"/>
                </a:lnTo>
                <a:lnTo>
                  <a:pt x="11479" y="5471"/>
                </a:lnTo>
                <a:lnTo>
                  <a:pt x="11577" y="5374"/>
                </a:lnTo>
                <a:lnTo>
                  <a:pt x="11625" y="5252"/>
                </a:lnTo>
                <a:lnTo>
                  <a:pt x="11674" y="5129"/>
                </a:lnTo>
                <a:lnTo>
                  <a:pt x="11699" y="4983"/>
                </a:lnTo>
                <a:lnTo>
                  <a:pt x="11674" y="4861"/>
                </a:lnTo>
                <a:lnTo>
                  <a:pt x="11650" y="4739"/>
                </a:lnTo>
                <a:lnTo>
                  <a:pt x="14654" y="1319"/>
                </a:lnTo>
                <a:lnTo>
                  <a:pt x="14776" y="1344"/>
                </a:lnTo>
                <a:lnTo>
                  <a:pt x="14898" y="1368"/>
                </a:lnTo>
                <a:lnTo>
                  <a:pt x="15045" y="1344"/>
                </a:lnTo>
                <a:lnTo>
                  <a:pt x="15167" y="1295"/>
                </a:lnTo>
                <a:lnTo>
                  <a:pt x="15289" y="1246"/>
                </a:lnTo>
                <a:lnTo>
                  <a:pt x="15387" y="1148"/>
                </a:lnTo>
                <a:lnTo>
                  <a:pt x="15460" y="1051"/>
                </a:lnTo>
                <a:lnTo>
                  <a:pt x="15533" y="953"/>
                </a:lnTo>
                <a:lnTo>
                  <a:pt x="15558" y="807"/>
                </a:lnTo>
                <a:lnTo>
                  <a:pt x="15582" y="684"/>
                </a:lnTo>
                <a:lnTo>
                  <a:pt x="15558" y="538"/>
                </a:lnTo>
                <a:lnTo>
                  <a:pt x="15533" y="416"/>
                </a:lnTo>
                <a:lnTo>
                  <a:pt x="15460" y="294"/>
                </a:lnTo>
                <a:lnTo>
                  <a:pt x="15387" y="196"/>
                </a:lnTo>
                <a:lnTo>
                  <a:pt x="15289" y="98"/>
                </a:lnTo>
                <a:lnTo>
                  <a:pt x="15167" y="49"/>
                </a:lnTo>
                <a:lnTo>
                  <a:pt x="15045"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editAs="oneCell">
    <xdr:from>
      <xdr:col>1</xdr:col>
      <xdr:colOff>161925</xdr:colOff>
      <xdr:row>30</xdr:row>
      <xdr:rowOff>88786</xdr:rowOff>
    </xdr:from>
    <xdr:to>
      <xdr:col>3</xdr:col>
      <xdr:colOff>40217</xdr:colOff>
      <xdr:row>32</xdr:row>
      <xdr:rowOff>165197</xdr:rowOff>
    </xdr:to>
    <xdr:pic>
      <xdr:nvPicPr>
        <xdr:cNvPr id="39" name="Picture 38">
          <a:hlinkClick xmlns:r="http://schemas.openxmlformats.org/officeDocument/2006/relationships" r:id="rId4" tooltip="Ghé thăm Blog để nhận nhiều phần quà hấp dẫn khác!"/>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61975" y="6356236"/>
          <a:ext cx="2650067" cy="457411"/>
        </a:xfrm>
        <a:prstGeom prst="rect">
          <a:avLst/>
        </a:prstGeom>
      </xdr:spPr>
    </xdr:pic>
    <xdr:clientData/>
  </xdr:twoCellAnchor>
  <xdr:twoCellAnchor editAs="absolute">
    <xdr:from>
      <xdr:col>8</xdr:col>
      <xdr:colOff>1143000</xdr:colOff>
      <xdr:row>40</xdr:row>
      <xdr:rowOff>76200</xdr:rowOff>
    </xdr:from>
    <xdr:to>
      <xdr:col>9</xdr:col>
      <xdr:colOff>647700</xdr:colOff>
      <xdr:row>42</xdr:row>
      <xdr:rowOff>179614</xdr:rowOff>
    </xdr:to>
    <xdr:grpSp>
      <xdr:nvGrpSpPr>
        <xdr:cNvPr id="21" name="Home" descr="&quot;&quot;" title="Home button">
          <a:hlinkClick xmlns:r="http://schemas.openxmlformats.org/officeDocument/2006/relationships" r:id="rId8" tooltip="Click vào để trở về trang KẾT QUẢ HỌC TẬP"/>
          <a:extLst>
            <a:ext uri="{FF2B5EF4-FFF2-40B4-BE49-F238E27FC236}">
              <a16:creationId xmlns:a16="http://schemas.microsoft.com/office/drawing/2014/main" id="{00000000-0008-0000-0400-000015000000}"/>
            </a:ext>
          </a:extLst>
        </xdr:cNvPr>
        <xdr:cNvGrpSpPr/>
      </xdr:nvGrpSpPr>
      <xdr:grpSpPr>
        <a:xfrm>
          <a:off x="7362825" y="8248650"/>
          <a:ext cx="952500" cy="484414"/>
          <a:chOff x="9086850" y="466726"/>
          <a:chExt cx="952500" cy="484414"/>
        </a:xfrm>
      </xdr:grpSpPr>
      <xdr:pic>
        <xdr:nvPicPr>
          <xdr:cNvPr id="22" name="Picture 21" descr="Click to return to the Home sheet" title="Home button">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9"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9342912" y="523875"/>
            <a:ext cx="440377"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chemeClr val="accent5">
                    <a:lumMod val="20000"/>
                    <a:lumOff val="80000"/>
                  </a:schemeClr>
                </a:solidFill>
                <a:latin typeface="Freestyle Script" pitchFamily="66" charset="0"/>
              </a:rPr>
              <a:t>Home</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179898</xdr:colOff>
      <xdr:row>4</xdr:row>
      <xdr:rowOff>66674</xdr:rowOff>
    </xdr:from>
    <xdr:to>
      <xdr:col>1</xdr:col>
      <xdr:colOff>504826</xdr:colOff>
      <xdr:row>5</xdr:row>
      <xdr:rowOff>167577</xdr:rowOff>
    </xdr:to>
    <xdr:pic>
      <xdr:nvPicPr>
        <xdr:cNvPr id="64" name="Picture 63">
          <a:extLst>
            <a:ext uri="{FF2B5EF4-FFF2-40B4-BE49-F238E27FC236}">
              <a16:creationId xmlns:a16="http://schemas.microsoft.com/office/drawing/2014/main" id="{CADBBC30-B312-4B61-B138-08DE0A3745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698" y="1190624"/>
          <a:ext cx="324928" cy="310453"/>
        </a:xfrm>
        <a:prstGeom prst="rect">
          <a:avLst/>
        </a:prstGeom>
      </xdr:spPr>
    </xdr:pic>
    <xdr:clientData/>
  </xdr:twoCellAnchor>
  <xdr:twoCellAnchor editAs="oneCell">
    <xdr:from>
      <xdr:col>1</xdr:col>
      <xdr:colOff>152400</xdr:colOff>
      <xdr:row>7</xdr:row>
      <xdr:rowOff>9524</xdr:rowOff>
    </xdr:from>
    <xdr:to>
      <xdr:col>1</xdr:col>
      <xdr:colOff>523875</xdr:colOff>
      <xdr:row>8</xdr:row>
      <xdr:rowOff>171449</xdr:rowOff>
    </xdr:to>
    <xdr:pic>
      <xdr:nvPicPr>
        <xdr:cNvPr id="71" name="Picture 70">
          <a:extLst>
            <a:ext uri="{FF2B5EF4-FFF2-40B4-BE49-F238E27FC236}">
              <a16:creationId xmlns:a16="http://schemas.microsoft.com/office/drawing/2014/main" id="{97315E7C-C334-4AE2-AE54-E088E82A001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8200" y="1762124"/>
          <a:ext cx="371475" cy="371475"/>
        </a:xfrm>
        <a:prstGeom prst="rect">
          <a:avLst/>
        </a:prstGeom>
      </xdr:spPr>
    </xdr:pic>
    <xdr:clientData/>
  </xdr:twoCellAnchor>
  <xdr:twoCellAnchor editAs="absolute">
    <xdr:from>
      <xdr:col>2</xdr:col>
      <xdr:colOff>352426</xdr:colOff>
      <xdr:row>9</xdr:row>
      <xdr:rowOff>18102</xdr:rowOff>
    </xdr:from>
    <xdr:to>
      <xdr:col>5</xdr:col>
      <xdr:colOff>400050</xdr:colOff>
      <xdr:row>13</xdr:row>
      <xdr:rowOff>109500</xdr:rowOff>
    </xdr:to>
    <xdr:grpSp>
      <xdr:nvGrpSpPr>
        <xdr:cNvPr id="81" name="Group 80">
          <a:hlinkClick xmlns:r="http://schemas.openxmlformats.org/officeDocument/2006/relationships" r:id="rId3" tooltip="Nếu có thắc mắc hay góp ý về ứng dụng vui lòng liên hệ tại đây!"/>
          <a:extLst>
            <a:ext uri="{FF2B5EF4-FFF2-40B4-BE49-F238E27FC236}">
              <a16:creationId xmlns:a16="http://schemas.microsoft.com/office/drawing/2014/main" id="{C2F5885B-3570-4B36-8A1C-95C483D34DD2}"/>
            </a:ext>
          </a:extLst>
        </xdr:cNvPr>
        <xdr:cNvGrpSpPr/>
      </xdr:nvGrpSpPr>
      <xdr:grpSpPr>
        <a:xfrm>
          <a:off x="1571626" y="2189802"/>
          <a:ext cx="1876424" cy="939123"/>
          <a:chOff x="1600201" y="2351727"/>
          <a:chExt cx="1809750" cy="939123"/>
        </a:xfrm>
      </xdr:grpSpPr>
      <xdr:sp macro="" textlink="">
        <xdr:nvSpPr>
          <xdr:cNvPr id="80" name="Rectangle: Rounded Corners 79">
            <a:extLst>
              <a:ext uri="{FF2B5EF4-FFF2-40B4-BE49-F238E27FC236}">
                <a16:creationId xmlns:a16="http://schemas.microsoft.com/office/drawing/2014/main" id="{99280902-F663-46ED-AEF5-9CDA96AE964F}"/>
              </a:ext>
            </a:extLst>
          </xdr:cNvPr>
          <xdr:cNvSpPr/>
        </xdr:nvSpPr>
        <xdr:spPr>
          <a:xfrm>
            <a:off x="1600201" y="2458970"/>
            <a:ext cx="1809750" cy="722379"/>
          </a:xfrm>
          <a:prstGeom prst="round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latin typeface="Segoe UI Black" panose="020B0A02040204020203" pitchFamily="34" charset="0"/>
                <a:ea typeface="Segoe UI Black" panose="020B0A02040204020203" pitchFamily="34" charset="0"/>
                <a:cs typeface="Segoe UI Black" panose="020B0A02040204020203" pitchFamily="34" charset="0"/>
              </a:rPr>
              <a:t>LIÊN</a:t>
            </a:r>
            <a:r>
              <a:rPr lang="en-US" sz="1400" baseline="0">
                <a:latin typeface="Segoe UI Black" panose="020B0A02040204020203" pitchFamily="34" charset="0"/>
                <a:ea typeface="Segoe UI Black" panose="020B0A02040204020203" pitchFamily="34" charset="0"/>
                <a:cs typeface="Segoe UI Black" panose="020B0A02040204020203" pitchFamily="34" charset="0"/>
              </a:rPr>
              <a:t> HỆ</a:t>
            </a:r>
            <a:endParaRPr lang="vi-VN" sz="1100">
              <a:latin typeface="Segoe UI Black" panose="020B0A02040204020203" pitchFamily="34" charset="0"/>
              <a:ea typeface="Segoe UI Black" panose="020B0A02040204020203" pitchFamily="34" charset="0"/>
              <a:cs typeface="Segoe UI Black" panose="020B0A02040204020203" pitchFamily="34" charset="0"/>
            </a:endParaRPr>
          </a:p>
        </xdr:txBody>
      </xdr:sp>
      <xdr:pic>
        <xdr:nvPicPr>
          <xdr:cNvPr id="75" name="Picture 74">
            <a:extLst>
              <a:ext uri="{FF2B5EF4-FFF2-40B4-BE49-F238E27FC236}">
                <a16:creationId xmlns:a16="http://schemas.microsoft.com/office/drawing/2014/main" id="{255C88B0-87F8-4D06-A64C-EF20138B62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4449" y="2351727"/>
            <a:ext cx="939123" cy="939123"/>
          </a:xfrm>
          <a:prstGeom prst="rect">
            <a:avLst/>
          </a:prstGeom>
        </xdr:spPr>
      </xdr:pic>
    </xdr:grpSp>
    <xdr:clientData/>
  </xdr:twoCellAnchor>
  <xdr:twoCellAnchor editAs="oneCell">
    <xdr:from>
      <xdr:col>1</xdr:col>
      <xdr:colOff>177056</xdr:colOff>
      <xdr:row>1</xdr:row>
      <xdr:rowOff>151249</xdr:rowOff>
    </xdr:from>
    <xdr:to>
      <xdr:col>1</xdr:col>
      <xdr:colOff>515424</xdr:colOff>
      <xdr:row>3</xdr:row>
      <xdr:rowOff>13367</xdr:rowOff>
    </xdr:to>
    <xdr:pic>
      <xdr:nvPicPr>
        <xdr:cNvPr id="79" name="Picture 78">
          <a:extLst>
            <a:ext uri="{FF2B5EF4-FFF2-40B4-BE49-F238E27FC236}">
              <a16:creationId xmlns:a16="http://schemas.microsoft.com/office/drawing/2014/main" id="{2D508516-2969-4C6F-ADEC-7855C3C3C43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862856" y="589399"/>
          <a:ext cx="338368" cy="338368"/>
        </a:xfrm>
        <a:prstGeom prst="rect">
          <a:avLst/>
        </a:prstGeom>
      </xdr:spPr>
    </xdr:pic>
    <xdr:clientData/>
  </xdr:twoCellAnchor>
  <xdr:twoCellAnchor>
    <xdr:from>
      <xdr:col>7</xdr:col>
      <xdr:colOff>171451</xdr:colOff>
      <xdr:row>13</xdr:row>
      <xdr:rowOff>19049</xdr:rowOff>
    </xdr:from>
    <xdr:to>
      <xdr:col>9</xdr:col>
      <xdr:colOff>588075</xdr:colOff>
      <xdr:row>17</xdr:row>
      <xdr:rowOff>144595</xdr:rowOff>
    </xdr:to>
    <xdr:grpSp>
      <xdr:nvGrpSpPr>
        <xdr:cNvPr id="87" name="Group 86">
          <a:hlinkClick xmlns:r="http://schemas.openxmlformats.org/officeDocument/2006/relationships" r:id="rId6" tooltip="Kiểm tra và tải KD Study phiên bản mới nhất!"/>
          <a:extLst>
            <a:ext uri="{FF2B5EF4-FFF2-40B4-BE49-F238E27FC236}">
              <a16:creationId xmlns:a16="http://schemas.microsoft.com/office/drawing/2014/main" id="{3EB38D17-3496-4E26-A9CC-FEEE57F49827}"/>
            </a:ext>
          </a:extLst>
        </xdr:cNvPr>
        <xdr:cNvGrpSpPr/>
      </xdr:nvGrpSpPr>
      <xdr:grpSpPr>
        <a:xfrm>
          <a:off x="4438651" y="3038474"/>
          <a:ext cx="1873949" cy="1058996"/>
          <a:chOff x="381000" y="7162800"/>
          <a:chExt cx="2285999" cy="1268546"/>
        </a:xfrm>
      </xdr:grpSpPr>
      <xdr:sp macro="" textlink="">
        <xdr:nvSpPr>
          <xdr:cNvPr id="88" name="Rectangle: Rounded Corners 87">
            <a:extLst>
              <a:ext uri="{FF2B5EF4-FFF2-40B4-BE49-F238E27FC236}">
                <a16:creationId xmlns:a16="http://schemas.microsoft.com/office/drawing/2014/main" id="{49CAB090-C508-420D-B437-82BF5A6DF212}"/>
              </a:ext>
            </a:extLst>
          </xdr:cNvPr>
          <xdr:cNvSpPr/>
        </xdr:nvSpPr>
        <xdr:spPr>
          <a:xfrm>
            <a:off x="539292" y="7526270"/>
            <a:ext cx="2127707" cy="722378"/>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a:latin typeface="Segoe UI Black" panose="020B0A02040204020203" pitchFamily="34" charset="0"/>
                <a:ea typeface="Segoe UI Black" panose="020B0A02040204020203" pitchFamily="34" charset="0"/>
                <a:cs typeface="Segoe UI Black" panose="020B0A02040204020203" pitchFamily="34" charset="0"/>
              </a:rPr>
              <a:t>UPDATE</a:t>
            </a:r>
            <a:br>
              <a:rPr lang="en-US" sz="1200" baseline="0">
                <a:latin typeface="Segoe UI Black" panose="020B0A02040204020203" pitchFamily="34" charset="0"/>
                <a:ea typeface="Segoe UI Black" panose="020B0A02040204020203" pitchFamily="34" charset="0"/>
                <a:cs typeface="Segoe UI Black" panose="020B0A02040204020203" pitchFamily="34" charset="0"/>
              </a:rPr>
            </a:br>
            <a:r>
              <a:rPr lang="en-US" sz="1200" baseline="0">
                <a:latin typeface="Segoe UI Black" panose="020B0A02040204020203" pitchFamily="34" charset="0"/>
                <a:ea typeface="Segoe UI Black" panose="020B0A02040204020203" pitchFamily="34" charset="0"/>
                <a:cs typeface="Segoe UI Black" panose="020B0A02040204020203" pitchFamily="34" charset="0"/>
              </a:rPr>
              <a:t>KD STUDY</a:t>
            </a:r>
            <a:endParaRPr lang="vi-VN" sz="1050">
              <a:latin typeface="Segoe UI Black" panose="020B0A02040204020203" pitchFamily="34" charset="0"/>
              <a:ea typeface="Segoe UI Black" panose="020B0A02040204020203" pitchFamily="34" charset="0"/>
              <a:cs typeface="Segoe UI Black" panose="020B0A02040204020203" pitchFamily="34" charset="0"/>
            </a:endParaRPr>
          </a:p>
        </xdr:txBody>
      </xdr:sp>
      <xdr:pic>
        <xdr:nvPicPr>
          <xdr:cNvPr id="89" name="Picture 88">
            <a:extLst>
              <a:ext uri="{FF2B5EF4-FFF2-40B4-BE49-F238E27FC236}">
                <a16:creationId xmlns:a16="http://schemas.microsoft.com/office/drawing/2014/main" id="{606A5BFC-1A34-4888-B242-3DDF318CCC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1000" y="7162800"/>
            <a:ext cx="1268546" cy="1268546"/>
          </a:xfrm>
          <a:prstGeom prst="rect">
            <a:avLst/>
          </a:prstGeom>
        </xdr:spPr>
      </xdr:pic>
    </xdr:grpSp>
    <xdr:clientData/>
  </xdr:twoCellAnchor>
  <xdr:twoCellAnchor editAs="oneCell">
    <xdr:from>
      <xdr:col>9</xdr:col>
      <xdr:colOff>257176</xdr:colOff>
      <xdr:row>0</xdr:row>
      <xdr:rowOff>285750</xdr:rowOff>
    </xdr:from>
    <xdr:to>
      <xdr:col>15</xdr:col>
      <xdr:colOff>285750</xdr:colOff>
      <xdr:row>3</xdr:row>
      <xdr:rowOff>40868</xdr:rowOff>
    </xdr:to>
    <xdr:grpSp>
      <xdr:nvGrpSpPr>
        <xdr:cNvPr id="95" name="Group 94">
          <a:hlinkClick xmlns:r="http://schemas.openxmlformats.org/officeDocument/2006/relationships" r:id="rId8" tooltip="Xem thêm các công cụ tiện ích khác bằng Excel!"/>
          <a:extLst>
            <a:ext uri="{FF2B5EF4-FFF2-40B4-BE49-F238E27FC236}">
              <a16:creationId xmlns:a16="http://schemas.microsoft.com/office/drawing/2014/main" id="{B6D03046-C95C-4F9A-BF2B-89F302BFE3FC}"/>
            </a:ext>
          </a:extLst>
        </xdr:cNvPr>
        <xdr:cNvGrpSpPr/>
      </xdr:nvGrpSpPr>
      <xdr:grpSpPr>
        <a:xfrm>
          <a:off x="5981701" y="285750"/>
          <a:ext cx="3686174" cy="669518"/>
          <a:chOff x="742951" y="4067175"/>
          <a:chExt cx="3705224" cy="669518"/>
        </a:xfrm>
      </xdr:grpSpPr>
      <xdr:sp macro="" textlink="">
        <xdr:nvSpPr>
          <xdr:cNvPr id="93" name="Rectangle: Rounded Corners 92">
            <a:extLst>
              <a:ext uri="{FF2B5EF4-FFF2-40B4-BE49-F238E27FC236}">
                <a16:creationId xmlns:a16="http://schemas.microsoft.com/office/drawing/2014/main" id="{FBB08D83-58CA-47E1-AB5E-9D53B7160325}"/>
              </a:ext>
            </a:extLst>
          </xdr:cNvPr>
          <xdr:cNvSpPr/>
        </xdr:nvSpPr>
        <xdr:spPr>
          <a:xfrm>
            <a:off x="742951" y="4202045"/>
            <a:ext cx="3705224" cy="465205"/>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050" baseline="0">
                <a:latin typeface="Segoe UI Black" panose="020B0A02040204020203" pitchFamily="34" charset="0"/>
                <a:ea typeface="Segoe UI Black" panose="020B0A02040204020203" pitchFamily="34" charset="0"/>
                <a:cs typeface="Segoe UI Black" panose="020B0A02040204020203" pitchFamily="34" charset="0"/>
              </a:rPr>
              <a:t>CÁC CÔNG CỤ </a:t>
            </a:r>
            <a:r>
              <a:rPr lang="en-US" sz="1600" baseline="0">
                <a:latin typeface="Segoe UI Black" panose="020B0A02040204020203" pitchFamily="34" charset="0"/>
                <a:ea typeface="Segoe UI Black" panose="020B0A02040204020203" pitchFamily="34" charset="0"/>
                <a:cs typeface="Segoe UI Black" panose="020B0A02040204020203" pitchFamily="34" charset="0"/>
              </a:rPr>
              <a:t>EXCEL</a:t>
            </a:r>
            <a:r>
              <a:rPr lang="en-US" sz="1050" baseline="0">
                <a:latin typeface="Segoe UI Black" panose="020B0A02040204020203" pitchFamily="34" charset="0"/>
                <a:ea typeface="Segoe UI Black" panose="020B0A02040204020203" pitchFamily="34" charset="0"/>
                <a:cs typeface="Segoe UI Black" panose="020B0A02040204020203" pitchFamily="34" charset="0"/>
              </a:rPr>
              <a:t> HẤP DẪN KHÁC</a:t>
            </a:r>
            <a:endParaRPr lang="vi-VN" sz="900">
              <a:latin typeface="Segoe UI Black" panose="020B0A02040204020203" pitchFamily="34" charset="0"/>
              <a:ea typeface="Segoe UI Black" panose="020B0A02040204020203" pitchFamily="34" charset="0"/>
              <a:cs typeface="Segoe UI Black" panose="020B0A02040204020203" pitchFamily="34" charset="0"/>
            </a:endParaRPr>
          </a:p>
        </xdr:txBody>
      </xdr:sp>
      <xdr:pic>
        <xdr:nvPicPr>
          <xdr:cNvPr id="91" name="Picture 90">
            <a:extLst>
              <a:ext uri="{FF2B5EF4-FFF2-40B4-BE49-F238E27FC236}">
                <a16:creationId xmlns:a16="http://schemas.microsoft.com/office/drawing/2014/main" id="{456D85A9-66D3-4F91-B84F-A6E20E49ED1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66776" y="4067175"/>
            <a:ext cx="669518" cy="669518"/>
          </a:xfrm>
          <a:prstGeom prst="rect">
            <a:avLst/>
          </a:prstGeom>
        </xdr:spPr>
      </xdr:pic>
    </xdr:grpSp>
    <xdr:clientData/>
  </xdr:twoCellAnchor>
  <xdr:twoCellAnchor editAs="oneCell">
    <xdr:from>
      <xdr:col>6</xdr:col>
      <xdr:colOff>80008</xdr:colOff>
      <xdr:row>0</xdr:row>
      <xdr:rowOff>144780</xdr:rowOff>
    </xdr:from>
    <xdr:to>
      <xdr:col>8</xdr:col>
      <xdr:colOff>784860</xdr:colOff>
      <xdr:row>8</xdr:row>
      <xdr:rowOff>95252</xdr:rowOff>
    </xdr:to>
    <xdr:pic>
      <xdr:nvPicPr>
        <xdr:cNvPr id="2" name="Picture 1">
          <a:extLst>
            <a:ext uri="{FF2B5EF4-FFF2-40B4-BE49-F238E27FC236}">
              <a16:creationId xmlns:a16="http://schemas.microsoft.com/office/drawing/2014/main" id="{32E12C40-149C-4AB3-A30D-D3E9888063CD}"/>
            </a:ext>
          </a:extLst>
        </xdr:cNvPr>
        <xdr:cNvPicPr>
          <a:picLocks noChangeAspect="1"/>
        </xdr:cNvPicPr>
      </xdr:nvPicPr>
      <xdr:blipFill rotWithShape="1">
        <a:blip xmlns:r="http://schemas.openxmlformats.org/officeDocument/2006/relationships" r:embed="rId10"/>
        <a:srcRect l="12163" t="1131" r="16408" b="27440"/>
        <a:stretch/>
      </xdr:blipFill>
      <xdr:spPr>
        <a:xfrm>
          <a:off x="3737608" y="144780"/>
          <a:ext cx="1924052" cy="1924052"/>
        </a:xfrm>
        <a:prstGeom prst="snip2DiagRect">
          <a:avLst/>
        </a:prstGeom>
        <a:solidFill>
          <a:srgbClr val="FFFFFF">
            <a:shade val="85000"/>
          </a:srgbClr>
        </a:solidFill>
        <a:ln w="88900" cap="sq">
          <a:solidFill>
            <a:srgbClr val="FFFFFF"/>
          </a:solidFill>
          <a:miter lim="800000"/>
        </a:ln>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oc%20tap%20-%20Study\!!!!%20D&#7920;%20&#193;N\Trac%20nghiem%20HOLLAND\Tr&#7855;c%20nghi&#7879;m%20(kh&#243;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IỚI THIỆU"/>
      <sheetName val="HƯỚNG DẪN"/>
      <sheetName val="KD"/>
      <sheetName val="TRẮC NGHIỆM"/>
      <sheetName val="KẾT QUẢ"/>
      <sheetName val="KQ"/>
      <sheetName val="R"/>
      <sheetName val="I"/>
      <sheetName val="A"/>
      <sheetName val="C"/>
      <sheetName val="S"/>
      <sheetName val="E"/>
    </sheetNames>
    <sheetDataSet>
      <sheetData sheetId="0" refreshError="1"/>
      <sheetData sheetId="1">
        <row r="3">
          <cell r="M3" t="str">
            <v>Thanh</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G1:L151" totalsRowShown="0" headerRowDxfId="7" dataDxfId="6">
  <autoFilter ref="G1:L151" xr:uid="{00000000-0009-0000-0100-000001000000}"/>
  <sortState xmlns:xlrd2="http://schemas.microsoft.com/office/spreadsheetml/2017/richdata2" ref="G2:L151">
    <sortCondition ref="I1:I151"/>
  </sortState>
  <tableColumns count="6">
    <tableColumn id="1" xr3:uid="{00000000-0010-0000-0000-000001000000}" name="MÔN HỌC" dataDxfId="5"/>
    <tableColumn id="2" xr3:uid="{00000000-0010-0000-0000-000002000000}" name="SỐ TÍN CHỈ" dataDxfId="4"/>
    <tableColumn id="9" xr3:uid="{00000000-0010-0000-0000-000009000000}" name="ĐIỂM 10 " dataDxfId="3"/>
    <tableColumn id="11" xr3:uid="{00000000-0010-0000-0000-00000B000000}" name="ĐIỂM 4" dataDxfId="2"/>
    <tableColumn id="12" xr3:uid="{00000000-0010-0000-0000-00000C000000}" name="CHỮ" dataDxfId="1"/>
    <tableColumn id="34" xr3:uid="{00000000-0010-0000-0000-000022000000}" name="XẾP LOẠI" dataDxfId="0"/>
  </tableColumns>
  <tableStyleInfo name="TableStyleMedium6"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kelvin-duong.blogspot.com/" TargetMode="External"/><Relationship Id="rId1" Type="http://schemas.openxmlformats.org/officeDocument/2006/relationships/hyperlink" Target="http://kelvin-duong.blogspo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tint="-0.249977111117893"/>
  </sheetPr>
  <dimension ref="A9:K33"/>
  <sheetViews>
    <sheetView showGridLines="0" showRowColHeaders="0" topLeftCell="A13" zoomScaleNormal="100" workbookViewId="0">
      <selection activeCell="E16" sqref="E16"/>
    </sheetView>
  </sheetViews>
  <sheetFormatPr defaultColWidth="9.140625" defaultRowHeight="16.5" x14ac:dyDescent="0.3"/>
  <cols>
    <col min="1" max="1" width="9.140625" style="52"/>
    <col min="2" max="2" width="22.85546875" style="52" customWidth="1"/>
    <col min="3" max="3" width="35.85546875" style="52" customWidth="1"/>
    <col min="4" max="4" width="13.42578125" style="52" customWidth="1"/>
    <col min="5" max="5" width="23.7109375" style="52" customWidth="1"/>
    <col min="6" max="6" width="11" style="52" customWidth="1"/>
    <col min="7" max="7" width="9.140625" style="52" customWidth="1"/>
    <col min="8" max="16384" width="9.140625" style="52"/>
  </cols>
  <sheetData>
    <row r="9" spans="1:11" ht="32.25" customHeight="1" x14ac:dyDescent="0.3">
      <c r="B9" s="51"/>
      <c r="C9" s="51"/>
      <c r="D9" s="51"/>
    </row>
    <row r="10" spans="1:11" ht="39.75" customHeight="1" x14ac:dyDescent="0.3">
      <c r="A10" s="51"/>
      <c r="B10" s="125" t="s">
        <v>67</v>
      </c>
      <c r="C10" s="126"/>
      <c r="D10" s="127"/>
    </row>
    <row r="11" spans="1:11" ht="16.5" customHeight="1" x14ac:dyDescent="0.3">
      <c r="A11" s="51"/>
      <c r="B11" s="119" t="s">
        <v>68</v>
      </c>
      <c r="C11" s="120"/>
      <c r="D11" s="121"/>
    </row>
    <row r="12" spans="1:11" x14ac:dyDescent="0.3">
      <c r="A12" s="51"/>
      <c r="B12" s="122"/>
      <c r="C12" s="123"/>
      <c r="D12" s="124"/>
    </row>
    <row r="13" spans="1:11" x14ac:dyDescent="0.3">
      <c r="A13" s="51"/>
      <c r="B13" s="122"/>
      <c r="C13" s="123"/>
      <c r="D13" s="124"/>
    </row>
    <row r="14" spans="1:11" x14ac:dyDescent="0.3">
      <c r="A14" s="51"/>
      <c r="B14" s="122"/>
      <c r="C14" s="123"/>
      <c r="D14" s="124"/>
      <c r="F14" s="69"/>
      <c r="G14" s="69"/>
      <c r="H14" s="69"/>
      <c r="I14" s="69"/>
      <c r="J14" s="69"/>
      <c r="K14" s="69"/>
    </row>
    <row r="15" spans="1:11" x14ac:dyDescent="0.3">
      <c r="A15" s="51"/>
      <c r="B15" s="122"/>
      <c r="C15" s="123"/>
      <c r="D15" s="124"/>
      <c r="F15" s="69"/>
      <c r="G15" s="69"/>
      <c r="H15" s="69"/>
      <c r="I15" s="69"/>
      <c r="J15" s="69"/>
      <c r="K15" s="69"/>
    </row>
    <row r="16" spans="1:11" ht="54" customHeight="1" x14ac:dyDescent="0.3">
      <c r="A16" s="51"/>
      <c r="B16" s="122"/>
      <c r="C16" s="123"/>
      <c r="D16" s="124"/>
      <c r="F16" s="69"/>
      <c r="G16" s="69"/>
      <c r="H16" s="69"/>
      <c r="I16" s="69"/>
      <c r="J16" s="69"/>
      <c r="K16" s="69"/>
    </row>
    <row r="17" spans="2:11" x14ac:dyDescent="0.3">
      <c r="B17" s="128" t="s">
        <v>70</v>
      </c>
      <c r="C17" s="129"/>
      <c r="D17" s="130"/>
    </row>
    <row r="18" spans="2:11" x14ac:dyDescent="0.3">
      <c r="B18" s="131"/>
      <c r="C18" s="132"/>
      <c r="D18" s="133"/>
      <c r="E18"/>
      <c r="F18"/>
      <c r="G18"/>
      <c r="H18"/>
      <c r="I18"/>
      <c r="J18"/>
      <c r="K18"/>
    </row>
    <row r="19" spans="2:11" x14ac:dyDescent="0.3">
      <c r="B19" s="134" t="s">
        <v>73</v>
      </c>
      <c r="C19" s="135"/>
      <c r="D19" s="136"/>
      <c r="E19" s="70"/>
    </row>
    <row r="20" spans="2:11" x14ac:dyDescent="0.3">
      <c r="B20" s="137" t="s">
        <v>74</v>
      </c>
      <c r="C20" s="138"/>
      <c r="D20" s="139"/>
      <c r="E20"/>
      <c r="F20"/>
      <c r="G20"/>
    </row>
    <row r="21" spans="2:11" ht="16.5" customHeight="1" x14ac:dyDescent="0.3">
      <c r="B21" s="149" t="s">
        <v>75</v>
      </c>
      <c r="C21" s="149"/>
      <c r="D21" s="149"/>
      <c r="E21"/>
      <c r="F21"/>
      <c r="G21"/>
    </row>
    <row r="22" spans="2:11" x14ac:dyDescent="0.3">
      <c r="B22"/>
      <c r="C22"/>
      <c r="D22"/>
      <c r="E22"/>
      <c r="F22"/>
      <c r="G22"/>
    </row>
    <row r="23" spans="2:11" x14ac:dyDescent="0.3">
      <c r="B23"/>
      <c r="C23"/>
      <c r="D23"/>
      <c r="E23"/>
      <c r="F23"/>
      <c r="G23"/>
    </row>
    <row r="27" spans="2:11" ht="17.25" thickBot="1" x14ac:dyDescent="0.35">
      <c r="C27" s="51"/>
    </row>
    <row r="28" spans="2:11" ht="17.25" thickBot="1" x14ac:dyDescent="0.35">
      <c r="B28" s="140" t="s">
        <v>98</v>
      </c>
      <c r="C28" s="141"/>
      <c r="D28" s="142"/>
    </row>
    <row r="29" spans="2:11" ht="17.25" thickTop="1" x14ac:dyDescent="0.3">
      <c r="B29" s="143"/>
      <c r="C29" s="144"/>
      <c r="D29" s="145"/>
    </row>
    <row r="30" spans="2:11" x14ac:dyDescent="0.3">
      <c r="B30" s="146" t="s">
        <v>95</v>
      </c>
      <c r="C30" s="147"/>
      <c r="D30" s="148"/>
    </row>
    <row r="31" spans="2:11" x14ac:dyDescent="0.3">
      <c r="B31" s="113" t="s">
        <v>100</v>
      </c>
      <c r="C31" s="114"/>
      <c r="D31" s="115"/>
    </row>
    <row r="32" spans="2:11" x14ac:dyDescent="0.3">
      <c r="B32" s="113" t="s">
        <v>96</v>
      </c>
      <c r="C32" s="114"/>
      <c r="D32" s="115"/>
    </row>
    <row r="33" spans="2:4" ht="17.25" thickBot="1" x14ac:dyDescent="0.35">
      <c r="B33" s="116" t="s">
        <v>97</v>
      </c>
      <c r="C33" s="117"/>
      <c r="D33" s="118"/>
    </row>
  </sheetData>
  <sheetProtection algorithmName="SHA-512" hashValue="BpmNVv2//ETsMe0yE16N6gkiyfguMuHJBbbqGxaXOxU4aFM6TDAbapWRy/Tbx0v953gwoj3jNQ8CLCrPpjVTGA==" saltValue="8LZ1Aznc9wUs9fh83MFHag==" spinCount="100000" sheet="1" objects="1" scenarios="1" selectLockedCells="1" selectUnlockedCells="1"/>
  <mergeCells count="11">
    <mergeCell ref="B32:D32"/>
    <mergeCell ref="B33:D33"/>
    <mergeCell ref="B11:D16"/>
    <mergeCell ref="B10:D10"/>
    <mergeCell ref="B17:D18"/>
    <mergeCell ref="B19:D19"/>
    <mergeCell ref="B20:D20"/>
    <mergeCell ref="B28:D29"/>
    <mergeCell ref="B30:D30"/>
    <mergeCell ref="B31:D31"/>
    <mergeCell ref="B21:D21"/>
  </mergeCells>
  <pageMargins left="0.7" right="0.7" top="0.75" bottom="0.75" header="0.3" footer="0.3"/>
  <pageSetup paperSize="9"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00000"/>
  </sheetPr>
  <dimension ref="A1:X151"/>
  <sheetViews>
    <sheetView showGridLines="0" tabSelected="1" zoomScale="85" zoomScaleNormal="85" workbookViewId="0">
      <pane xSplit="5" ySplit="1" topLeftCell="F11" activePane="bottomRight" state="frozen"/>
      <selection pane="topRight" activeCell="E1" sqref="E1"/>
      <selection pane="bottomLeft" activeCell="A2" sqref="A2"/>
      <selection pane="bottomRight" activeCell="L23" sqref="L23:L25"/>
    </sheetView>
  </sheetViews>
  <sheetFormatPr defaultColWidth="9.140625" defaultRowHeight="18" customHeight="1" x14ac:dyDescent="0.25"/>
  <cols>
    <col min="1" max="1" width="4" style="3" customWidth="1"/>
    <col min="2" max="2" width="30.28515625" style="2" customWidth="1"/>
    <col min="3" max="3" width="7.140625" style="1" customWidth="1"/>
    <col min="4" max="4" width="6.42578125" style="3" customWidth="1"/>
    <col min="5" max="5" width="5.7109375" style="3" customWidth="1"/>
    <col min="6" max="6" width="4.7109375" style="72" customWidth="1"/>
    <col min="7" max="7" width="40.140625" style="73" customWidth="1"/>
    <col min="8" max="8" width="10.28515625" style="110" customWidth="1"/>
    <col min="9" max="9" width="11.7109375" style="68" customWidth="1"/>
    <col min="10" max="10" width="8.5703125" style="74" customWidth="1"/>
    <col min="11" max="11" width="8.5703125" style="75" customWidth="1"/>
    <col min="12" max="12" width="11.85546875" style="76" customWidth="1"/>
    <col min="13" max="13" width="2" style="67" hidden="1" customWidth="1"/>
    <col min="14" max="14" width="2" style="8" hidden="1" customWidth="1"/>
    <col min="15" max="15" width="3.42578125" style="8" hidden="1" customWidth="1"/>
    <col min="16" max="16" width="2.7109375" style="8" hidden="1" customWidth="1"/>
    <col min="17" max="17" width="2.5703125" style="8" hidden="1" customWidth="1"/>
    <col min="18" max="18" width="2.140625" style="8" hidden="1" customWidth="1"/>
    <col min="19" max="19" width="2.42578125" style="8" hidden="1" customWidth="1"/>
    <col min="20" max="21" width="3.42578125" style="8" hidden="1" customWidth="1"/>
    <col min="22" max="22" width="3.28515625" style="8" hidden="1" customWidth="1"/>
    <col min="23" max="23" width="9.140625" style="8" hidden="1" customWidth="1"/>
    <col min="24" max="16384" width="9.140625" style="3"/>
  </cols>
  <sheetData>
    <row r="1" spans="1:24" ht="36.75" customHeight="1" thickTop="1" thickBot="1" x14ac:dyDescent="0.3">
      <c r="B1" s="150" t="s">
        <v>99</v>
      </c>
      <c r="C1" s="151"/>
      <c r="D1" s="151"/>
      <c r="E1" s="152"/>
      <c r="F1" s="105" t="s">
        <v>79</v>
      </c>
      <c r="G1" s="106" t="s">
        <v>81</v>
      </c>
      <c r="H1" s="108" t="s">
        <v>87</v>
      </c>
      <c r="I1" s="106" t="s">
        <v>85</v>
      </c>
      <c r="J1" s="107" t="s">
        <v>80</v>
      </c>
      <c r="K1" s="106" t="s">
        <v>0</v>
      </c>
      <c r="L1" s="106" t="s">
        <v>86</v>
      </c>
      <c r="M1" s="19" t="s">
        <v>28</v>
      </c>
      <c r="N1" s="19" t="s">
        <v>29</v>
      </c>
      <c r="O1" s="19" t="s">
        <v>2</v>
      </c>
      <c r="P1" s="19" t="s">
        <v>4</v>
      </c>
      <c r="Q1" s="19" t="s">
        <v>3</v>
      </c>
      <c r="R1" s="19" t="s">
        <v>6</v>
      </c>
      <c r="S1" s="19" t="s">
        <v>5</v>
      </c>
      <c r="T1" s="19" t="s">
        <v>7</v>
      </c>
      <c r="U1" s="19" t="s">
        <v>8</v>
      </c>
      <c r="V1" s="19" t="s">
        <v>44</v>
      </c>
      <c r="W1" s="71" t="s">
        <v>0</v>
      </c>
      <c r="X1" s="77"/>
    </row>
    <row r="2" spans="1:24" ht="18" customHeight="1" x14ac:dyDescent="0.45">
      <c r="F2" s="72">
        <v>1</v>
      </c>
      <c r="G2" s="79" t="s">
        <v>101</v>
      </c>
      <c r="H2" s="109">
        <v>2</v>
      </c>
      <c r="I2" s="80">
        <v>6.5</v>
      </c>
      <c r="J2" s="81">
        <v>2.5</v>
      </c>
      <c r="K2" s="82" t="s">
        <v>5</v>
      </c>
      <c r="L2" s="76" t="s">
        <v>102</v>
      </c>
      <c r="M2" s="5">
        <f>IF(AND(LEN(Table1[[#This Row],[MÔN HỌC]])&gt;0,Table1[[#This Row],[SỐ TÍN CHỈ]]&gt;0,Table1[[#This Row],[ĐIỂM 10 ]]&gt;0),1,0)</f>
        <v>1</v>
      </c>
      <c r="N2" s="20">
        <f>IF(Table1[[#This Row],[ĐIỂM 10 ]]="",1,0)</f>
        <v>0</v>
      </c>
      <c r="O2" s="8">
        <f>IF(OR(Table1[[#This Row],[CHỮ]]="A",Table1[[#This Row],[CHỮ]]="A+"),Table1[[#This Row],[SỐ TÍN CHỈ]]*4,0)</f>
        <v>0</v>
      </c>
      <c r="P2" s="8">
        <f>IF(Table1[[#This Row],[CHỮ]]="B",Table1[[#This Row],[SỐ TÍN CHỈ]]*3,0)</f>
        <v>0</v>
      </c>
      <c r="Q2" s="8">
        <f>IF(Table1[[#This Row],[CHỮ]]="B+",Table1[[#This Row],[SỐ TÍN CHỈ]]*3.5,0)</f>
        <v>0</v>
      </c>
      <c r="R2" s="8">
        <f>IF(Table1[[#This Row],[CHỮ]]="C",Table1[[#This Row],[SỐ TÍN CHỈ]]*2,0)</f>
        <v>0</v>
      </c>
      <c r="S2" s="8">
        <f>IF(Table1[[#This Row],[CHỮ]]="C+",Table1[[#This Row],[SỐ TÍN CHỈ]]*2.5,0)</f>
        <v>5</v>
      </c>
      <c r="T2" s="8">
        <f>IF(Table1[[#This Row],[CHỮ]]="D",Table1[[#This Row],[SỐ TÍN CHỈ]]*1,0)</f>
        <v>0</v>
      </c>
      <c r="U2" s="8">
        <f>IF(Table1[[#This Row],[CHỮ]]="F",Table1[[#This Row],[SỐ TÍN CHỈ]]*0,0)</f>
        <v>0</v>
      </c>
      <c r="V2" s="21">
        <f>IF(Table1[[#This Row],[ĐIỂM 10 ]]=10,10,IF(AND(Table1[[#This Row],[ĐIỂM 10 ]]&lt;10,Table1[[#This Row],[ĐIỂM 10 ]]&gt;=9),9,IF(AND(Table1[[#This Row],[ĐIỂM 10 ]]&lt;9,Table1[[#This Row],[ĐIỂM 10 ]]&gt;=8),8,0)))</f>
        <v>0</v>
      </c>
      <c r="W2" s="78" t="s">
        <v>9</v>
      </c>
    </row>
    <row r="3" spans="1:24" ht="18" customHeight="1" x14ac:dyDescent="0.45">
      <c r="A3" s="153" t="s">
        <v>69</v>
      </c>
      <c r="B3" s="153"/>
      <c r="C3" s="153"/>
      <c r="D3" s="153"/>
      <c r="E3" s="153"/>
      <c r="F3" s="72">
        <v>2</v>
      </c>
      <c r="G3" s="111" t="s">
        <v>103</v>
      </c>
      <c r="H3" s="109">
        <v>2</v>
      </c>
      <c r="I3" s="68">
        <v>7.8</v>
      </c>
      <c r="J3" s="74">
        <v>3</v>
      </c>
      <c r="K3" s="82" t="s">
        <v>4</v>
      </c>
      <c r="L3" s="76" t="s">
        <v>104</v>
      </c>
      <c r="M3" s="5">
        <f>IF(AND(LEN(Table1[[#This Row],[MÔN HỌC]])&gt;0,Table1[[#This Row],[SỐ TÍN CHỈ]]&gt;0,Table1[[#This Row],[ĐIỂM 10 ]]&gt;0),1,0)</f>
        <v>1</v>
      </c>
      <c r="N3" s="20">
        <f>IF(Table1[[#This Row],[ĐIỂM 10 ]]="",1,0)</f>
        <v>0</v>
      </c>
      <c r="O3" s="8">
        <f>IF(OR(Table1[[#This Row],[CHỮ]]="A",Table1[[#This Row],[CHỮ]]="A+"),Table1[[#This Row],[SỐ TÍN CHỈ]]*4,0)</f>
        <v>0</v>
      </c>
      <c r="P3" s="8">
        <f>IF(Table1[[#This Row],[CHỮ]]="B",Table1[[#This Row],[SỐ TÍN CHỈ]]*3,0)</f>
        <v>6</v>
      </c>
      <c r="Q3" s="8">
        <f>IF(Table1[[#This Row],[CHỮ]]="B+",Table1[[#This Row],[SỐ TÍN CHỈ]]*3.5,0)</f>
        <v>0</v>
      </c>
      <c r="R3" s="8">
        <f>IF(Table1[[#This Row],[CHỮ]]="C",Table1[[#This Row],[SỐ TÍN CHỈ]]*2,0)</f>
        <v>0</v>
      </c>
      <c r="S3" s="8">
        <f>IF(Table1[[#This Row],[CHỮ]]="C+",Table1[[#This Row],[SỐ TÍN CHỈ]]*2.5,0)</f>
        <v>0</v>
      </c>
      <c r="T3" s="8">
        <f>IF(Table1[[#This Row],[CHỮ]]="D",Table1[[#This Row],[SỐ TÍN CHỈ]]*1,0)</f>
        <v>0</v>
      </c>
      <c r="U3" s="8">
        <f>IF(Table1[[#This Row],[CHỮ]]="F",Table1[[#This Row],[SỐ TÍN CHỈ]]*0,0)</f>
        <v>0</v>
      </c>
      <c r="V3" s="21">
        <f>IF(Table1[[#This Row],[ĐIỂM 10 ]]=10,10,IF(AND(Table1[[#This Row],[ĐIỂM 10 ]]&lt;10,Table1[[#This Row],[ĐIỂM 10 ]]&gt;=9),9,IF(AND(Table1[[#This Row],[ĐIỂM 10 ]]&lt;9,Table1[[#This Row],[ĐIỂM 10 ]]&gt;=8),8,0)))</f>
        <v>0</v>
      </c>
      <c r="W3" s="78" t="s">
        <v>10</v>
      </c>
    </row>
    <row r="4" spans="1:24" ht="18" customHeight="1" x14ac:dyDescent="0.45">
      <c r="A4" s="8"/>
      <c r="B4" s="63" t="s">
        <v>19</v>
      </c>
      <c r="C4" s="65">
        <v>140</v>
      </c>
      <c r="D4" s="8"/>
      <c r="E4" s="8"/>
      <c r="F4" s="72">
        <v>3</v>
      </c>
      <c r="G4" s="53" t="s">
        <v>105</v>
      </c>
      <c r="H4" s="109">
        <v>2</v>
      </c>
      <c r="I4" s="68">
        <v>7.5</v>
      </c>
      <c r="J4" s="74">
        <v>3</v>
      </c>
      <c r="K4" s="82" t="s">
        <v>4</v>
      </c>
      <c r="L4" s="76" t="s">
        <v>104</v>
      </c>
      <c r="M4" s="5">
        <f>IF(AND(LEN(Table1[[#This Row],[MÔN HỌC]])&gt;0,Table1[[#This Row],[SỐ TÍN CHỈ]]&gt;0,Table1[[#This Row],[ĐIỂM 10 ]]&gt;0),1,0)</f>
        <v>1</v>
      </c>
      <c r="N4" s="20">
        <f>IF(Table1[[#This Row],[ĐIỂM 10 ]]="",1,0)</f>
        <v>0</v>
      </c>
      <c r="O4" s="8">
        <f>IF(OR(Table1[[#This Row],[CHỮ]]="A",Table1[[#This Row],[CHỮ]]="A+"),Table1[[#This Row],[SỐ TÍN CHỈ]]*4,0)</f>
        <v>0</v>
      </c>
      <c r="P4" s="8">
        <f>IF(Table1[[#This Row],[CHỮ]]="B",Table1[[#This Row],[SỐ TÍN CHỈ]]*3,0)</f>
        <v>6</v>
      </c>
      <c r="Q4" s="8">
        <f>IF(Table1[[#This Row],[CHỮ]]="B+",Table1[[#This Row],[SỐ TÍN CHỈ]]*3.5,0)</f>
        <v>0</v>
      </c>
      <c r="R4" s="8">
        <f>IF(Table1[[#This Row],[CHỮ]]="C",Table1[[#This Row],[SỐ TÍN CHỈ]]*2,0)</f>
        <v>0</v>
      </c>
      <c r="S4" s="8">
        <f>IF(Table1[[#This Row],[CHỮ]]="C+",Table1[[#This Row],[SỐ TÍN CHỈ]]*2.5,0)</f>
        <v>0</v>
      </c>
      <c r="T4" s="8">
        <f>IF(Table1[[#This Row],[CHỮ]]="D",Table1[[#This Row],[SỐ TÍN CHỈ]]*1,0)</f>
        <v>0</v>
      </c>
      <c r="U4" s="8">
        <f>IF(Table1[[#This Row],[CHỮ]]="F",Table1[[#This Row],[SỐ TÍN CHỈ]]*0,0)</f>
        <v>0</v>
      </c>
      <c r="V4" s="21">
        <f>IF(Table1[[#This Row],[ĐIỂM 10 ]]=10,10,IF(AND(Table1[[#This Row],[ĐIỂM 10 ]]&lt;10,Table1[[#This Row],[ĐIỂM 10 ]]&gt;=9),9,IF(AND(Table1[[#This Row],[ĐIỂM 10 ]]&lt;9,Table1[[#This Row],[ĐIỂM 10 ]]&gt;=8),8,0)))</f>
        <v>0</v>
      </c>
      <c r="W4" s="78" t="s">
        <v>12</v>
      </c>
    </row>
    <row r="5" spans="1:24" ht="18" customHeight="1" x14ac:dyDescent="0.45">
      <c r="A5" s="8"/>
      <c r="B5" s="20" t="s">
        <v>18</v>
      </c>
      <c r="C5" s="5">
        <f>IF(C4-C6&lt;0,"",C4-C6)</f>
        <v>73</v>
      </c>
      <c r="D5" s="8"/>
      <c r="E5" s="8"/>
      <c r="F5" s="72">
        <v>4</v>
      </c>
      <c r="G5" s="53" t="s">
        <v>106</v>
      </c>
      <c r="H5" s="109">
        <v>2</v>
      </c>
      <c r="I5" s="68">
        <v>8.1999999999999993</v>
      </c>
      <c r="J5" s="74">
        <v>3.5</v>
      </c>
      <c r="K5" s="82" t="s">
        <v>3</v>
      </c>
      <c r="L5" s="76" t="s">
        <v>104</v>
      </c>
      <c r="M5" s="5">
        <f>IF(AND(LEN(Table1[[#This Row],[MÔN HỌC]])&gt;0,Table1[[#This Row],[SỐ TÍN CHỈ]]&gt;0,Table1[[#This Row],[ĐIỂM 10 ]]&gt;0),1,0)</f>
        <v>1</v>
      </c>
      <c r="N5" s="20">
        <f>IF(Table1[[#This Row],[ĐIỂM 10 ]]="",1,0)</f>
        <v>0</v>
      </c>
      <c r="O5" s="8">
        <f>IF(OR(Table1[[#This Row],[CHỮ]]="A",Table1[[#This Row],[CHỮ]]="A+"),Table1[[#This Row],[SỐ TÍN CHỈ]]*4,0)</f>
        <v>0</v>
      </c>
      <c r="P5" s="8">
        <f>IF(Table1[[#This Row],[CHỮ]]="B",Table1[[#This Row],[SỐ TÍN CHỈ]]*3,0)</f>
        <v>0</v>
      </c>
      <c r="Q5" s="8">
        <f>IF(Table1[[#This Row],[CHỮ]]="B+",Table1[[#This Row],[SỐ TÍN CHỈ]]*3.5,0)</f>
        <v>7</v>
      </c>
      <c r="R5" s="8">
        <f>IF(Table1[[#This Row],[CHỮ]]="C",Table1[[#This Row],[SỐ TÍN CHỈ]]*2,0)</f>
        <v>0</v>
      </c>
      <c r="S5" s="8">
        <f>IF(Table1[[#This Row],[CHỮ]]="C+",Table1[[#This Row],[SỐ TÍN CHỈ]]*2.5,0)</f>
        <v>0</v>
      </c>
      <c r="T5" s="8">
        <f>IF(Table1[[#This Row],[CHỮ]]="D",Table1[[#This Row],[SỐ TÍN CHỈ]]*1,0)</f>
        <v>0</v>
      </c>
      <c r="U5" s="8">
        <f>IF(Table1[[#This Row],[CHỮ]]="F",Table1[[#This Row],[SỐ TÍN CHỈ]]*0,0)</f>
        <v>0</v>
      </c>
      <c r="V5" s="21">
        <f>IF(Table1[[#This Row],[ĐIỂM 10 ]]=10,10,IF(AND(Table1[[#This Row],[ĐIỂM 10 ]]&lt;10,Table1[[#This Row],[ĐIỂM 10 ]]&gt;=9),9,IF(AND(Table1[[#This Row],[ĐIỂM 10 ]]&lt;9,Table1[[#This Row],[ĐIỂM 10 ]]&gt;=8),8,0)))</f>
        <v>8</v>
      </c>
      <c r="W5" s="78" t="s">
        <v>11</v>
      </c>
    </row>
    <row r="6" spans="1:24" ht="18" customHeight="1" x14ac:dyDescent="0.45">
      <c r="A6" s="8"/>
      <c r="B6" s="20" t="s">
        <v>17</v>
      </c>
      <c r="C6" s="5">
        <f>SUM(TC)</f>
        <v>67</v>
      </c>
      <c r="D6" s="8"/>
      <c r="E6" s="8"/>
      <c r="F6" s="72">
        <v>5</v>
      </c>
      <c r="G6" s="53" t="s">
        <v>107</v>
      </c>
      <c r="H6" s="110">
        <v>3</v>
      </c>
      <c r="I6" s="68">
        <v>6.6</v>
      </c>
      <c r="J6" s="74">
        <v>2.5</v>
      </c>
      <c r="K6" s="82" t="s">
        <v>5</v>
      </c>
      <c r="L6" s="76" t="s">
        <v>108</v>
      </c>
      <c r="M6" s="5">
        <f>IF(AND(LEN(Table1[[#This Row],[MÔN HỌC]])&gt;0,Table1[[#This Row],[SỐ TÍN CHỈ]]&gt;0,Table1[[#This Row],[ĐIỂM 10 ]]&gt;0),1,0)</f>
        <v>1</v>
      </c>
      <c r="N6" s="20">
        <f>IF(Table1[[#This Row],[ĐIỂM 10 ]]="",1,0)</f>
        <v>0</v>
      </c>
      <c r="O6" s="8">
        <f>IF(OR(Table1[[#This Row],[CHỮ]]="A",Table1[[#This Row],[CHỮ]]="A+"),Table1[[#This Row],[SỐ TÍN CHỈ]]*4,0)</f>
        <v>0</v>
      </c>
      <c r="P6" s="8">
        <f>IF(Table1[[#This Row],[CHỮ]]="B",Table1[[#This Row],[SỐ TÍN CHỈ]]*3,0)</f>
        <v>0</v>
      </c>
      <c r="Q6" s="8">
        <f>IF(Table1[[#This Row],[CHỮ]]="B+",Table1[[#This Row],[SỐ TÍN CHỈ]]*3.5,0)</f>
        <v>0</v>
      </c>
      <c r="R6" s="8">
        <f>IF(Table1[[#This Row],[CHỮ]]="C",Table1[[#This Row],[SỐ TÍN CHỈ]]*2,0)</f>
        <v>0</v>
      </c>
      <c r="S6" s="8">
        <f>IF(Table1[[#This Row],[CHỮ]]="C+",Table1[[#This Row],[SỐ TÍN CHỈ]]*2.5,0)</f>
        <v>7.5</v>
      </c>
      <c r="T6" s="8">
        <f>IF(Table1[[#This Row],[CHỮ]]="D",Table1[[#This Row],[SỐ TÍN CHỈ]]*1,0)</f>
        <v>0</v>
      </c>
      <c r="U6" s="8">
        <f>IF(Table1[[#This Row],[CHỮ]]="F",Table1[[#This Row],[SỐ TÍN CHỈ]]*0,0)</f>
        <v>0</v>
      </c>
      <c r="V6" s="21">
        <f>IF(Table1[[#This Row],[ĐIỂM 10 ]]=10,10,IF(AND(Table1[[#This Row],[ĐIỂM 10 ]]&lt;10,Table1[[#This Row],[ĐIỂM 10 ]]&gt;=9),9,IF(AND(Table1[[#This Row],[ĐIỂM 10 ]]&lt;9,Table1[[#This Row],[ĐIỂM 10 ]]&gt;=8),8,0)))</f>
        <v>0</v>
      </c>
      <c r="W6" s="78" t="s">
        <v>83</v>
      </c>
    </row>
    <row r="7" spans="1:24" ht="18" customHeight="1" x14ac:dyDescent="0.45">
      <c r="A7" s="8"/>
      <c r="B7" s="20"/>
      <c r="C7" s="5"/>
      <c r="D7" s="8"/>
      <c r="E7" s="8"/>
      <c r="F7" s="72">
        <v>6</v>
      </c>
      <c r="G7" s="53" t="s">
        <v>109</v>
      </c>
      <c r="H7" s="110">
        <v>3</v>
      </c>
      <c r="I7" s="68">
        <v>5.9</v>
      </c>
      <c r="J7" s="74">
        <v>2</v>
      </c>
      <c r="K7" s="82" t="s">
        <v>5</v>
      </c>
      <c r="L7" s="76" t="s">
        <v>108</v>
      </c>
      <c r="M7" s="5">
        <f>IF(AND(LEN(Table1[[#This Row],[MÔN HỌC]])&gt;0,Table1[[#This Row],[SỐ TÍN CHỈ]]&gt;0,Table1[[#This Row],[ĐIỂM 10 ]]&gt;0),1,0)</f>
        <v>1</v>
      </c>
      <c r="N7" s="20">
        <f>IF(Table1[[#This Row],[ĐIỂM 10 ]]="",1,0)</f>
        <v>0</v>
      </c>
      <c r="O7" s="8">
        <f>IF(OR(Table1[[#This Row],[CHỮ]]="A",Table1[[#This Row],[CHỮ]]="A+"),Table1[[#This Row],[SỐ TÍN CHỈ]]*4,0)</f>
        <v>0</v>
      </c>
      <c r="P7" s="8">
        <f>IF(Table1[[#This Row],[CHỮ]]="B",Table1[[#This Row],[SỐ TÍN CHỈ]]*3,0)</f>
        <v>0</v>
      </c>
      <c r="Q7" s="8">
        <f>IF(Table1[[#This Row],[CHỮ]]="B+",Table1[[#This Row],[SỐ TÍN CHỈ]]*3.5,0)</f>
        <v>0</v>
      </c>
      <c r="R7" s="8">
        <f>IF(Table1[[#This Row],[CHỮ]]="C",Table1[[#This Row],[SỐ TÍN CHỈ]]*2,0)</f>
        <v>0</v>
      </c>
      <c r="S7" s="8">
        <f>IF(Table1[[#This Row],[CHỮ]]="C+",Table1[[#This Row],[SỐ TÍN CHỈ]]*2.5,0)</f>
        <v>7.5</v>
      </c>
      <c r="T7" s="8">
        <f>IF(Table1[[#This Row],[CHỮ]]="D",Table1[[#This Row],[SỐ TÍN CHỈ]]*1,0)</f>
        <v>0</v>
      </c>
      <c r="U7" s="8">
        <f>IF(Table1[[#This Row],[CHỮ]]="F",Table1[[#This Row],[SỐ TÍN CHỈ]]*0,0)</f>
        <v>0</v>
      </c>
      <c r="V7" s="21">
        <f>IF(Table1[[#This Row],[ĐIỂM 10 ]]=10,10,IF(AND(Table1[[#This Row],[ĐIỂM 10 ]]&lt;10,Table1[[#This Row],[ĐIỂM 10 ]]&gt;=9),9,IF(AND(Table1[[#This Row],[ĐIỂM 10 ]]&lt;9,Table1[[#This Row],[ĐIỂM 10 ]]&gt;=8),8,0)))</f>
        <v>0</v>
      </c>
      <c r="W7" s="78" t="s">
        <v>82</v>
      </c>
    </row>
    <row r="8" spans="1:24" ht="18" customHeight="1" x14ac:dyDescent="0.45">
      <c r="A8" s="8"/>
      <c r="B8" s="20"/>
      <c r="C8" s="5"/>
      <c r="D8" s="8"/>
      <c r="E8" s="8"/>
      <c r="F8" s="72">
        <v>7</v>
      </c>
      <c r="G8" s="53" t="s">
        <v>110</v>
      </c>
      <c r="H8" s="110">
        <v>4</v>
      </c>
      <c r="I8" s="68">
        <v>6.1</v>
      </c>
      <c r="J8" s="74">
        <v>2.5</v>
      </c>
      <c r="K8" s="82" t="s">
        <v>5</v>
      </c>
      <c r="L8" s="76" t="s">
        <v>108</v>
      </c>
      <c r="M8" s="5">
        <f>IF(AND(LEN(Table1[[#This Row],[MÔN HỌC]])&gt;0,Table1[[#This Row],[SỐ TÍN CHỈ]]&gt;0,Table1[[#This Row],[ĐIỂM 10 ]]&gt;0),1,0)</f>
        <v>1</v>
      </c>
      <c r="N8" s="20">
        <f>IF(Table1[[#This Row],[ĐIỂM 10 ]]="",1,0)</f>
        <v>0</v>
      </c>
      <c r="O8" s="8">
        <f>IF(OR(Table1[[#This Row],[CHỮ]]="A",Table1[[#This Row],[CHỮ]]="A+"),Table1[[#This Row],[SỐ TÍN CHỈ]]*4,0)</f>
        <v>0</v>
      </c>
      <c r="P8" s="8">
        <f>IF(Table1[[#This Row],[CHỮ]]="B",Table1[[#This Row],[SỐ TÍN CHỈ]]*3,0)</f>
        <v>0</v>
      </c>
      <c r="Q8" s="8">
        <f>IF(Table1[[#This Row],[CHỮ]]="B+",Table1[[#This Row],[SỐ TÍN CHỈ]]*3.5,0)</f>
        <v>0</v>
      </c>
      <c r="R8" s="8">
        <f>IF(Table1[[#This Row],[CHỮ]]="C",Table1[[#This Row],[SỐ TÍN CHỈ]]*2,0)</f>
        <v>0</v>
      </c>
      <c r="S8" s="8">
        <f>IF(Table1[[#This Row],[CHỮ]]="C+",Table1[[#This Row],[SỐ TÍN CHỈ]]*2.5,0)</f>
        <v>10</v>
      </c>
      <c r="T8" s="8">
        <f>IF(Table1[[#This Row],[CHỮ]]="D",Table1[[#This Row],[SỐ TÍN CHỈ]]*1,0)</f>
        <v>0</v>
      </c>
      <c r="U8" s="8">
        <f>IF(Table1[[#This Row],[CHỮ]]="F",Table1[[#This Row],[SỐ TÍN CHỈ]]*0,0)</f>
        <v>0</v>
      </c>
      <c r="V8" s="21">
        <f>IF(Table1[[#This Row],[ĐIỂM 10 ]]=10,10,IF(AND(Table1[[#This Row],[ĐIỂM 10 ]]&lt;10,Table1[[#This Row],[ĐIỂM 10 ]]&gt;=9),9,IF(AND(Table1[[#This Row],[ĐIỂM 10 ]]&lt;9,Table1[[#This Row],[ĐIỂM 10 ]]&gt;=8),8,0)))</f>
        <v>0</v>
      </c>
      <c r="W8" s="78" t="s">
        <v>84</v>
      </c>
    </row>
    <row r="9" spans="1:24" ht="18" customHeight="1" x14ac:dyDescent="0.45">
      <c r="A9" s="8"/>
      <c r="B9" s="62" t="s">
        <v>16</v>
      </c>
      <c r="C9" s="64">
        <v>3</v>
      </c>
      <c r="D9" s="31"/>
      <c r="E9" s="8"/>
      <c r="F9" s="72">
        <v>8</v>
      </c>
      <c r="G9" s="53" t="s">
        <v>111</v>
      </c>
      <c r="H9" s="110">
        <v>3</v>
      </c>
      <c r="I9" s="68">
        <v>6.2</v>
      </c>
      <c r="J9" s="74">
        <v>2.5</v>
      </c>
      <c r="K9" s="82" t="s">
        <v>5</v>
      </c>
      <c r="L9" s="76" t="s">
        <v>108</v>
      </c>
      <c r="M9" s="5">
        <f>IF(AND(LEN(Table1[[#This Row],[MÔN HỌC]])&gt;0,Table1[[#This Row],[SỐ TÍN CHỈ]]&gt;0,Table1[[#This Row],[ĐIỂM 10 ]]&gt;0),1,0)</f>
        <v>1</v>
      </c>
      <c r="N9" s="20">
        <f>IF(Table1[[#This Row],[ĐIỂM 10 ]]="",1,0)</f>
        <v>0</v>
      </c>
      <c r="O9" s="8">
        <f>IF(OR(Table1[[#This Row],[CHỮ]]="A",Table1[[#This Row],[CHỮ]]="A+"),Table1[[#This Row],[SỐ TÍN CHỈ]]*4,0)</f>
        <v>0</v>
      </c>
      <c r="P9" s="8">
        <f>IF(Table1[[#This Row],[CHỮ]]="B",Table1[[#This Row],[SỐ TÍN CHỈ]]*3,0)</f>
        <v>0</v>
      </c>
      <c r="Q9" s="8">
        <f>IF(Table1[[#This Row],[CHỮ]]="B+",Table1[[#This Row],[SỐ TÍN CHỈ]]*3.5,0)</f>
        <v>0</v>
      </c>
      <c r="R9" s="8">
        <f>IF(Table1[[#This Row],[CHỮ]]="C",Table1[[#This Row],[SỐ TÍN CHỈ]]*2,0)</f>
        <v>0</v>
      </c>
      <c r="S9" s="8">
        <f>IF(Table1[[#This Row],[CHỮ]]="C+",Table1[[#This Row],[SỐ TÍN CHỈ]]*2.5,0)</f>
        <v>7.5</v>
      </c>
      <c r="T9" s="8">
        <f>IF(Table1[[#This Row],[CHỮ]]="D",Table1[[#This Row],[SỐ TÍN CHỈ]]*1,0)</f>
        <v>0</v>
      </c>
      <c r="U9" s="8">
        <f>IF(Table1[[#This Row],[CHỮ]]="F",Table1[[#This Row],[SỐ TÍN CHỈ]]*0,0)</f>
        <v>0</v>
      </c>
      <c r="V9" s="21">
        <f>IF(Table1[[#This Row],[ĐIỂM 10 ]]=10,10,IF(AND(Table1[[#This Row],[ĐIỂM 10 ]]&lt;10,Table1[[#This Row],[ĐIỂM 10 ]]&gt;=9),9,IF(AND(Table1[[#This Row],[ĐIỂM 10 ]]&lt;9,Table1[[#This Row],[ĐIỂM 10 ]]&gt;=8),8,0)))</f>
        <v>0</v>
      </c>
      <c r="W9" s="78" t="s">
        <v>13</v>
      </c>
    </row>
    <row r="10" spans="1:24" ht="18" customHeight="1" x14ac:dyDescent="0.45">
      <c r="A10" s="8"/>
      <c r="B10" s="66" t="s">
        <v>14</v>
      </c>
      <c r="C10" s="61">
        <f>IF(SUM(TC)=0,"",SUMPRODUCT(TC,TD_4)/SUM(TC))</f>
        <v>2.9417910447761195</v>
      </c>
      <c r="D10" s="95" t="str">
        <f>E10</f>
        <v/>
      </c>
      <c r="E10" s="96" t="str">
        <f>IF(OR(GPA_mt=0,GPAht=""),"",IF(GPAht/GPA_mt&lt;=1,"",1))</f>
        <v/>
      </c>
      <c r="F10" s="72">
        <v>9</v>
      </c>
      <c r="G10" s="53" t="s">
        <v>112</v>
      </c>
      <c r="H10" s="110">
        <v>2</v>
      </c>
      <c r="I10" s="68">
        <v>7.2</v>
      </c>
      <c r="J10" s="74">
        <v>3</v>
      </c>
      <c r="K10" s="82" t="s">
        <v>4</v>
      </c>
      <c r="L10" s="76" t="s">
        <v>104</v>
      </c>
      <c r="M10" s="5">
        <f>IF(AND(LEN(Table1[[#This Row],[MÔN HỌC]])&gt;0,Table1[[#This Row],[SỐ TÍN CHỈ]]&gt;0,Table1[[#This Row],[ĐIỂM 10 ]]&gt;0),1,0)</f>
        <v>1</v>
      </c>
      <c r="N10" s="20">
        <f>IF(Table1[[#This Row],[ĐIỂM 10 ]]="",1,0)</f>
        <v>0</v>
      </c>
      <c r="O10" s="8">
        <f>IF(OR(Table1[[#This Row],[CHỮ]]="A",Table1[[#This Row],[CHỮ]]="A+"),Table1[[#This Row],[SỐ TÍN CHỈ]]*4,0)</f>
        <v>0</v>
      </c>
      <c r="P10" s="8">
        <f>IF(Table1[[#This Row],[CHỮ]]="B",Table1[[#This Row],[SỐ TÍN CHỈ]]*3,0)</f>
        <v>6</v>
      </c>
      <c r="Q10" s="8">
        <f>IF(Table1[[#This Row],[CHỮ]]="B+",Table1[[#This Row],[SỐ TÍN CHỈ]]*3.5,0)</f>
        <v>0</v>
      </c>
      <c r="R10" s="8">
        <f>IF(Table1[[#This Row],[CHỮ]]="C",Table1[[#This Row],[SỐ TÍN CHỈ]]*2,0)</f>
        <v>0</v>
      </c>
      <c r="S10" s="8">
        <f>IF(Table1[[#This Row],[CHỮ]]="C+",Table1[[#This Row],[SỐ TÍN CHỈ]]*2.5,0)</f>
        <v>0</v>
      </c>
      <c r="T10" s="8">
        <f>IF(Table1[[#This Row],[CHỮ]]="D",Table1[[#This Row],[SỐ TÍN CHỈ]]*1,0)</f>
        <v>0</v>
      </c>
      <c r="U10" s="8">
        <f>IF(Table1[[#This Row],[CHỮ]]="F",Table1[[#This Row],[SỐ TÍN CHỈ]]*0,0)</f>
        <v>0</v>
      </c>
      <c r="V10" s="21">
        <f>IF(Table1[[#This Row],[ĐIỂM 10 ]]=10,10,IF(AND(Table1[[#This Row],[ĐIỂM 10 ]]&lt;10,Table1[[#This Row],[ĐIỂM 10 ]]&gt;=9),9,IF(AND(Table1[[#This Row],[ĐIỂM 10 ]]&lt;9,Table1[[#This Row],[ĐIỂM 10 ]]&gt;=8),8,0)))</f>
        <v>0</v>
      </c>
      <c r="W10" s="83"/>
    </row>
    <row r="11" spans="1:24" ht="18" customHeight="1" x14ac:dyDescent="0.45">
      <c r="A11" s="8"/>
      <c r="B11" s="66" t="s">
        <v>26</v>
      </c>
      <c r="C11" s="61">
        <f>IF(SUM(TC)=0,"",SUMPRODUCT(TC,TD_10_tn)/SUM(TC))</f>
        <v>7.2388059701492562</v>
      </c>
      <c r="D11" s="8"/>
      <c r="E11" s="8"/>
      <c r="F11" s="72">
        <v>10</v>
      </c>
      <c r="G11" s="53" t="s">
        <v>113</v>
      </c>
      <c r="H11" s="110">
        <v>3</v>
      </c>
      <c r="I11" s="68">
        <v>5.9</v>
      </c>
      <c r="J11" s="74">
        <v>2</v>
      </c>
      <c r="K11" s="82" t="s">
        <v>6</v>
      </c>
      <c r="L11" s="76" t="s">
        <v>108</v>
      </c>
      <c r="M11" s="5">
        <f>IF(AND(LEN(Table1[[#This Row],[MÔN HỌC]])&gt;0,Table1[[#This Row],[SỐ TÍN CHỈ]]&gt;0,Table1[[#This Row],[ĐIỂM 10 ]]&gt;0),1,0)</f>
        <v>1</v>
      </c>
      <c r="N11" s="20">
        <f>IF(Table1[[#This Row],[ĐIỂM 10 ]]="",1,0)</f>
        <v>0</v>
      </c>
      <c r="O11" s="8">
        <f>IF(OR(Table1[[#This Row],[CHỮ]]="A",Table1[[#This Row],[CHỮ]]="A+"),Table1[[#This Row],[SỐ TÍN CHỈ]]*4,0)</f>
        <v>0</v>
      </c>
      <c r="P11" s="8">
        <f>IF(Table1[[#This Row],[CHỮ]]="B",Table1[[#This Row],[SỐ TÍN CHỈ]]*3,0)</f>
        <v>0</v>
      </c>
      <c r="Q11" s="8">
        <f>IF(Table1[[#This Row],[CHỮ]]="B+",Table1[[#This Row],[SỐ TÍN CHỈ]]*3.5,0)</f>
        <v>0</v>
      </c>
      <c r="R11" s="8">
        <f>IF(Table1[[#This Row],[CHỮ]]="C",Table1[[#This Row],[SỐ TÍN CHỈ]]*2,0)</f>
        <v>6</v>
      </c>
      <c r="S11" s="8">
        <f>IF(Table1[[#This Row],[CHỮ]]="C+",Table1[[#This Row],[SỐ TÍN CHỈ]]*2.5,0)</f>
        <v>0</v>
      </c>
      <c r="T11" s="8">
        <f>IF(Table1[[#This Row],[CHỮ]]="D",Table1[[#This Row],[SỐ TÍN CHỈ]]*1,0)</f>
        <v>0</v>
      </c>
      <c r="U11" s="8">
        <f>IF(Table1[[#This Row],[CHỮ]]="F",Table1[[#This Row],[SỐ TÍN CHỈ]]*0,0)</f>
        <v>0</v>
      </c>
      <c r="V11" s="21">
        <f>IF(Table1[[#This Row],[ĐIỂM 10 ]]=10,10,IF(AND(Table1[[#This Row],[ĐIỂM 10 ]]&lt;10,Table1[[#This Row],[ĐIỂM 10 ]]&gt;=9),9,IF(AND(Table1[[#This Row],[ĐIỂM 10 ]]&lt;9,Table1[[#This Row],[ĐIỂM 10 ]]&gt;=8),8,0)))</f>
        <v>0</v>
      </c>
      <c r="W11" s="83"/>
    </row>
    <row r="12" spans="1:24" ht="18" customHeight="1" x14ac:dyDescent="0.45">
      <c r="A12" s="8"/>
      <c r="B12" s="20"/>
      <c r="C12" s="5"/>
      <c r="D12" s="22"/>
      <c r="E12" s="8"/>
      <c r="F12" s="72">
        <v>11</v>
      </c>
      <c r="G12" s="53" t="s">
        <v>114</v>
      </c>
      <c r="H12" s="110">
        <v>4</v>
      </c>
      <c r="I12" s="68">
        <v>8.6</v>
      </c>
      <c r="J12" s="74">
        <v>3.8</v>
      </c>
      <c r="K12" s="82" t="s">
        <v>2</v>
      </c>
      <c r="L12" s="76" t="s">
        <v>115</v>
      </c>
      <c r="M12" s="5">
        <f>IF(AND(LEN(Table1[[#This Row],[MÔN HỌC]])&gt;0,Table1[[#This Row],[SỐ TÍN CHỈ]]&gt;0,Table1[[#This Row],[ĐIỂM 10 ]]&gt;0),1,0)</f>
        <v>1</v>
      </c>
      <c r="N12" s="20">
        <f>IF(Table1[[#This Row],[ĐIỂM 10 ]]="",1,0)</f>
        <v>0</v>
      </c>
      <c r="O12" s="8">
        <f>IF(OR(Table1[[#This Row],[CHỮ]]="A",Table1[[#This Row],[CHỮ]]="A+"),Table1[[#This Row],[SỐ TÍN CHỈ]]*4,0)</f>
        <v>16</v>
      </c>
      <c r="P12" s="8">
        <f>IF(Table1[[#This Row],[CHỮ]]="B",Table1[[#This Row],[SỐ TÍN CHỈ]]*3,0)</f>
        <v>0</v>
      </c>
      <c r="Q12" s="8">
        <f>IF(Table1[[#This Row],[CHỮ]]="B+",Table1[[#This Row],[SỐ TÍN CHỈ]]*3.5,0)</f>
        <v>0</v>
      </c>
      <c r="R12" s="8">
        <f>IF(Table1[[#This Row],[CHỮ]]="C",Table1[[#This Row],[SỐ TÍN CHỈ]]*2,0)</f>
        <v>0</v>
      </c>
      <c r="S12" s="8">
        <f>IF(Table1[[#This Row],[CHỮ]]="C+",Table1[[#This Row],[SỐ TÍN CHỈ]]*2.5,0)</f>
        <v>0</v>
      </c>
      <c r="T12" s="8">
        <f>IF(Table1[[#This Row],[CHỮ]]="D",Table1[[#This Row],[SỐ TÍN CHỈ]]*1,0)</f>
        <v>0</v>
      </c>
      <c r="U12" s="8">
        <f>IF(Table1[[#This Row],[CHỮ]]="F",Table1[[#This Row],[SỐ TÍN CHỈ]]*0,0)</f>
        <v>0</v>
      </c>
      <c r="V12" s="21">
        <f>IF(Table1[[#This Row],[ĐIỂM 10 ]]=10,10,IF(AND(Table1[[#This Row],[ĐIỂM 10 ]]&lt;10,Table1[[#This Row],[ĐIỂM 10 ]]&gt;=9),9,IF(AND(Table1[[#This Row],[ĐIỂM 10 ]]&lt;9,Table1[[#This Row],[ĐIỂM 10 ]]&gt;=8),8,0)))</f>
        <v>8</v>
      </c>
      <c r="W12" s="84"/>
    </row>
    <row r="13" spans="1:24" ht="18" customHeight="1" x14ac:dyDescent="0.45">
      <c r="A13" s="8"/>
      <c r="B13" s="23" t="s">
        <v>48</v>
      </c>
      <c r="C13" s="24">
        <f>IF(C14="","",C5-C14)</f>
        <v>3.8999999999999773</v>
      </c>
      <c r="D13" s="8"/>
      <c r="E13" s="8"/>
      <c r="F13" s="72">
        <v>12</v>
      </c>
      <c r="G13" s="53" t="s">
        <v>116</v>
      </c>
      <c r="H13" s="110">
        <v>4</v>
      </c>
      <c r="I13" s="68">
        <v>7.3</v>
      </c>
      <c r="J13" s="74">
        <v>3</v>
      </c>
      <c r="K13" s="82" t="s">
        <v>4</v>
      </c>
      <c r="L13" s="76" t="s">
        <v>104</v>
      </c>
      <c r="M13" s="5">
        <f>IF(AND(LEN(Table1[[#This Row],[MÔN HỌC]])&gt;0,Table1[[#This Row],[SỐ TÍN CHỈ]]&gt;0,Table1[[#This Row],[ĐIỂM 10 ]]&gt;0),1,0)</f>
        <v>1</v>
      </c>
      <c r="N13" s="20">
        <f>IF(Table1[[#This Row],[ĐIỂM 10 ]]="",1,0)</f>
        <v>0</v>
      </c>
      <c r="O13" s="8">
        <f>IF(OR(Table1[[#This Row],[CHỮ]]="A",Table1[[#This Row],[CHỮ]]="A+"),Table1[[#This Row],[SỐ TÍN CHỈ]]*4,0)</f>
        <v>0</v>
      </c>
      <c r="P13" s="8">
        <f>IF(Table1[[#This Row],[CHỮ]]="B",Table1[[#This Row],[SỐ TÍN CHỈ]]*3,0)</f>
        <v>12</v>
      </c>
      <c r="Q13" s="8">
        <f>IF(Table1[[#This Row],[CHỮ]]="B+",Table1[[#This Row],[SỐ TÍN CHỈ]]*3.5,0)</f>
        <v>0</v>
      </c>
      <c r="R13" s="8">
        <f>IF(Table1[[#This Row],[CHỮ]]="C",Table1[[#This Row],[SỐ TÍN CHỈ]]*2,0)</f>
        <v>0</v>
      </c>
      <c r="S13" s="8">
        <f>IF(Table1[[#This Row],[CHỮ]]="C+",Table1[[#This Row],[SỐ TÍN CHỈ]]*2.5,0)</f>
        <v>0</v>
      </c>
      <c r="T13" s="8">
        <f>IF(Table1[[#This Row],[CHỮ]]="D",Table1[[#This Row],[SỐ TÍN CHỈ]]*1,0)</f>
        <v>0</v>
      </c>
      <c r="U13" s="8">
        <f>IF(Table1[[#This Row],[CHỮ]]="F",Table1[[#This Row],[SỐ TÍN CHỈ]]*0,0)</f>
        <v>0</v>
      </c>
      <c r="V13" s="21">
        <f>IF(Table1[[#This Row],[ĐIỂM 10 ]]=10,10,IF(AND(Table1[[#This Row],[ĐIỂM 10 ]]&lt;10,Table1[[#This Row],[ĐIỂM 10 ]]&gt;=9),9,IF(AND(Table1[[#This Row],[ĐIỂM 10 ]]&lt;9,Table1[[#This Row],[ĐIỂM 10 ]]&gt;=8),8,0)))</f>
        <v>0</v>
      </c>
    </row>
    <row r="14" spans="1:24" ht="18" customHeight="1" x14ac:dyDescent="0.45">
      <c r="A14" s="8"/>
      <c r="B14" s="25" t="s">
        <v>49</v>
      </c>
      <c r="C14" s="26">
        <f>IF(OR(STC_bb="",GPA_mt=0,GPAht=""),"",4*C5+SUMPRODUCT(TC,TD_4)-C9*C4)</f>
        <v>69.100000000000023</v>
      </c>
      <c r="D14" s="8"/>
      <c r="E14" s="8"/>
      <c r="F14" s="72">
        <v>13</v>
      </c>
      <c r="G14" s="53" t="s">
        <v>117</v>
      </c>
      <c r="H14" s="110">
        <v>3</v>
      </c>
      <c r="I14" s="68">
        <v>8</v>
      </c>
      <c r="J14" s="74">
        <v>3.5</v>
      </c>
      <c r="K14" s="82" t="s">
        <v>3</v>
      </c>
      <c r="L14" s="76" t="s">
        <v>104</v>
      </c>
      <c r="M14" s="5">
        <f>IF(AND(LEN(Table1[[#This Row],[MÔN HỌC]])&gt;0,Table1[[#This Row],[SỐ TÍN CHỈ]]&gt;0,Table1[[#This Row],[ĐIỂM 10 ]]&gt;0),1,0)</f>
        <v>1</v>
      </c>
      <c r="N14" s="20">
        <f>IF(Table1[[#This Row],[ĐIỂM 10 ]]="",1,0)</f>
        <v>0</v>
      </c>
      <c r="O14" s="8">
        <f>IF(OR(Table1[[#This Row],[CHỮ]]="A",Table1[[#This Row],[CHỮ]]="A+"),Table1[[#This Row],[SỐ TÍN CHỈ]]*4,0)</f>
        <v>0</v>
      </c>
      <c r="P14" s="8">
        <f>IF(Table1[[#This Row],[CHỮ]]="B",Table1[[#This Row],[SỐ TÍN CHỈ]]*3,0)</f>
        <v>0</v>
      </c>
      <c r="Q14" s="8">
        <f>IF(Table1[[#This Row],[CHỮ]]="B+",Table1[[#This Row],[SỐ TÍN CHỈ]]*3.5,0)</f>
        <v>10.5</v>
      </c>
      <c r="R14" s="8">
        <f>IF(Table1[[#This Row],[CHỮ]]="C",Table1[[#This Row],[SỐ TÍN CHỈ]]*2,0)</f>
        <v>0</v>
      </c>
      <c r="S14" s="8">
        <f>IF(Table1[[#This Row],[CHỮ]]="C+",Table1[[#This Row],[SỐ TÍN CHỈ]]*2.5,0)</f>
        <v>0</v>
      </c>
      <c r="T14" s="8">
        <f>IF(Table1[[#This Row],[CHỮ]]="D",Table1[[#This Row],[SỐ TÍN CHỈ]]*1,0)</f>
        <v>0</v>
      </c>
      <c r="U14" s="8">
        <f>IF(Table1[[#This Row],[CHỮ]]="F",Table1[[#This Row],[SỐ TÍN CHỈ]]*0,0)</f>
        <v>0</v>
      </c>
      <c r="V14" s="21">
        <f>IF(Table1[[#This Row],[ĐIỂM 10 ]]=10,10,IF(AND(Table1[[#This Row],[ĐIỂM 10 ]]&lt;10,Table1[[#This Row],[ĐIỂM 10 ]]&gt;=9),9,IF(AND(Table1[[#This Row],[ĐIỂM 10 ]]&lt;9,Table1[[#This Row],[ĐIỂM 10 ]]&gt;=8),8,0)))</f>
        <v>8</v>
      </c>
    </row>
    <row r="15" spans="1:24" ht="18" customHeight="1" x14ac:dyDescent="0.45">
      <c r="A15" s="8"/>
      <c r="B15" s="20"/>
      <c r="C15" s="5"/>
      <c r="D15" s="8"/>
      <c r="E15" s="8"/>
      <c r="F15" s="72">
        <v>14</v>
      </c>
      <c r="G15" s="53" t="s">
        <v>118</v>
      </c>
      <c r="H15" s="110">
        <v>2</v>
      </c>
      <c r="I15" s="68">
        <v>9.3000000000000007</v>
      </c>
      <c r="J15" s="74">
        <v>4</v>
      </c>
      <c r="K15" s="82" t="s">
        <v>1</v>
      </c>
      <c r="L15" s="76" t="s">
        <v>9</v>
      </c>
      <c r="M15" s="5">
        <f>IF(AND(LEN(Table1[[#This Row],[MÔN HỌC]])&gt;0,Table1[[#This Row],[SỐ TÍN CHỈ]]&gt;0,Table1[[#This Row],[ĐIỂM 10 ]]&gt;0),1,0)</f>
        <v>1</v>
      </c>
      <c r="N15" s="20">
        <f>IF(Table1[[#This Row],[ĐIỂM 10 ]]="",1,0)</f>
        <v>0</v>
      </c>
      <c r="O15" s="8">
        <f>IF(OR(Table1[[#This Row],[CHỮ]]="A",Table1[[#This Row],[CHỮ]]="A+"),Table1[[#This Row],[SỐ TÍN CHỈ]]*4,0)</f>
        <v>8</v>
      </c>
      <c r="P15" s="8">
        <f>IF(Table1[[#This Row],[CHỮ]]="B",Table1[[#This Row],[SỐ TÍN CHỈ]]*3,0)</f>
        <v>0</v>
      </c>
      <c r="Q15" s="8">
        <f>IF(Table1[[#This Row],[CHỮ]]="B+",Table1[[#This Row],[SỐ TÍN CHỈ]]*3.5,0)</f>
        <v>0</v>
      </c>
      <c r="R15" s="8">
        <f>IF(Table1[[#This Row],[CHỮ]]="C",Table1[[#This Row],[SỐ TÍN CHỈ]]*2,0)</f>
        <v>0</v>
      </c>
      <c r="S15" s="8">
        <f>IF(Table1[[#This Row],[CHỮ]]="C+",Table1[[#This Row],[SỐ TÍN CHỈ]]*2.5,0)</f>
        <v>0</v>
      </c>
      <c r="T15" s="8">
        <f>IF(Table1[[#This Row],[CHỮ]]="D",Table1[[#This Row],[SỐ TÍN CHỈ]]*1,0)</f>
        <v>0</v>
      </c>
      <c r="U15" s="8">
        <f>IF(Table1[[#This Row],[CHỮ]]="F",Table1[[#This Row],[SỐ TÍN CHỈ]]*0,0)</f>
        <v>0</v>
      </c>
      <c r="V15" s="21">
        <f>IF(Table1[[#This Row],[ĐIỂM 10 ]]=10,10,IF(AND(Table1[[#This Row],[ĐIỂM 10 ]]&lt;10,Table1[[#This Row],[ĐIỂM 10 ]]&gt;=9),9,IF(AND(Table1[[#This Row],[ĐIỂM 10 ]]&lt;9,Table1[[#This Row],[ĐIỂM 10 ]]&gt;=8),8,0)))</f>
        <v>9</v>
      </c>
    </row>
    <row r="16" spans="1:24" ht="18" customHeight="1" x14ac:dyDescent="0.45">
      <c r="A16" s="8"/>
      <c r="B16" s="6"/>
      <c r="C16" s="5"/>
      <c r="D16" s="8"/>
      <c r="E16" s="8"/>
      <c r="F16" s="72">
        <v>15</v>
      </c>
      <c r="G16" s="111" t="s">
        <v>119</v>
      </c>
      <c r="H16" s="110">
        <v>3</v>
      </c>
      <c r="I16" s="68">
        <v>7.5</v>
      </c>
      <c r="J16" s="74">
        <v>3</v>
      </c>
      <c r="K16" s="82" t="s">
        <v>4</v>
      </c>
      <c r="L16" s="76" t="s">
        <v>104</v>
      </c>
      <c r="M16" s="5">
        <f>IF(AND(LEN(Table1[[#This Row],[MÔN HỌC]])&gt;0,Table1[[#This Row],[SỐ TÍN CHỈ]]&gt;0,Table1[[#This Row],[ĐIỂM 10 ]]&gt;0),1,0)</f>
        <v>1</v>
      </c>
      <c r="N16" s="20">
        <f>IF(Table1[[#This Row],[ĐIỂM 10 ]]="",1,0)</f>
        <v>0</v>
      </c>
      <c r="O16" s="8">
        <f>IF(OR(Table1[[#This Row],[CHỮ]]="A",Table1[[#This Row],[CHỮ]]="A+"),Table1[[#This Row],[SỐ TÍN CHỈ]]*4,0)</f>
        <v>0</v>
      </c>
      <c r="P16" s="8">
        <f>IF(Table1[[#This Row],[CHỮ]]="B",Table1[[#This Row],[SỐ TÍN CHỈ]]*3,0)</f>
        <v>9</v>
      </c>
      <c r="Q16" s="8">
        <f>IF(Table1[[#This Row],[CHỮ]]="B+",Table1[[#This Row],[SỐ TÍN CHỈ]]*3.5,0)</f>
        <v>0</v>
      </c>
      <c r="R16" s="8">
        <f>IF(Table1[[#This Row],[CHỮ]]="C",Table1[[#This Row],[SỐ TÍN CHỈ]]*2,0)</f>
        <v>0</v>
      </c>
      <c r="S16" s="8">
        <f>IF(Table1[[#This Row],[CHỮ]]="C+",Table1[[#This Row],[SỐ TÍN CHỈ]]*2.5,0)</f>
        <v>0</v>
      </c>
      <c r="T16" s="8">
        <f>IF(Table1[[#This Row],[CHỮ]]="D",Table1[[#This Row],[SỐ TÍN CHỈ]]*1,0)</f>
        <v>0</v>
      </c>
      <c r="U16" s="8">
        <f>IF(Table1[[#This Row],[CHỮ]]="F",Table1[[#This Row],[SỐ TÍN CHỈ]]*0,0)</f>
        <v>0</v>
      </c>
      <c r="V16" s="21">
        <f>IF(Table1[[#This Row],[ĐIỂM 10 ]]=10,10,IF(AND(Table1[[#This Row],[ĐIỂM 10 ]]&lt;10,Table1[[#This Row],[ĐIỂM 10 ]]&gt;=9),9,IF(AND(Table1[[#This Row],[ĐIỂM 10 ]]&lt;9,Table1[[#This Row],[ĐIỂM 10 ]]&gt;=8),8,0)))</f>
        <v>0</v>
      </c>
    </row>
    <row r="17" spans="1:22" ht="18" customHeight="1" x14ac:dyDescent="0.45">
      <c r="A17" s="8"/>
      <c r="B17" s="20"/>
      <c r="C17" s="5"/>
      <c r="D17" s="8"/>
      <c r="E17" s="8"/>
      <c r="F17" s="72">
        <v>16</v>
      </c>
      <c r="G17" s="53" t="s">
        <v>120</v>
      </c>
      <c r="H17" s="110">
        <v>3</v>
      </c>
      <c r="I17" s="68">
        <v>6.5</v>
      </c>
      <c r="J17" s="74">
        <v>2.5</v>
      </c>
      <c r="K17" s="82" t="s">
        <v>5</v>
      </c>
      <c r="L17" s="112" t="s">
        <v>108</v>
      </c>
      <c r="M17" s="5">
        <f>IF(AND(LEN(Table1[[#This Row],[MÔN HỌC]])&gt;0,Table1[[#This Row],[SỐ TÍN CHỈ]]&gt;0,Table1[[#This Row],[ĐIỂM 10 ]]&gt;0),1,0)</f>
        <v>1</v>
      </c>
      <c r="N17" s="20">
        <f>IF(Table1[[#This Row],[ĐIỂM 10 ]]="",1,0)</f>
        <v>0</v>
      </c>
      <c r="O17" s="8">
        <f>IF(OR(Table1[[#This Row],[CHỮ]]="A",Table1[[#This Row],[CHỮ]]="A+"),Table1[[#This Row],[SỐ TÍN CHỈ]]*4,0)</f>
        <v>0</v>
      </c>
      <c r="P17" s="8">
        <f>IF(Table1[[#This Row],[CHỮ]]="B",Table1[[#This Row],[SỐ TÍN CHỈ]]*3,0)</f>
        <v>0</v>
      </c>
      <c r="Q17" s="8">
        <f>IF(Table1[[#This Row],[CHỮ]]="B+",Table1[[#This Row],[SỐ TÍN CHỈ]]*3.5,0)</f>
        <v>0</v>
      </c>
      <c r="R17" s="8">
        <f>IF(Table1[[#This Row],[CHỮ]]="C",Table1[[#This Row],[SỐ TÍN CHỈ]]*2,0)</f>
        <v>0</v>
      </c>
      <c r="S17" s="8">
        <f>IF(Table1[[#This Row],[CHỮ]]="C+",Table1[[#This Row],[SỐ TÍN CHỈ]]*2.5,0)</f>
        <v>7.5</v>
      </c>
      <c r="T17" s="8">
        <f>IF(Table1[[#This Row],[CHỮ]]="D",Table1[[#This Row],[SỐ TÍN CHỈ]]*1,0)</f>
        <v>0</v>
      </c>
      <c r="U17" s="8">
        <f>IF(Table1[[#This Row],[CHỮ]]="F",Table1[[#This Row],[SỐ TÍN CHỈ]]*0,0)</f>
        <v>0</v>
      </c>
      <c r="V17" s="21">
        <f>IF(Table1[[#This Row],[ĐIỂM 10 ]]=10,10,IF(AND(Table1[[#This Row],[ĐIỂM 10 ]]&lt;10,Table1[[#This Row],[ĐIỂM 10 ]]&gt;=9),9,IF(AND(Table1[[#This Row],[ĐIỂM 10 ]]&lt;9,Table1[[#This Row],[ĐIỂM 10 ]]&gt;=8),8,0)))</f>
        <v>0</v>
      </c>
    </row>
    <row r="18" spans="1:22" ht="18" customHeight="1" x14ac:dyDescent="0.45">
      <c r="A18" s="8"/>
      <c r="B18" s="20"/>
      <c r="C18" s="5"/>
      <c r="D18" s="8"/>
      <c r="E18" s="8"/>
      <c r="F18" s="72">
        <v>17</v>
      </c>
      <c r="G18" s="53" t="s">
        <v>121</v>
      </c>
      <c r="H18" s="110">
        <v>3</v>
      </c>
      <c r="I18" s="68">
        <v>7.1</v>
      </c>
      <c r="J18" s="74">
        <v>3</v>
      </c>
      <c r="K18" s="82" t="s">
        <v>4</v>
      </c>
      <c r="L18" s="76" t="s">
        <v>104</v>
      </c>
      <c r="M18" s="5">
        <f>IF(AND(LEN(Table1[[#This Row],[MÔN HỌC]])&gt;0,Table1[[#This Row],[SỐ TÍN CHỈ]]&gt;0,Table1[[#This Row],[ĐIỂM 10 ]]&gt;0),1,0)</f>
        <v>1</v>
      </c>
      <c r="N18" s="20">
        <f>IF(Table1[[#This Row],[ĐIỂM 10 ]]="",1,0)</f>
        <v>0</v>
      </c>
      <c r="O18" s="8">
        <f>IF(OR(Table1[[#This Row],[CHỮ]]="A",Table1[[#This Row],[CHỮ]]="A+"),Table1[[#This Row],[SỐ TÍN CHỈ]]*4,0)</f>
        <v>0</v>
      </c>
      <c r="P18" s="8">
        <f>IF(Table1[[#This Row],[CHỮ]]="B",Table1[[#This Row],[SỐ TÍN CHỈ]]*3,0)</f>
        <v>9</v>
      </c>
      <c r="Q18" s="8">
        <f>IF(Table1[[#This Row],[CHỮ]]="B+",Table1[[#This Row],[SỐ TÍN CHỈ]]*3.5,0)</f>
        <v>0</v>
      </c>
      <c r="R18" s="8">
        <f>IF(Table1[[#This Row],[CHỮ]]="C",Table1[[#This Row],[SỐ TÍN CHỈ]]*2,0)</f>
        <v>0</v>
      </c>
      <c r="S18" s="8">
        <f>IF(Table1[[#This Row],[CHỮ]]="C+",Table1[[#This Row],[SỐ TÍN CHỈ]]*2.5,0)</f>
        <v>0</v>
      </c>
      <c r="T18" s="8">
        <f>IF(Table1[[#This Row],[CHỮ]]="D",Table1[[#This Row],[SỐ TÍN CHỈ]]*1,0)</f>
        <v>0</v>
      </c>
      <c r="U18" s="8">
        <f>IF(Table1[[#This Row],[CHỮ]]="F",Table1[[#This Row],[SỐ TÍN CHỈ]]*0,0)</f>
        <v>0</v>
      </c>
      <c r="V18" s="21">
        <f>IF(Table1[[#This Row],[ĐIỂM 10 ]]=10,10,IF(AND(Table1[[#This Row],[ĐIỂM 10 ]]&lt;10,Table1[[#This Row],[ĐIỂM 10 ]]&gt;=9),9,IF(AND(Table1[[#This Row],[ĐIỂM 10 ]]&lt;9,Table1[[#This Row],[ĐIỂM 10 ]]&gt;=8),8,0)))</f>
        <v>0</v>
      </c>
    </row>
    <row r="19" spans="1:22" ht="18" customHeight="1" x14ac:dyDescent="0.45">
      <c r="A19" s="8"/>
      <c r="B19" s="20"/>
      <c r="C19" s="5"/>
      <c r="D19" s="8"/>
      <c r="E19" s="8"/>
      <c r="F19" s="72">
        <v>18</v>
      </c>
      <c r="G19" s="53" t="s">
        <v>122</v>
      </c>
      <c r="H19" s="110">
        <v>4</v>
      </c>
      <c r="I19" s="68">
        <v>7.2</v>
      </c>
      <c r="J19" s="74">
        <v>3</v>
      </c>
      <c r="K19" s="82" t="s">
        <v>4</v>
      </c>
      <c r="L19" s="76" t="s">
        <v>104</v>
      </c>
      <c r="M19" s="5">
        <f>IF(AND(LEN(Table1[[#This Row],[MÔN HỌC]])&gt;0,Table1[[#This Row],[SỐ TÍN CHỈ]]&gt;0,Table1[[#This Row],[ĐIỂM 10 ]]&gt;0),1,0)</f>
        <v>1</v>
      </c>
      <c r="N19" s="20">
        <f>IF(Table1[[#This Row],[ĐIỂM 10 ]]="",1,0)</f>
        <v>0</v>
      </c>
      <c r="O19" s="8">
        <f>IF(OR(Table1[[#This Row],[CHỮ]]="A",Table1[[#This Row],[CHỮ]]="A+"),Table1[[#This Row],[SỐ TÍN CHỈ]]*4,0)</f>
        <v>0</v>
      </c>
      <c r="P19" s="8">
        <f>IF(Table1[[#This Row],[CHỮ]]="B",Table1[[#This Row],[SỐ TÍN CHỈ]]*3,0)</f>
        <v>12</v>
      </c>
      <c r="Q19" s="8">
        <f>IF(Table1[[#This Row],[CHỮ]]="B+",Table1[[#This Row],[SỐ TÍN CHỈ]]*3.5,0)</f>
        <v>0</v>
      </c>
      <c r="R19" s="8">
        <f>IF(Table1[[#This Row],[CHỮ]]="C",Table1[[#This Row],[SỐ TÍN CHỈ]]*2,0)</f>
        <v>0</v>
      </c>
      <c r="S19" s="8">
        <f>IF(Table1[[#This Row],[CHỮ]]="C+",Table1[[#This Row],[SỐ TÍN CHỈ]]*2.5,0)</f>
        <v>0</v>
      </c>
      <c r="T19" s="8">
        <f>IF(Table1[[#This Row],[CHỮ]]="D",Table1[[#This Row],[SỐ TÍN CHỈ]]*1,0)</f>
        <v>0</v>
      </c>
      <c r="U19" s="8">
        <f>IF(Table1[[#This Row],[CHỮ]]="F",Table1[[#This Row],[SỐ TÍN CHỈ]]*0,0)</f>
        <v>0</v>
      </c>
      <c r="V19" s="21">
        <f>IF(Table1[[#This Row],[ĐIỂM 10 ]]=10,10,IF(AND(Table1[[#This Row],[ĐIỂM 10 ]]&lt;10,Table1[[#This Row],[ĐIỂM 10 ]]&gt;=9),9,IF(AND(Table1[[#This Row],[ĐIỂM 10 ]]&lt;9,Table1[[#This Row],[ĐIỂM 10 ]]&gt;=8),8,0)))</f>
        <v>0</v>
      </c>
    </row>
    <row r="20" spans="1:22" ht="18" customHeight="1" x14ac:dyDescent="0.45">
      <c r="A20" s="8"/>
      <c r="B20" s="20"/>
      <c r="C20" s="5"/>
      <c r="D20" s="8"/>
      <c r="E20" s="8"/>
      <c r="F20" s="72">
        <v>19</v>
      </c>
      <c r="G20" s="53" t="s">
        <v>123</v>
      </c>
      <c r="H20" s="110">
        <v>3</v>
      </c>
      <c r="I20" s="68">
        <v>7.1</v>
      </c>
      <c r="J20" s="74">
        <v>3</v>
      </c>
      <c r="K20" s="82" t="s">
        <v>4</v>
      </c>
      <c r="L20" s="76" t="s">
        <v>104</v>
      </c>
      <c r="M20" s="5">
        <f>IF(AND(LEN(Table1[[#This Row],[MÔN HỌC]])&gt;0,Table1[[#This Row],[SỐ TÍN CHỈ]]&gt;0,Table1[[#This Row],[ĐIỂM 10 ]]&gt;0),1,0)</f>
        <v>1</v>
      </c>
      <c r="N20" s="20">
        <f>IF(Table1[[#This Row],[ĐIỂM 10 ]]="",1,0)</f>
        <v>0</v>
      </c>
      <c r="O20" s="8">
        <f>IF(OR(Table1[[#This Row],[CHỮ]]="A",Table1[[#This Row],[CHỮ]]="A+"),Table1[[#This Row],[SỐ TÍN CHỈ]]*4,0)</f>
        <v>0</v>
      </c>
      <c r="P20" s="8">
        <f>IF(Table1[[#This Row],[CHỮ]]="B",Table1[[#This Row],[SỐ TÍN CHỈ]]*3,0)</f>
        <v>9</v>
      </c>
      <c r="Q20" s="8">
        <f>IF(Table1[[#This Row],[CHỮ]]="B+",Table1[[#This Row],[SỐ TÍN CHỈ]]*3.5,0)</f>
        <v>0</v>
      </c>
      <c r="R20" s="8">
        <f>IF(Table1[[#This Row],[CHỮ]]="C",Table1[[#This Row],[SỐ TÍN CHỈ]]*2,0)</f>
        <v>0</v>
      </c>
      <c r="S20" s="8">
        <f>IF(Table1[[#This Row],[CHỮ]]="C+",Table1[[#This Row],[SỐ TÍN CHỈ]]*2.5,0)</f>
        <v>0</v>
      </c>
      <c r="T20" s="8">
        <f>IF(Table1[[#This Row],[CHỮ]]="D",Table1[[#This Row],[SỐ TÍN CHỈ]]*1,0)</f>
        <v>0</v>
      </c>
      <c r="U20" s="8">
        <f>IF(Table1[[#This Row],[CHỮ]]="F",Table1[[#This Row],[SỐ TÍN CHỈ]]*0,0)</f>
        <v>0</v>
      </c>
      <c r="V20" s="21">
        <f>IF(Table1[[#This Row],[ĐIỂM 10 ]]=10,10,IF(AND(Table1[[#This Row],[ĐIỂM 10 ]]&lt;10,Table1[[#This Row],[ĐIỂM 10 ]]&gt;=9),9,IF(AND(Table1[[#This Row],[ĐIỂM 10 ]]&lt;9,Table1[[#This Row],[ĐIỂM 10 ]]&gt;=8),8,0)))</f>
        <v>0</v>
      </c>
    </row>
    <row r="21" spans="1:22" ht="18" customHeight="1" x14ac:dyDescent="0.45">
      <c r="A21" s="8"/>
      <c r="B21" s="20"/>
      <c r="C21" s="5"/>
      <c r="D21" s="8"/>
      <c r="E21" s="8"/>
      <c r="F21" s="72">
        <v>20</v>
      </c>
      <c r="G21" s="53" t="s">
        <v>124</v>
      </c>
      <c r="H21" s="110">
        <v>3</v>
      </c>
      <c r="I21" s="68">
        <v>6.7</v>
      </c>
      <c r="J21" s="74">
        <v>2.5</v>
      </c>
      <c r="K21" s="82" t="s">
        <v>5</v>
      </c>
      <c r="L21" s="112" t="s">
        <v>108</v>
      </c>
      <c r="M21" s="5">
        <f>IF(AND(LEN(Table1[[#This Row],[MÔN HỌC]])&gt;0,Table1[[#This Row],[SỐ TÍN CHỈ]]&gt;0,Table1[[#This Row],[ĐIỂM 10 ]]&gt;0),1,0)</f>
        <v>1</v>
      </c>
      <c r="N21" s="20">
        <f>IF(Table1[[#This Row],[ĐIỂM 10 ]]="",1,0)</f>
        <v>0</v>
      </c>
      <c r="O21" s="8">
        <f>IF(OR(Table1[[#This Row],[CHỮ]]="A",Table1[[#This Row],[CHỮ]]="A+"),Table1[[#This Row],[SỐ TÍN CHỈ]]*4,0)</f>
        <v>0</v>
      </c>
      <c r="P21" s="8">
        <f>IF(Table1[[#This Row],[CHỮ]]="B",Table1[[#This Row],[SỐ TÍN CHỈ]]*3,0)</f>
        <v>0</v>
      </c>
      <c r="Q21" s="8">
        <f>IF(Table1[[#This Row],[CHỮ]]="B+",Table1[[#This Row],[SỐ TÍN CHỈ]]*3.5,0)</f>
        <v>0</v>
      </c>
      <c r="R21" s="8">
        <f>IF(Table1[[#This Row],[CHỮ]]="C",Table1[[#This Row],[SỐ TÍN CHỈ]]*2,0)</f>
        <v>0</v>
      </c>
      <c r="S21" s="8">
        <f>IF(Table1[[#This Row],[CHỮ]]="C+",Table1[[#This Row],[SỐ TÍN CHỈ]]*2.5,0)</f>
        <v>7.5</v>
      </c>
      <c r="T21" s="8">
        <f>IF(Table1[[#This Row],[CHỮ]]="D",Table1[[#This Row],[SỐ TÍN CHỈ]]*1,0)</f>
        <v>0</v>
      </c>
      <c r="U21" s="8">
        <f>IF(Table1[[#This Row],[CHỮ]]="F",Table1[[#This Row],[SỐ TÍN CHỈ]]*0,0)</f>
        <v>0</v>
      </c>
      <c r="V21" s="21">
        <f>IF(Table1[[#This Row],[ĐIỂM 10 ]]=10,10,IF(AND(Table1[[#This Row],[ĐIỂM 10 ]]&lt;10,Table1[[#This Row],[ĐIỂM 10 ]]&gt;=9),9,IF(AND(Table1[[#This Row],[ĐIỂM 10 ]]&lt;9,Table1[[#This Row],[ĐIỂM 10 ]]&gt;=8),8,0)))</f>
        <v>0</v>
      </c>
    </row>
    <row r="22" spans="1:22" ht="18" customHeight="1" x14ac:dyDescent="0.45">
      <c r="A22" s="8"/>
      <c r="B22" s="20"/>
      <c r="C22" s="5"/>
      <c r="D22" s="8"/>
      <c r="E22" s="8"/>
      <c r="F22" s="72">
        <v>21</v>
      </c>
      <c r="G22" s="53" t="s">
        <v>125</v>
      </c>
      <c r="H22" s="110">
        <v>3</v>
      </c>
      <c r="I22" s="68">
        <v>8.6999999999999993</v>
      </c>
      <c r="J22" s="74">
        <v>3.8</v>
      </c>
      <c r="K22" s="82" t="s">
        <v>2</v>
      </c>
      <c r="L22" s="76" t="s">
        <v>115</v>
      </c>
      <c r="M22" s="5">
        <f>IF(AND(LEN(Table1[[#This Row],[MÔN HỌC]])&gt;0,Table1[[#This Row],[SỐ TÍN CHỈ]]&gt;0,Table1[[#This Row],[ĐIỂM 10 ]]&gt;0),1,0)</f>
        <v>1</v>
      </c>
      <c r="N22" s="20">
        <f>IF(Table1[[#This Row],[ĐIỂM 10 ]]="",1,0)</f>
        <v>0</v>
      </c>
      <c r="O22" s="8">
        <f>IF(OR(Table1[[#This Row],[CHỮ]]="A",Table1[[#This Row],[CHỮ]]="A+"),Table1[[#This Row],[SỐ TÍN CHỈ]]*4,0)</f>
        <v>12</v>
      </c>
      <c r="P22" s="8">
        <f>IF(Table1[[#This Row],[CHỮ]]="B",Table1[[#This Row],[SỐ TÍN CHỈ]]*3,0)</f>
        <v>0</v>
      </c>
      <c r="Q22" s="8">
        <f>IF(Table1[[#This Row],[CHỮ]]="B+",Table1[[#This Row],[SỐ TÍN CHỈ]]*3.5,0)</f>
        <v>0</v>
      </c>
      <c r="R22" s="8">
        <f>IF(Table1[[#This Row],[CHỮ]]="C",Table1[[#This Row],[SỐ TÍN CHỈ]]*2,0)</f>
        <v>0</v>
      </c>
      <c r="S22" s="8">
        <f>IF(Table1[[#This Row],[CHỮ]]="C+",Table1[[#This Row],[SỐ TÍN CHỈ]]*2.5,0)</f>
        <v>0</v>
      </c>
      <c r="T22" s="8">
        <f>IF(Table1[[#This Row],[CHỮ]]="D",Table1[[#This Row],[SỐ TÍN CHỈ]]*1,0)</f>
        <v>0</v>
      </c>
      <c r="U22" s="8">
        <f>IF(Table1[[#This Row],[CHỮ]]="F",Table1[[#This Row],[SỐ TÍN CHỈ]]*0,0)</f>
        <v>0</v>
      </c>
      <c r="V22" s="21">
        <f>IF(Table1[[#This Row],[ĐIỂM 10 ]]=10,10,IF(AND(Table1[[#This Row],[ĐIỂM 10 ]]&lt;10,Table1[[#This Row],[ĐIỂM 10 ]]&gt;=9),9,IF(AND(Table1[[#This Row],[ĐIỂM 10 ]]&lt;9,Table1[[#This Row],[ĐIỂM 10 ]]&gt;=8),8,0)))</f>
        <v>8</v>
      </c>
    </row>
    <row r="23" spans="1:22" ht="18" customHeight="1" x14ac:dyDescent="0.45">
      <c r="A23" s="8"/>
      <c r="B23" s="20"/>
      <c r="C23" s="5"/>
      <c r="D23" s="8"/>
      <c r="E23" s="8"/>
      <c r="F23" s="72">
        <v>22</v>
      </c>
      <c r="G23" s="53" t="s">
        <v>126</v>
      </c>
      <c r="H23" s="110">
        <v>2</v>
      </c>
      <c r="I23" s="68">
        <v>7.7</v>
      </c>
      <c r="J23" s="74">
        <v>3</v>
      </c>
      <c r="K23" s="82" t="s">
        <v>4</v>
      </c>
      <c r="L23" s="76" t="s">
        <v>104</v>
      </c>
      <c r="M23" s="5">
        <f>IF(AND(LEN(Table1[[#This Row],[MÔN HỌC]])&gt;0,Table1[[#This Row],[SỐ TÍN CHỈ]]&gt;0,Table1[[#This Row],[ĐIỂM 10 ]]&gt;0),1,0)</f>
        <v>1</v>
      </c>
      <c r="N23" s="20">
        <f>IF(Table1[[#This Row],[ĐIỂM 10 ]]="",1,0)</f>
        <v>0</v>
      </c>
      <c r="O23" s="8">
        <f>IF(OR(Table1[[#This Row],[CHỮ]]="A",Table1[[#This Row],[CHỮ]]="A+"),Table1[[#This Row],[SỐ TÍN CHỈ]]*4,0)</f>
        <v>0</v>
      </c>
      <c r="P23" s="8">
        <f>IF(Table1[[#This Row],[CHỮ]]="B",Table1[[#This Row],[SỐ TÍN CHỈ]]*3,0)</f>
        <v>6</v>
      </c>
      <c r="Q23" s="8">
        <f>IF(Table1[[#This Row],[CHỮ]]="B+",Table1[[#This Row],[SỐ TÍN CHỈ]]*3.5,0)</f>
        <v>0</v>
      </c>
      <c r="R23" s="8">
        <f>IF(Table1[[#This Row],[CHỮ]]="C",Table1[[#This Row],[SỐ TÍN CHỈ]]*2,0)</f>
        <v>0</v>
      </c>
      <c r="S23" s="8">
        <f>IF(Table1[[#This Row],[CHỮ]]="C+",Table1[[#This Row],[SỐ TÍN CHỈ]]*2.5,0)</f>
        <v>0</v>
      </c>
      <c r="T23" s="8">
        <f>IF(Table1[[#This Row],[CHỮ]]="D",Table1[[#This Row],[SỐ TÍN CHỈ]]*1,0)</f>
        <v>0</v>
      </c>
      <c r="U23" s="8">
        <f>IF(Table1[[#This Row],[CHỮ]]="F",Table1[[#This Row],[SỐ TÍN CHỈ]]*0,0)</f>
        <v>0</v>
      </c>
      <c r="V23" s="21">
        <f>IF(Table1[[#This Row],[ĐIỂM 10 ]]=10,10,IF(AND(Table1[[#This Row],[ĐIỂM 10 ]]&lt;10,Table1[[#This Row],[ĐIỂM 10 ]]&gt;=9),9,IF(AND(Table1[[#This Row],[ĐIỂM 10 ]]&lt;9,Table1[[#This Row],[ĐIỂM 10 ]]&gt;=8),8,0)))</f>
        <v>0</v>
      </c>
    </row>
    <row r="24" spans="1:22" ht="18" customHeight="1" x14ac:dyDescent="0.45">
      <c r="A24" s="8"/>
      <c r="B24" s="20"/>
      <c r="C24" s="5"/>
      <c r="D24" s="8"/>
      <c r="E24" s="8"/>
      <c r="F24" s="72">
        <v>23</v>
      </c>
      <c r="G24" s="53" t="s">
        <v>127</v>
      </c>
      <c r="H24" s="110">
        <v>2</v>
      </c>
      <c r="I24" s="68">
        <v>8.3000000000000007</v>
      </c>
      <c r="J24" s="74">
        <v>3.5</v>
      </c>
      <c r="K24" s="82"/>
      <c r="L24" s="76" t="s">
        <v>104</v>
      </c>
      <c r="M24" s="5">
        <f>IF(AND(LEN(Table1[[#This Row],[MÔN HỌC]])&gt;0,Table1[[#This Row],[SỐ TÍN CHỈ]]&gt;0,Table1[[#This Row],[ĐIỂM 10 ]]&gt;0),1,0)</f>
        <v>1</v>
      </c>
      <c r="N24" s="20">
        <f>IF(Table1[[#This Row],[ĐIỂM 10 ]]="",1,0)</f>
        <v>0</v>
      </c>
      <c r="O24" s="8">
        <f>IF(OR(Table1[[#This Row],[CHỮ]]="A",Table1[[#This Row],[CHỮ]]="A+"),Table1[[#This Row],[SỐ TÍN CHỈ]]*4,0)</f>
        <v>0</v>
      </c>
      <c r="P24" s="8">
        <f>IF(Table1[[#This Row],[CHỮ]]="B",Table1[[#This Row],[SỐ TÍN CHỈ]]*3,0)</f>
        <v>0</v>
      </c>
      <c r="Q24" s="8">
        <f>IF(Table1[[#This Row],[CHỮ]]="B+",Table1[[#This Row],[SỐ TÍN CHỈ]]*3.5,0)</f>
        <v>0</v>
      </c>
      <c r="R24" s="8">
        <f>IF(Table1[[#This Row],[CHỮ]]="C",Table1[[#This Row],[SỐ TÍN CHỈ]]*2,0)</f>
        <v>0</v>
      </c>
      <c r="S24" s="8">
        <f>IF(Table1[[#This Row],[CHỮ]]="C+",Table1[[#This Row],[SỐ TÍN CHỈ]]*2.5,0)</f>
        <v>0</v>
      </c>
      <c r="T24" s="8">
        <f>IF(Table1[[#This Row],[CHỮ]]="D",Table1[[#This Row],[SỐ TÍN CHỈ]]*1,0)</f>
        <v>0</v>
      </c>
      <c r="U24" s="8">
        <f>IF(Table1[[#This Row],[CHỮ]]="F",Table1[[#This Row],[SỐ TÍN CHỈ]]*0,0)</f>
        <v>0</v>
      </c>
      <c r="V24" s="21">
        <f>IF(Table1[[#This Row],[ĐIỂM 10 ]]=10,10,IF(AND(Table1[[#This Row],[ĐIỂM 10 ]]&lt;10,Table1[[#This Row],[ĐIỂM 10 ]]&gt;=9),9,IF(AND(Table1[[#This Row],[ĐIỂM 10 ]]&lt;9,Table1[[#This Row],[ĐIỂM 10 ]]&gt;=8),8,0)))</f>
        <v>8</v>
      </c>
    </row>
    <row r="25" spans="1:22" ht="18" customHeight="1" x14ac:dyDescent="0.45">
      <c r="A25" s="8"/>
      <c r="B25" s="20"/>
      <c r="C25" s="5"/>
      <c r="D25" s="8"/>
      <c r="E25" s="8"/>
      <c r="F25" s="72">
        <v>24</v>
      </c>
      <c r="G25" s="53" t="s">
        <v>128</v>
      </c>
      <c r="H25" s="110">
        <v>2</v>
      </c>
      <c r="I25" s="68">
        <v>7.3</v>
      </c>
      <c r="J25" s="74">
        <v>3</v>
      </c>
      <c r="K25" s="82"/>
      <c r="L25" s="76" t="s">
        <v>104</v>
      </c>
      <c r="M25" s="5">
        <f>IF(AND(LEN(Table1[[#This Row],[MÔN HỌC]])&gt;0,Table1[[#This Row],[SỐ TÍN CHỈ]]&gt;0,Table1[[#This Row],[ĐIỂM 10 ]]&gt;0),1,0)</f>
        <v>1</v>
      </c>
      <c r="N25" s="20">
        <f>IF(Table1[[#This Row],[ĐIỂM 10 ]]="",1,0)</f>
        <v>0</v>
      </c>
      <c r="O25" s="8">
        <f>IF(OR(Table1[[#This Row],[CHỮ]]="A",Table1[[#This Row],[CHỮ]]="A+"),Table1[[#This Row],[SỐ TÍN CHỈ]]*4,0)</f>
        <v>0</v>
      </c>
      <c r="P25" s="8">
        <f>IF(Table1[[#This Row],[CHỮ]]="B",Table1[[#This Row],[SỐ TÍN CHỈ]]*3,0)</f>
        <v>0</v>
      </c>
      <c r="Q25" s="8">
        <f>IF(Table1[[#This Row],[CHỮ]]="B+",Table1[[#This Row],[SỐ TÍN CHỈ]]*3.5,0)</f>
        <v>0</v>
      </c>
      <c r="R25" s="8">
        <f>IF(Table1[[#This Row],[CHỮ]]="C",Table1[[#This Row],[SỐ TÍN CHỈ]]*2,0)</f>
        <v>0</v>
      </c>
      <c r="S25" s="8">
        <f>IF(Table1[[#This Row],[CHỮ]]="C+",Table1[[#This Row],[SỐ TÍN CHỈ]]*2.5,0)</f>
        <v>0</v>
      </c>
      <c r="T25" s="8">
        <f>IF(Table1[[#This Row],[CHỮ]]="D",Table1[[#This Row],[SỐ TÍN CHỈ]]*1,0)</f>
        <v>0</v>
      </c>
      <c r="U25" s="8">
        <f>IF(Table1[[#This Row],[CHỮ]]="F",Table1[[#This Row],[SỐ TÍN CHỈ]]*0,0)</f>
        <v>0</v>
      </c>
      <c r="V25" s="21">
        <f>IF(Table1[[#This Row],[ĐIỂM 10 ]]=10,10,IF(AND(Table1[[#This Row],[ĐIỂM 10 ]]&lt;10,Table1[[#This Row],[ĐIỂM 10 ]]&gt;=9),9,IF(AND(Table1[[#This Row],[ĐIỂM 10 ]]&lt;9,Table1[[#This Row],[ĐIỂM 10 ]]&gt;=8),8,0)))</f>
        <v>0</v>
      </c>
    </row>
    <row r="26" spans="1:22" ht="18" customHeight="1" x14ac:dyDescent="0.45">
      <c r="A26" s="8"/>
      <c r="B26" s="20"/>
      <c r="C26" s="5"/>
      <c r="D26" s="8"/>
      <c r="E26" s="8"/>
      <c r="F26" s="72">
        <v>25</v>
      </c>
      <c r="G26" s="53"/>
      <c r="K26" s="82"/>
      <c r="M26" s="5">
        <f>IF(AND(LEN(Table1[[#This Row],[MÔN HỌC]])&gt;0,Table1[[#This Row],[SỐ TÍN CHỈ]]&gt;0,Table1[[#This Row],[ĐIỂM 10 ]]&gt;0),1,0)</f>
        <v>0</v>
      </c>
      <c r="N26" s="20">
        <f>IF(Table1[[#This Row],[ĐIỂM 10 ]]="",1,0)</f>
        <v>1</v>
      </c>
      <c r="O26" s="8">
        <f>IF(OR(Table1[[#This Row],[CHỮ]]="A",Table1[[#This Row],[CHỮ]]="A+"),Table1[[#This Row],[SỐ TÍN CHỈ]]*4,0)</f>
        <v>0</v>
      </c>
      <c r="P26" s="8">
        <f>IF(Table1[[#This Row],[CHỮ]]="B",Table1[[#This Row],[SỐ TÍN CHỈ]]*3,0)</f>
        <v>0</v>
      </c>
      <c r="Q26" s="8">
        <f>IF(Table1[[#This Row],[CHỮ]]="B+",Table1[[#This Row],[SỐ TÍN CHỈ]]*3.5,0)</f>
        <v>0</v>
      </c>
      <c r="R26" s="8">
        <f>IF(Table1[[#This Row],[CHỮ]]="C",Table1[[#This Row],[SỐ TÍN CHỈ]]*2,0)</f>
        <v>0</v>
      </c>
      <c r="S26" s="8">
        <f>IF(Table1[[#This Row],[CHỮ]]="C+",Table1[[#This Row],[SỐ TÍN CHỈ]]*2.5,0)</f>
        <v>0</v>
      </c>
      <c r="T26" s="8">
        <f>IF(Table1[[#This Row],[CHỮ]]="D",Table1[[#This Row],[SỐ TÍN CHỈ]]*1,0)</f>
        <v>0</v>
      </c>
      <c r="U26" s="8">
        <f>IF(Table1[[#This Row],[CHỮ]]="F",Table1[[#This Row],[SỐ TÍN CHỈ]]*0,0)</f>
        <v>0</v>
      </c>
      <c r="V26" s="21">
        <f>IF(Table1[[#This Row],[ĐIỂM 10 ]]=10,10,IF(AND(Table1[[#This Row],[ĐIỂM 10 ]]&lt;10,Table1[[#This Row],[ĐIỂM 10 ]]&gt;=9),9,IF(AND(Table1[[#This Row],[ĐIỂM 10 ]]&lt;9,Table1[[#This Row],[ĐIỂM 10 ]]&gt;=8),8,0)))</f>
        <v>0</v>
      </c>
    </row>
    <row r="27" spans="1:22" ht="18" customHeight="1" x14ac:dyDescent="0.45">
      <c r="A27" s="8"/>
      <c r="B27" s="20"/>
      <c r="C27" s="5"/>
      <c r="D27" s="8"/>
      <c r="E27" s="8"/>
      <c r="F27" s="72">
        <v>26</v>
      </c>
      <c r="G27" s="53"/>
      <c r="K27" s="82"/>
      <c r="M27" s="5">
        <f>IF(AND(LEN(Table1[[#This Row],[MÔN HỌC]])&gt;0,Table1[[#This Row],[SỐ TÍN CHỈ]]&gt;0,Table1[[#This Row],[ĐIỂM 10 ]]&gt;0),1,0)</f>
        <v>0</v>
      </c>
      <c r="N27" s="20">
        <f>IF(Table1[[#This Row],[ĐIỂM 10 ]]="",1,0)</f>
        <v>1</v>
      </c>
      <c r="O27" s="8">
        <f>IF(OR(Table1[[#This Row],[CHỮ]]="A",Table1[[#This Row],[CHỮ]]="A+"),Table1[[#This Row],[SỐ TÍN CHỈ]]*4,0)</f>
        <v>0</v>
      </c>
      <c r="P27" s="8">
        <f>IF(Table1[[#This Row],[CHỮ]]="B",Table1[[#This Row],[SỐ TÍN CHỈ]]*3,0)</f>
        <v>0</v>
      </c>
      <c r="Q27" s="8">
        <f>IF(Table1[[#This Row],[CHỮ]]="B+",Table1[[#This Row],[SỐ TÍN CHỈ]]*3.5,0)</f>
        <v>0</v>
      </c>
      <c r="R27" s="8">
        <f>IF(Table1[[#This Row],[CHỮ]]="C",Table1[[#This Row],[SỐ TÍN CHỈ]]*2,0)</f>
        <v>0</v>
      </c>
      <c r="S27" s="8">
        <f>IF(Table1[[#This Row],[CHỮ]]="C+",Table1[[#This Row],[SỐ TÍN CHỈ]]*2.5,0)</f>
        <v>0</v>
      </c>
      <c r="T27" s="8">
        <f>IF(Table1[[#This Row],[CHỮ]]="D",Table1[[#This Row],[SỐ TÍN CHỈ]]*1,0)</f>
        <v>0</v>
      </c>
      <c r="U27" s="8">
        <f>IF(Table1[[#This Row],[CHỮ]]="F",Table1[[#This Row],[SỐ TÍN CHỈ]]*0,0)</f>
        <v>0</v>
      </c>
      <c r="V27" s="21">
        <f>IF(Table1[[#This Row],[ĐIỂM 10 ]]=10,10,IF(AND(Table1[[#This Row],[ĐIỂM 10 ]]&lt;10,Table1[[#This Row],[ĐIỂM 10 ]]&gt;=9),9,IF(AND(Table1[[#This Row],[ĐIỂM 10 ]]&lt;9,Table1[[#This Row],[ĐIỂM 10 ]]&gt;=8),8,0)))</f>
        <v>0</v>
      </c>
    </row>
    <row r="28" spans="1:22" ht="18" customHeight="1" x14ac:dyDescent="0.45">
      <c r="A28" s="8"/>
      <c r="B28" s="20"/>
      <c r="C28" s="5"/>
      <c r="D28" s="8"/>
      <c r="E28" s="8"/>
      <c r="F28" s="72">
        <v>27</v>
      </c>
      <c r="G28" s="53"/>
      <c r="K28" s="82"/>
      <c r="M28" s="5">
        <f>IF(AND(LEN(Table1[[#This Row],[MÔN HỌC]])&gt;0,Table1[[#This Row],[SỐ TÍN CHỈ]]&gt;0,Table1[[#This Row],[ĐIỂM 10 ]]&gt;0),1,0)</f>
        <v>0</v>
      </c>
      <c r="N28" s="20">
        <f>IF(Table1[[#This Row],[ĐIỂM 10 ]]="",1,0)</f>
        <v>1</v>
      </c>
      <c r="O28" s="8">
        <f>IF(OR(Table1[[#This Row],[CHỮ]]="A",Table1[[#This Row],[CHỮ]]="A+"),Table1[[#This Row],[SỐ TÍN CHỈ]]*4,0)</f>
        <v>0</v>
      </c>
      <c r="P28" s="8">
        <f>IF(Table1[[#This Row],[CHỮ]]="B",Table1[[#This Row],[SỐ TÍN CHỈ]]*3,0)</f>
        <v>0</v>
      </c>
      <c r="Q28" s="8">
        <f>IF(Table1[[#This Row],[CHỮ]]="B+",Table1[[#This Row],[SỐ TÍN CHỈ]]*3.5,0)</f>
        <v>0</v>
      </c>
      <c r="R28" s="8">
        <f>IF(Table1[[#This Row],[CHỮ]]="C",Table1[[#This Row],[SỐ TÍN CHỈ]]*2,0)</f>
        <v>0</v>
      </c>
      <c r="S28" s="8">
        <f>IF(Table1[[#This Row],[CHỮ]]="C+",Table1[[#This Row],[SỐ TÍN CHỈ]]*2.5,0)</f>
        <v>0</v>
      </c>
      <c r="T28" s="8">
        <f>IF(Table1[[#This Row],[CHỮ]]="D",Table1[[#This Row],[SỐ TÍN CHỈ]]*1,0)</f>
        <v>0</v>
      </c>
      <c r="U28" s="8">
        <f>IF(Table1[[#This Row],[CHỮ]]="F",Table1[[#This Row],[SỐ TÍN CHỈ]]*0,0)</f>
        <v>0</v>
      </c>
      <c r="V28" s="21">
        <f>IF(Table1[[#This Row],[ĐIỂM 10 ]]=10,10,IF(AND(Table1[[#This Row],[ĐIỂM 10 ]]&lt;10,Table1[[#This Row],[ĐIỂM 10 ]]&gt;=9),9,IF(AND(Table1[[#This Row],[ĐIỂM 10 ]]&lt;9,Table1[[#This Row],[ĐIỂM 10 ]]&gt;=8),8,0)))</f>
        <v>0</v>
      </c>
    </row>
    <row r="29" spans="1:22" ht="18" customHeight="1" x14ac:dyDescent="0.45">
      <c r="A29" s="8"/>
      <c r="B29" s="20"/>
      <c r="C29" s="5"/>
      <c r="D29" s="8"/>
      <c r="E29" s="8"/>
      <c r="F29" s="72">
        <v>28</v>
      </c>
      <c r="G29" s="53"/>
      <c r="K29" s="82"/>
      <c r="M29" s="5">
        <f>IF(AND(LEN(Table1[[#This Row],[MÔN HỌC]])&gt;0,Table1[[#This Row],[SỐ TÍN CHỈ]]&gt;0,Table1[[#This Row],[ĐIỂM 10 ]]&gt;0),1,0)</f>
        <v>0</v>
      </c>
      <c r="N29" s="20">
        <f>IF(Table1[[#This Row],[ĐIỂM 10 ]]="",1,0)</f>
        <v>1</v>
      </c>
      <c r="O29" s="8">
        <f>IF(OR(Table1[[#This Row],[CHỮ]]="A",Table1[[#This Row],[CHỮ]]="A+"),Table1[[#This Row],[SỐ TÍN CHỈ]]*4,0)</f>
        <v>0</v>
      </c>
      <c r="P29" s="8">
        <f>IF(Table1[[#This Row],[CHỮ]]="B",Table1[[#This Row],[SỐ TÍN CHỈ]]*3,0)</f>
        <v>0</v>
      </c>
      <c r="Q29" s="8">
        <f>IF(Table1[[#This Row],[CHỮ]]="B+",Table1[[#This Row],[SỐ TÍN CHỈ]]*3.5,0)</f>
        <v>0</v>
      </c>
      <c r="R29" s="8">
        <f>IF(Table1[[#This Row],[CHỮ]]="C",Table1[[#This Row],[SỐ TÍN CHỈ]]*2,0)</f>
        <v>0</v>
      </c>
      <c r="S29" s="8">
        <f>IF(Table1[[#This Row],[CHỮ]]="C+",Table1[[#This Row],[SỐ TÍN CHỈ]]*2.5,0)</f>
        <v>0</v>
      </c>
      <c r="T29" s="8">
        <f>IF(Table1[[#This Row],[CHỮ]]="D",Table1[[#This Row],[SỐ TÍN CHỈ]]*1,0)</f>
        <v>0</v>
      </c>
      <c r="U29" s="8">
        <f>IF(Table1[[#This Row],[CHỮ]]="F",Table1[[#This Row],[SỐ TÍN CHỈ]]*0,0)</f>
        <v>0</v>
      </c>
      <c r="V29" s="21">
        <f>IF(Table1[[#This Row],[ĐIỂM 10 ]]=10,10,IF(AND(Table1[[#This Row],[ĐIỂM 10 ]]&lt;10,Table1[[#This Row],[ĐIỂM 10 ]]&gt;=9),9,IF(AND(Table1[[#This Row],[ĐIỂM 10 ]]&lt;9,Table1[[#This Row],[ĐIỂM 10 ]]&gt;=8),8,0)))</f>
        <v>0</v>
      </c>
    </row>
    <row r="30" spans="1:22" ht="18" customHeight="1" x14ac:dyDescent="0.45">
      <c r="A30" s="8"/>
      <c r="B30" s="20"/>
      <c r="C30" s="5"/>
      <c r="D30" s="8"/>
      <c r="E30" s="8"/>
      <c r="F30" s="72">
        <v>29</v>
      </c>
      <c r="G30" s="53"/>
      <c r="K30" s="82"/>
      <c r="M30" s="5">
        <f>IF(AND(LEN(Table1[[#This Row],[MÔN HỌC]])&gt;0,Table1[[#This Row],[SỐ TÍN CHỈ]]&gt;0,Table1[[#This Row],[ĐIỂM 10 ]]&gt;0),1,0)</f>
        <v>0</v>
      </c>
      <c r="N30" s="20">
        <f>IF(Table1[[#This Row],[ĐIỂM 10 ]]="",1,0)</f>
        <v>1</v>
      </c>
      <c r="O30" s="8">
        <f>IF(OR(Table1[[#This Row],[CHỮ]]="A",Table1[[#This Row],[CHỮ]]="A+"),Table1[[#This Row],[SỐ TÍN CHỈ]]*4,0)</f>
        <v>0</v>
      </c>
      <c r="P30" s="8">
        <f>IF(Table1[[#This Row],[CHỮ]]="B",Table1[[#This Row],[SỐ TÍN CHỈ]]*3,0)</f>
        <v>0</v>
      </c>
      <c r="Q30" s="8">
        <f>IF(Table1[[#This Row],[CHỮ]]="B+",Table1[[#This Row],[SỐ TÍN CHỈ]]*3.5,0)</f>
        <v>0</v>
      </c>
      <c r="R30" s="8">
        <f>IF(Table1[[#This Row],[CHỮ]]="C",Table1[[#This Row],[SỐ TÍN CHỈ]]*2,0)</f>
        <v>0</v>
      </c>
      <c r="S30" s="8">
        <f>IF(Table1[[#This Row],[CHỮ]]="C+",Table1[[#This Row],[SỐ TÍN CHỈ]]*2.5,0)</f>
        <v>0</v>
      </c>
      <c r="T30" s="8">
        <f>IF(Table1[[#This Row],[CHỮ]]="D",Table1[[#This Row],[SỐ TÍN CHỈ]]*1,0)</f>
        <v>0</v>
      </c>
      <c r="U30" s="8">
        <f>IF(Table1[[#This Row],[CHỮ]]="F",Table1[[#This Row],[SỐ TÍN CHỈ]]*0,0)</f>
        <v>0</v>
      </c>
      <c r="V30" s="21">
        <f>IF(Table1[[#This Row],[ĐIỂM 10 ]]=10,10,IF(AND(Table1[[#This Row],[ĐIỂM 10 ]]&lt;10,Table1[[#This Row],[ĐIỂM 10 ]]&gt;=9),9,IF(AND(Table1[[#This Row],[ĐIỂM 10 ]]&lt;9,Table1[[#This Row],[ĐIỂM 10 ]]&gt;=8),8,0)))</f>
        <v>0</v>
      </c>
    </row>
    <row r="31" spans="1:22" ht="18" customHeight="1" x14ac:dyDescent="0.45">
      <c r="A31" s="8"/>
      <c r="B31" s="20"/>
      <c r="C31" s="5"/>
      <c r="D31" s="8"/>
      <c r="E31" s="8"/>
      <c r="F31" s="72">
        <v>30</v>
      </c>
      <c r="G31" s="53"/>
      <c r="K31" s="82"/>
      <c r="M31" s="5">
        <f>IF(AND(LEN(Table1[[#This Row],[MÔN HỌC]])&gt;0,Table1[[#This Row],[SỐ TÍN CHỈ]]&gt;0,Table1[[#This Row],[ĐIỂM 10 ]]&gt;0),1,0)</f>
        <v>0</v>
      </c>
      <c r="N31" s="20">
        <f>IF(Table1[[#This Row],[ĐIỂM 10 ]]="",1,0)</f>
        <v>1</v>
      </c>
      <c r="O31" s="8">
        <f>IF(OR(Table1[[#This Row],[CHỮ]]="A",Table1[[#This Row],[CHỮ]]="A+"),Table1[[#This Row],[SỐ TÍN CHỈ]]*4,0)</f>
        <v>0</v>
      </c>
      <c r="P31" s="8">
        <f>IF(Table1[[#This Row],[CHỮ]]="B",Table1[[#This Row],[SỐ TÍN CHỈ]]*3,0)</f>
        <v>0</v>
      </c>
      <c r="Q31" s="8">
        <f>IF(Table1[[#This Row],[CHỮ]]="B+",Table1[[#This Row],[SỐ TÍN CHỈ]]*3.5,0)</f>
        <v>0</v>
      </c>
      <c r="R31" s="8">
        <f>IF(Table1[[#This Row],[CHỮ]]="C",Table1[[#This Row],[SỐ TÍN CHỈ]]*2,0)</f>
        <v>0</v>
      </c>
      <c r="S31" s="8">
        <f>IF(Table1[[#This Row],[CHỮ]]="C+",Table1[[#This Row],[SỐ TÍN CHỈ]]*2.5,0)</f>
        <v>0</v>
      </c>
      <c r="T31" s="8">
        <f>IF(Table1[[#This Row],[CHỮ]]="D",Table1[[#This Row],[SỐ TÍN CHỈ]]*1,0)</f>
        <v>0</v>
      </c>
      <c r="U31" s="8">
        <f>IF(Table1[[#This Row],[CHỮ]]="F",Table1[[#This Row],[SỐ TÍN CHỈ]]*0,0)</f>
        <v>0</v>
      </c>
      <c r="V31" s="21">
        <f>IF(Table1[[#This Row],[ĐIỂM 10 ]]=10,10,IF(AND(Table1[[#This Row],[ĐIỂM 10 ]]&lt;10,Table1[[#This Row],[ĐIỂM 10 ]]&gt;=9),9,IF(AND(Table1[[#This Row],[ĐIỂM 10 ]]&lt;9,Table1[[#This Row],[ĐIỂM 10 ]]&gt;=8),8,0)))</f>
        <v>0</v>
      </c>
    </row>
    <row r="32" spans="1:22" ht="18" customHeight="1" x14ac:dyDescent="0.45">
      <c r="A32" s="8"/>
      <c r="B32" s="20"/>
      <c r="C32" s="5"/>
      <c r="D32" s="8"/>
      <c r="E32" s="8"/>
      <c r="F32" s="72">
        <v>31</v>
      </c>
      <c r="G32" s="53"/>
      <c r="K32" s="82"/>
      <c r="M32" s="5">
        <f>IF(AND(LEN(Table1[[#This Row],[MÔN HỌC]])&gt;0,Table1[[#This Row],[SỐ TÍN CHỈ]]&gt;0,Table1[[#This Row],[ĐIỂM 10 ]]&gt;0),1,0)</f>
        <v>0</v>
      </c>
      <c r="N32" s="20">
        <f>IF(Table1[[#This Row],[ĐIỂM 10 ]]="",1,0)</f>
        <v>1</v>
      </c>
      <c r="O32" s="8">
        <f>IF(OR(Table1[[#This Row],[CHỮ]]="A",Table1[[#This Row],[CHỮ]]="A+"),Table1[[#This Row],[SỐ TÍN CHỈ]]*4,0)</f>
        <v>0</v>
      </c>
      <c r="P32" s="8">
        <f>IF(Table1[[#This Row],[CHỮ]]="B",Table1[[#This Row],[SỐ TÍN CHỈ]]*3,0)</f>
        <v>0</v>
      </c>
      <c r="Q32" s="8">
        <f>IF(Table1[[#This Row],[CHỮ]]="B+",Table1[[#This Row],[SỐ TÍN CHỈ]]*3.5,0)</f>
        <v>0</v>
      </c>
      <c r="R32" s="8">
        <f>IF(Table1[[#This Row],[CHỮ]]="C",Table1[[#This Row],[SỐ TÍN CHỈ]]*2,0)</f>
        <v>0</v>
      </c>
      <c r="S32" s="8">
        <f>IF(Table1[[#This Row],[CHỮ]]="C+",Table1[[#This Row],[SỐ TÍN CHỈ]]*2.5,0)</f>
        <v>0</v>
      </c>
      <c r="T32" s="8">
        <f>IF(Table1[[#This Row],[CHỮ]]="D",Table1[[#This Row],[SỐ TÍN CHỈ]]*1,0)</f>
        <v>0</v>
      </c>
      <c r="U32" s="8">
        <f>IF(Table1[[#This Row],[CHỮ]]="F",Table1[[#This Row],[SỐ TÍN CHỈ]]*0,0)</f>
        <v>0</v>
      </c>
      <c r="V32" s="21">
        <f>IF(Table1[[#This Row],[ĐIỂM 10 ]]=10,10,IF(AND(Table1[[#This Row],[ĐIỂM 10 ]]&lt;10,Table1[[#This Row],[ĐIỂM 10 ]]&gt;=9),9,IF(AND(Table1[[#This Row],[ĐIỂM 10 ]]&lt;9,Table1[[#This Row],[ĐIỂM 10 ]]&gt;=8),8,0)))</f>
        <v>0</v>
      </c>
    </row>
    <row r="33" spans="1:22" ht="18" customHeight="1" x14ac:dyDescent="0.45">
      <c r="A33" s="8"/>
      <c r="B33" s="20"/>
      <c r="C33" s="5"/>
      <c r="D33" s="8"/>
      <c r="E33" s="8"/>
      <c r="F33" s="72">
        <v>32</v>
      </c>
      <c r="G33" s="53"/>
      <c r="K33" s="82"/>
      <c r="M33" s="5">
        <f>IF(AND(LEN(Table1[[#This Row],[MÔN HỌC]])&gt;0,Table1[[#This Row],[SỐ TÍN CHỈ]]&gt;0,Table1[[#This Row],[ĐIỂM 10 ]]&gt;0),1,0)</f>
        <v>0</v>
      </c>
      <c r="N33" s="20">
        <f>IF(Table1[[#This Row],[ĐIỂM 10 ]]="",1,0)</f>
        <v>1</v>
      </c>
      <c r="O33" s="8">
        <f>IF(OR(Table1[[#This Row],[CHỮ]]="A",Table1[[#This Row],[CHỮ]]="A+"),Table1[[#This Row],[SỐ TÍN CHỈ]]*4,0)</f>
        <v>0</v>
      </c>
      <c r="P33" s="8">
        <f>IF(Table1[[#This Row],[CHỮ]]="B",Table1[[#This Row],[SỐ TÍN CHỈ]]*3,0)</f>
        <v>0</v>
      </c>
      <c r="Q33" s="8">
        <f>IF(Table1[[#This Row],[CHỮ]]="B+",Table1[[#This Row],[SỐ TÍN CHỈ]]*3.5,0)</f>
        <v>0</v>
      </c>
      <c r="R33" s="8">
        <f>IF(Table1[[#This Row],[CHỮ]]="C",Table1[[#This Row],[SỐ TÍN CHỈ]]*2,0)</f>
        <v>0</v>
      </c>
      <c r="S33" s="8">
        <f>IF(Table1[[#This Row],[CHỮ]]="C+",Table1[[#This Row],[SỐ TÍN CHỈ]]*2.5,0)</f>
        <v>0</v>
      </c>
      <c r="T33" s="8">
        <f>IF(Table1[[#This Row],[CHỮ]]="D",Table1[[#This Row],[SỐ TÍN CHỈ]]*1,0)</f>
        <v>0</v>
      </c>
      <c r="U33" s="8">
        <f>IF(Table1[[#This Row],[CHỮ]]="F",Table1[[#This Row],[SỐ TÍN CHỈ]]*0,0)</f>
        <v>0</v>
      </c>
      <c r="V33" s="21">
        <f>IF(Table1[[#This Row],[ĐIỂM 10 ]]=10,10,IF(AND(Table1[[#This Row],[ĐIỂM 10 ]]&lt;10,Table1[[#This Row],[ĐIỂM 10 ]]&gt;=9),9,IF(AND(Table1[[#This Row],[ĐIỂM 10 ]]&lt;9,Table1[[#This Row],[ĐIỂM 10 ]]&gt;=8),8,0)))</f>
        <v>0</v>
      </c>
    </row>
    <row r="34" spans="1:22" ht="18" customHeight="1" x14ac:dyDescent="0.45">
      <c r="A34" s="8"/>
      <c r="B34" s="20"/>
      <c r="C34" s="5"/>
      <c r="D34" s="8"/>
      <c r="E34" s="8"/>
      <c r="F34" s="72">
        <v>33</v>
      </c>
      <c r="G34" s="53"/>
      <c r="K34" s="82"/>
      <c r="M34" s="5">
        <f>IF(AND(LEN(Table1[[#This Row],[MÔN HỌC]])&gt;0,Table1[[#This Row],[SỐ TÍN CHỈ]]&gt;0,Table1[[#This Row],[ĐIỂM 10 ]]&gt;0),1,0)</f>
        <v>0</v>
      </c>
      <c r="N34" s="20">
        <f>IF(Table1[[#This Row],[ĐIỂM 10 ]]="",1,0)</f>
        <v>1</v>
      </c>
      <c r="O34" s="8">
        <f>IF(OR(Table1[[#This Row],[CHỮ]]="A",Table1[[#This Row],[CHỮ]]="A+"),Table1[[#This Row],[SỐ TÍN CHỈ]]*4,0)</f>
        <v>0</v>
      </c>
      <c r="P34" s="8">
        <f>IF(Table1[[#This Row],[CHỮ]]="B",Table1[[#This Row],[SỐ TÍN CHỈ]]*3,0)</f>
        <v>0</v>
      </c>
      <c r="Q34" s="8">
        <f>IF(Table1[[#This Row],[CHỮ]]="B+",Table1[[#This Row],[SỐ TÍN CHỈ]]*3.5,0)</f>
        <v>0</v>
      </c>
      <c r="R34" s="8">
        <f>IF(Table1[[#This Row],[CHỮ]]="C",Table1[[#This Row],[SỐ TÍN CHỈ]]*2,0)</f>
        <v>0</v>
      </c>
      <c r="S34" s="8">
        <f>IF(Table1[[#This Row],[CHỮ]]="C+",Table1[[#This Row],[SỐ TÍN CHỈ]]*2.5,0)</f>
        <v>0</v>
      </c>
      <c r="T34" s="8">
        <f>IF(Table1[[#This Row],[CHỮ]]="D",Table1[[#This Row],[SỐ TÍN CHỈ]]*1,0)</f>
        <v>0</v>
      </c>
      <c r="U34" s="8">
        <f>IF(Table1[[#This Row],[CHỮ]]="F",Table1[[#This Row],[SỐ TÍN CHỈ]]*0,0)</f>
        <v>0</v>
      </c>
      <c r="V34" s="21">
        <f>IF(Table1[[#This Row],[ĐIỂM 10 ]]=10,10,IF(AND(Table1[[#This Row],[ĐIỂM 10 ]]&lt;10,Table1[[#This Row],[ĐIỂM 10 ]]&gt;=9),9,IF(AND(Table1[[#This Row],[ĐIỂM 10 ]]&lt;9,Table1[[#This Row],[ĐIỂM 10 ]]&gt;=8),8,0)))</f>
        <v>0</v>
      </c>
    </row>
    <row r="35" spans="1:22" ht="18" customHeight="1" x14ac:dyDescent="0.45">
      <c r="A35" s="8"/>
      <c r="B35" s="20"/>
      <c r="C35" s="5"/>
      <c r="D35" s="8"/>
      <c r="E35" s="8"/>
      <c r="F35" s="72">
        <v>34</v>
      </c>
      <c r="G35" s="53"/>
      <c r="K35" s="82"/>
      <c r="M35" s="5">
        <f>IF(AND(LEN(Table1[[#This Row],[MÔN HỌC]])&gt;0,Table1[[#This Row],[SỐ TÍN CHỈ]]&gt;0,Table1[[#This Row],[ĐIỂM 10 ]]&gt;0),1,0)</f>
        <v>0</v>
      </c>
      <c r="N35" s="20">
        <f>IF(Table1[[#This Row],[ĐIỂM 10 ]]="",1,0)</f>
        <v>1</v>
      </c>
      <c r="O35" s="8">
        <f>IF(OR(Table1[[#This Row],[CHỮ]]="A",Table1[[#This Row],[CHỮ]]="A+"),Table1[[#This Row],[SỐ TÍN CHỈ]]*4,0)</f>
        <v>0</v>
      </c>
      <c r="P35" s="8">
        <f>IF(Table1[[#This Row],[CHỮ]]="B",Table1[[#This Row],[SỐ TÍN CHỈ]]*3,0)</f>
        <v>0</v>
      </c>
      <c r="Q35" s="8">
        <f>IF(Table1[[#This Row],[CHỮ]]="B+",Table1[[#This Row],[SỐ TÍN CHỈ]]*3.5,0)</f>
        <v>0</v>
      </c>
      <c r="R35" s="8">
        <f>IF(Table1[[#This Row],[CHỮ]]="C",Table1[[#This Row],[SỐ TÍN CHỈ]]*2,0)</f>
        <v>0</v>
      </c>
      <c r="S35" s="8">
        <f>IF(Table1[[#This Row],[CHỮ]]="C+",Table1[[#This Row],[SỐ TÍN CHỈ]]*2.5,0)</f>
        <v>0</v>
      </c>
      <c r="T35" s="8">
        <f>IF(Table1[[#This Row],[CHỮ]]="D",Table1[[#This Row],[SỐ TÍN CHỈ]]*1,0)</f>
        <v>0</v>
      </c>
      <c r="U35" s="8">
        <f>IF(Table1[[#This Row],[CHỮ]]="F",Table1[[#This Row],[SỐ TÍN CHỈ]]*0,0)</f>
        <v>0</v>
      </c>
      <c r="V35" s="21">
        <f>IF(Table1[[#This Row],[ĐIỂM 10 ]]=10,10,IF(AND(Table1[[#This Row],[ĐIỂM 10 ]]&lt;10,Table1[[#This Row],[ĐIỂM 10 ]]&gt;=9),9,IF(AND(Table1[[#This Row],[ĐIỂM 10 ]]&lt;9,Table1[[#This Row],[ĐIỂM 10 ]]&gt;=8),8,0)))</f>
        <v>0</v>
      </c>
    </row>
    <row r="36" spans="1:22" ht="18" customHeight="1" x14ac:dyDescent="0.45">
      <c r="A36" s="8"/>
      <c r="B36" s="20"/>
      <c r="C36" s="5"/>
      <c r="D36" s="8"/>
      <c r="E36" s="8"/>
      <c r="F36" s="72">
        <v>35</v>
      </c>
      <c r="G36" s="53"/>
      <c r="K36" s="82"/>
      <c r="M36" s="5">
        <f>IF(AND(LEN(Table1[[#This Row],[MÔN HỌC]])&gt;0,Table1[[#This Row],[SỐ TÍN CHỈ]]&gt;0,Table1[[#This Row],[ĐIỂM 10 ]]&gt;0),1,0)</f>
        <v>0</v>
      </c>
      <c r="N36" s="20">
        <f>IF(Table1[[#This Row],[ĐIỂM 10 ]]="",1,0)</f>
        <v>1</v>
      </c>
      <c r="O36" s="8">
        <f>IF(OR(Table1[[#This Row],[CHỮ]]="A",Table1[[#This Row],[CHỮ]]="A+"),Table1[[#This Row],[SỐ TÍN CHỈ]]*4,0)</f>
        <v>0</v>
      </c>
      <c r="P36" s="8">
        <f>IF(Table1[[#This Row],[CHỮ]]="B",Table1[[#This Row],[SỐ TÍN CHỈ]]*3,0)</f>
        <v>0</v>
      </c>
      <c r="Q36" s="8">
        <f>IF(Table1[[#This Row],[CHỮ]]="B+",Table1[[#This Row],[SỐ TÍN CHỈ]]*3.5,0)</f>
        <v>0</v>
      </c>
      <c r="R36" s="8">
        <f>IF(Table1[[#This Row],[CHỮ]]="C",Table1[[#This Row],[SỐ TÍN CHỈ]]*2,0)</f>
        <v>0</v>
      </c>
      <c r="S36" s="8">
        <f>IF(Table1[[#This Row],[CHỮ]]="C+",Table1[[#This Row],[SỐ TÍN CHỈ]]*2.5,0)</f>
        <v>0</v>
      </c>
      <c r="T36" s="8">
        <f>IF(Table1[[#This Row],[CHỮ]]="D",Table1[[#This Row],[SỐ TÍN CHỈ]]*1,0)</f>
        <v>0</v>
      </c>
      <c r="U36" s="8">
        <f>IF(Table1[[#This Row],[CHỮ]]="F",Table1[[#This Row],[SỐ TÍN CHỈ]]*0,0)</f>
        <v>0</v>
      </c>
      <c r="V36" s="21">
        <f>IF(Table1[[#This Row],[ĐIỂM 10 ]]=10,10,IF(AND(Table1[[#This Row],[ĐIỂM 10 ]]&lt;10,Table1[[#This Row],[ĐIỂM 10 ]]&gt;=9),9,IF(AND(Table1[[#This Row],[ĐIỂM 10 ]]&lt;9,Table1[[#This Row],[ĐIỂM 10 ]]&gt;=8),8,0)))</f>
        <v>0</v>
      </c>
    </row>
    <row r="37" spans="1:22" ht="18" customHeight="1" x14ac:dyDescent="0.45">
      <c r="A37" s="8"/>
      <c r="B37" s="20"/>
      <c r="C37" s="5"/>
      <c r="D37" s="8"/>
      <c r="E37" s="8"/>
      <c r="F37" s="72">
        <v>36</v>
      </c>
      <c r="G37" s="53"/>
      <c r="K37" s="82"/>
      <c r="M37" s="5">
        <f>IF(AND(LEN(Table1[[#This Row],[MÔN HỌC]])&gt;0,Table1[[#This Row],[SỐ TÍN CHỈ]]&gt;0,Table1[[#This Row],[ĐIỂM 10 ]]&gt;0),1,0)</f>
        <v>0</v>
      </c>
      <c r="N37" s="20">
        <f>IF(Table1[[#This Row],[ĐIỂM 10 ]]="",1,0)</f>
        <v>1</v>
      </c>
      <c r="O37" s="8">
        <f>IF(OR(Table1[[#This Row],[CHỮ]]="A",Table1[[#This Row],[CHỮ]]="A+"),Table1[[#This Row],[SỐ TÍN CHỈ]]*4,0)</f>
        <v>0</v>
      </c>
      <c r="P37" s="8">
        <f>IF(Table1[[#This Row],[CHỮ]]="B",Table1[[#This Row],[SỐ TÍN CHỈ]]*3,0)</f>
        <v>0</v>
      </c>
      <c r="Q37" s="8">
        <f>IF(Table1[[#This Row],[CHỮ]]="B+",Table1[[#This Row],[SỐ TÍN CHỈ]]*3.5,0)</f>
        <v>0</v>
      </c>
      <c r="R37" s="8">
        <f>IF(Table1[[#This Row],[CHỮ]]="C",Table1[[#This Row],[SỐ TÍN CHỈ]]*2,0)</f>
        <v>0</v>
      </c>
      <c r="S37" s="8">
        <f>IF(Table1[[#This Row],[CHỮ]]="C+",Table1[[#This Row],[SỐ TÍN CHỈ]]*2.5,0)</f>
        <v>0</v>
      </c>
      <c r="T37" s="8">
        <f>IF(Table1[[#This Row],[CHỮ]]="D",Table1[[#This Row],[SỐ TÍN CHỈ]]*1,0)</f>
        <v>0</v>
      </c>
      <c r="U37" s="8">
        <f>IF(Table1[[#This Row],[CHỮ]]="F",Table1[[#This Row],[SỐ TÍN CHỈ]]*0,0)</f>
        <v>0</v>
      </c>
      <c r="V37" s="21">
        <f>IF(Table1[[#This Row],[ĐIỂM 10 ]]=10,10,IF(AND(Table1[[#This Row],[ĐIỂM 10 ]]&lt;10,Table1[[#This Row],[ĐIỂM 10 ]]&gt;=9),9,IF(AND(Table1[[#This Row],[ĐIỂM 10 ]]&lt;9,Table1[[#This Row],[ĐIỂM 10 ]]&gt;=8),8,0)))</f>
        <v>0</v>
      </c>
    </row>
    <row r="38" spans="1:22" ht="18" customHeight="1" x14ac:dyDescent="0.45">
      <c r="A38" s="8"/>
      <c r="B38" s="20"/>
      <c r="C38" s="5"/>
      <c r="D38" s="8"/>
      <c r="E38" s="8"/>
      <c r="F38" s="72">
        <v>37</v>
      </c>
      <c r="G38" s="53"/>
      <c r="K38" s="82"/>
      <c r="M38" s="5">
        <f>IF(AND(LEN(Table1[[#This Row],[MÔN HỌC]])&gt;0,Table1[[#This Row],[SỐ TÍN CHỈ]]&gt;0,Table1[[#This Row],[ĐIỂM 10 ]]&gt;0),1,0)</f>
        <v>0</v>
      </c>
      <c r="N38" s="20">
        <f>IF(Table1[[#This Row],[ĐIỂM 10 ]]="",1,0)</f>
        <v>1</v>
      </c>
      <c r="O38" s="8">
        <f>IF(OR(Table1[[#This Row],[CHỮ]]="A",Table1[[#This Row],[CHỮ]]="A+"),Table1[[#This Row],[SỐ TÍN CHỈ]]*4,0)</f>
        <v>0</v>
      </c>
      <c r="P38" s="8">
        <f>IF(Table1[[#This Row],[CHỮ]]="B",Table1[[#This Row],[SỐ TÍN CHỈ]]*3,0)</f>
        <v>0</v>
      </c>
      <c r="Q38" s="8">
        <f>IF(Table1[[#This Row],[CHỮ]]="B+",Table1[[#This Row],[SỐ TÍN CHỈ]]*3.5,0)</f>
        <v>0</v>
      </c>
      <c r="R38" s="8">
        <f>IF(Table1[[#This Row],[CHỮ]]="C",Table1[[#This Row],[SỐ TÍN CHỈ]]*2,0)</f>
        <v>0</v>
      </c>
      <c r="S38" s="8">
        <f>IF(Table1[[#This Row],[CHỮ]]="C+",Table1[[#This Row],[SỐ TÍN CHỈ]]*2.5,0)</f>
        <v>0</v>
      </c>
      <c r="T38" s="8">
        <f>IF(Table1[[#This Row],[CHỮ]]="D",Table1[[#This Row],[SỐ TÍN CHỈ]]*1,0)</f>
        <v>0</v>
      </c>
      <c r="U38" s="8">
        <f>IF(Table1[[#This Row],[CHỮ]]="F",Table1[[#This Row],[SỐ TÍN CHỈ]]*0,0)</f>
        <v>0</v>
      </c>
      <c r="V38" s="21">
        <f>IF(Table1[[#This Row],[ĐIỂM 10 ]]=10,10,IF(AND(Table1[[#This Row],[ĐIỂM 10 ]]&lt;10,Table1[[#This Row],[ĐIỂM 10 ]]&gt;=9),9,IF(AND(Table1[[#This Row],[ĐIỂM 10 ]]&lt;9,Table1[[#This Row],[ĐIỂM 10 ]]&gt;=8),8,0)))</f>
        <v>0</v>
      </c>
    </row>
    <row r="39" spans="1:22" ht="18" customHeight="1" x14ac:dyDescent="0.45">
      <c r="A39" s="8"/>
      <c r="B39" s="20"/>
      <c r="C39" s="5"/>
      <c r="D39" s="8"/>
      <c r="E39" s="8"/>
      <c r="F39" s="72">
        <v>38</v>
      </c>
      <c r="K39" s="82"/>
      <c r="M39" s="5">
        <f>IF(AND(LEN(Table1[[#This Row],[MÔN HỌC]])&gt;0,Table1[[#This Row],[SỐ TÍN CHỈ]]&gt;0,Table1[[#This Row],[ĐIỂM 10 ]]&gt;0),1,0)</f>
        <v>0</v>
      </c>
      <c r="N39" s="20">
        <f>IF(Table1[[#This Row],[ĐIỂM 10 ]]="",1,0)</f>
        <v>1</v>
      </c>
      <c r="O39" s="8">
        <f>IF(OR(Table1[[#This Row],[CHỮ]]="A",Table1[[#This Row],[CHỮ]]="A+"),Table1[[#This Row],[SỐ TÍN CHỈ]]*4,0)</f>
        <v>0</v>
      </c>
      <c r="P39" s="8">
        <f>IF(Table1[[#This Row],[CHỮ]]="B",Table1[[#This Row],[SỐ TÍN CHỈ]]*3,0)</f>
        <v>0</v>
      </c>
      <c r="Q39" s="8">
        <f>IF(Table1[[#This Row],[CHỮ]]="B+",Table1[[#This Row],[SỐ TÍN CHỈ]]*3.5,0)</f>
        <v>0</v>
      </c>
      <c r="R39" s="8">
        <f>IF(Table1[[#This Row],[CHỮ]]="C",Table1[[#This Row],[SỐ TÍN CHỈ]]*2,0)</f>
        <v>0</v>
      </c>
      <c r="S39" s="8">
        <f>IF(Table1[[#This Row],[CHỮ]]="C+",Table1[[#This Row],[SỐ TÍN CHỈ]]*2.5,0)</f>
        <v>0</v>
      </c>
      <c r="T39" s="8">
        <f>IF(Table1[[#This Row],[CHỮ]]="D",Table1[[#This Row],[SỐ TÍN CHỈ]]*1,0)</f>
        <v>0</v>
      </c>
      <c r="U39" s="8">
        <f>IF(Table1[[#This Row],[CHỮ]]="F",Table1[[#This Row],[SỐ TÍN CHỈ]]*0,0)</f>
        <v>0</v>
      </c>
      <c r="V39" s="21">
        <f>IF(Table1[[#This Row],[ĐIỂM 10 ]]=10,10,IF(AND(Table1[[#This Row],[ĐIỂM 10 ]]&lt;10,Table1[[#This Row],[ĐIỂM 10 ]]&gt;=9),9,IF(AND(Table1[[#This Row],[ĐIỂM 10 ]]&lt;9,Table1[[#This Row],[ĐIỂM 10 ]]&gt;=8),8,0)))</f>
        <v>0</v>
      </c>
    </row>
    <row r="40" spans="1:22" ht="18" customHeight="1" x14ac:dyDescent="0.45">
      <c r="A40" s="8"/>
      <c r="B40" s="20"/>
      <c r="C40" s="5"/>
      <c r="D40" s="8"/>
      <c r="E40" s="8"/>
      <c r="F40" s="72">
        <v>39</v>
      </c>
      <c r="K40" s="82"/>
      <c r="M40" s="5">
        <f>IF(AND(LEN(Table1[[#This Row],[MÔN HỌC]])&gt;0,Table1[[#This Row],[SỐ TÍN CHỈ]]&gt;0,Table1[[#This Row],[ĐIỂM 10 ]]&gt;0),1,0)</f>
        <v>0</v>
      </c>
      <c r="N40" s="20">
        <f>IF(Table1[[#This Row],[ĐIỂM 10 ]]="",1,0)</f>
        <v>1</v>
      </c>
      <c r="O40" s="8">
        <f>IF(OR(Table1[[#This Row],[CHỮ]]="A",Table1[[#This Row],[CHỮ]]="A+"),Table1[[#This Row],[SỐ TÍN CHỈ]]*4,0)</f>
        <v>0</v>
      </c>
      <c r="P40" s="8">
        <f>IF(Table1[[#This Row],[CHỮ]]="B",Table1[[#This Row],[SỐ TÍN CHỈ]]*3,0)</f>
        <v>0</v>
      </c>
      <c r="Q40" s="8">
        <f>IF(Table1[[#This Row],[CHỮ]]="B+",Table1[[#This Row],[SỐ TÍN CHỈ]]*3.5,0)</f>
        <v>0</v>
      </c>
      <c r="R40" s="8">
        <f>IF(Table1[[#This Row],[CHỮ]]="C",Table1[[#This Row],[SỐ TÍN CHỈ]]*2,0)</f>
        <v>0</v>
      </c>
      <c r="S40" s="8">
        <f>IF(Table1[[#This Row],[CHỮ]]="C+",Table1[[#This Row],[SỐ TÍN CHỈ]]*2.5,0)</f>
        <v>0</v>
      </c>
      <c r="T40" s="8">
        <f>IF(Table1[[#This Row],[CHỮ]]="D",Table1[[#This Row],[SỐ TÍN CHỈ]]*1,0)</f>
        <v>0</v>
      </c>
      <c r="U40" s="8">
        <f>IF(Table1[[#This Row],[CHỮ]]="F",Table1[[#This Row],[SỐ TÍN CHỈ]]*0,0)</f>
        <v>0</v>
      </c>
      <c r="V40" s="21">
        <f>IF(Table1[[#This Row],[ĐIỂM 10 ]]=10,10,IF(AND(Table1[[#This Row],[ĐIỂM 10 ]]&lt;10,Table1[[#This Row],[ĐIỂM 10 ]]&gt;=9),9,IF(AND(Table1[[#This Row],[ĐIỂM 10 ]]&lt;9,Table1[[#This Row],[ĐIỂM 10 ]]&gt;=8),8,0)))</f>
        <v>0</v>
      </c>
    </row>
    <row r="41" spans="1:22" ht="18" customHeight="1" x14ac:dyDescent="0.45">
      <c r="A41" s="8"/>
      <c r="B41" s="20"/>
      <c r="C41" s="5"/>
      <c r="D41" s="8"/>
      <c r="E41" s="8"/>
      <c r="F41" s="72">
        <v>40</v>
      </c>
      <c r="K41" s="82"/>
      <c r="M41" s="5">
        <f>IF(AND(LEN(Table1[[#This Row],[MÔN HỌC]])&gt;0,Table1[[#This Row],[SỐ TÍN CHỈ]]&gt;0,Table1[[#This Row],[ĐIỂM 10 ]]&gt;0),1,0)</f>
        <v>0</v>
      </c>
      <c r="N41" s="20">
        <f>IF(Table1[[#This Row],[ĐIỂM 10 ]]="",1,0)</f>
        <v>1</v>
      </c>
      <c r="O41" s="8">
        <f>IF(OR(Table1[[#This Row],[CHỮ]]="A",Table1[[#This Row],[CHỮ]]="A+"),Table1[[#This Row],[SỐ TÍN CHỈ]]*4,0)</f>
        <v>0</v>
      </c>
      <c r="P41" s="8">
        <f>IF(Table1[[#This Row],[CHỮ]]="B",Table1[[#This Row],[SỐ TÍN CHỈ]]*3,0)</f>
        <v>0</v>
      </c>
      <c r="Q41" s="8">
        <f>IF(Table1[[#This Row],[CHỮ]]="B+",Table1[[#This Row],[SỐ TÍN CHỈ]]*3.5,0)</f>
        <v>0</v>
      </c>
      <c r="R41" s="8">
        <f>IF(Table1[[#This Row],[CHỮ]]="C",Table1[[#This Row],[SỐ TÍN CHỈ]]*2,0)</f>
        <v>0</v>
      </c>
      <c r="S41" s="8">
        <f>IF(Table1[[#This Row],[CHỮ]]="C+",Table1[[#This Row],[SỐ TÍN CHỈ]]*2.5,0)</f>
        <v>0</v>
      </c>
      <c r="T41" s="8">
        <f>IF(Table1[[#This Row],[CHỮ]]="D",Table1[[#This Row],[SỐ TÍN CHỈ]]*1,0)</f>
        <v>0</v>
      </c>
      <c r="U41" s="8">
        <f>IF(Table1[[#This Row],[CHỮ]]="F",Table1[[#This Row],[SỐ TÍN CHỈ]]*0,0)</f>
        <v>0</v>
      </c>
      <c r="V41" s="21">
        <f>IF(Table1[[#This Row],[ĐIỂM 10 ]]=10,10,IF(AND(Table1[[#This Row],[ĐIỂM 10 ]]&lt;10,Table1[[#This Row],[ĐIỂM 10 ]]&gt;=9),9,IF(AND(Table1[[#This Row],[ĐIỂM 10 ]]&lt;9,Table1[[#This Row],[ĐIỂM 10 ]]&gt;=8),8,0)))</f>
        <v>0</v>
      </c>
    </row>
    <row r="42" spans="1:22" ht="18" customHeight="1" x14ac:dyDescent="0.45">
      <c r="A42" s="8"/>
      <c r="B42" s="20"/>
      <c r="C42" s="5"/>
      <c r="D42" s="8"/>
      <c r="E42" s="8"/>
      <c r="F42" s="72">
        <v>41</v>
      </c>
      <c r="K42" s="82"/>
      <c r="M42" s="5">
        <f>IF(AND(LEN(Table1[[#This Row],[MÔN HỌC]])&gt;0,Table1[[#This Row],[SỐ TÍN CHỈ]]&gt;0,Table1[[#This Row],[ĐIỂM 10 ]]&gt;0),1,0)</f>
        <v>0</v>
      </c>
      <c r="N42" s="20">
        <f>IF(Table1[[#This Row],[ĐIỂM 10 ]]="",1,0)</f>
        <v>1</v>
      </c>
      <c r="O42" s="8">
        <f>IF(OR(Table1[[#This Row],[CHỮ]]="A",Table1[[#This Row],[CHỮ]]="A+"),Table1[[#This Row],[SỐ TÍN CHỈ]]*4,0)</f>
        <v>0</v>
      </c>
      <c r="P42" s="8">
        <f>IF(Table1[[#This Row],[CHỮ]]="B",Table1[[#This Row],[SỐ TÍN CHỈ]]*3,0)</f>
        <v>0</v>
      </c>
      <c r="Q42" s="8">
        <f>IF(Table1[[#This Row],[CHỮ]]="B+",Table1[[#This Row],[SỐ TÍN CHỈ]]*3.5,0)</f>
        <v>0</v>
      </c>
      <c r="R42" s="8">
        <f>IF(Table1[[#This Row],[CHỮ]]="C",Table1[[#This Row],[SỐ TÍN CHỈ]]*2,0)</f>
        <v>0</v>
      </c>
      <c r="S42" s="8">
        <f>IF(Table1[[#This Row],[CHỮ]]="C+",Table1[[#This Row],[SỐ TÍN CHỈ]]*2.5,0)</f>
        <v>0</v>
      </c>
      <c r="T42" s="8">
        <f>IF(Table1[[#This Row],[CHỮ]]="D",Table1[[#This Row],[SỐ TÍN CHỈ]]*1,0)</f>
        <v>0</v>
      </c>
      <c r="U42" s="8">
        <f>IF(Table1[[#This Row],[CHỮ]]="F",Table1[[#This Row],[SỐ TÍN CHỈ]]*0,0)</f>
        <v>0</v>
      </c>
      <c r="V42" s="21">
        <f>IF(Table1[[#This Row],[ĐIỂM 10 ]]=10,10,IF(AND(Table1[[#This Row],[ĐIỂM 10 ]]&lt;10,Table1[[#This Row],[ĐIỂM 10 ]]&gt;=9),9,IF(AND(Table1[[#This Row],[ĐIỂM 10 ]]&lt;9,Table1[[#This Row],[ĐIỂM 10 ]]&gt;=8),8,0)))</f>
        <v>0</v>
      </c>
    </row>
    <row r="43" spans="1:22" ht="18" customHeight="1" x14ac:dyDescent="0.45">
      <c r="A43" s="8"/>
      <c r="B43" s="20"/>
      <c r="C43" s="5"/>
      <c r="D43" s="8"/>
      <c r="E43" s="8"/>
      <c r="F43" s="72">
        <v>42</v>
      </c>
      <c r="K43" s="82"/>
      <c r="M43" s="5">
        <f>IF(AND(LEN(Table1[[#This Row],[MÔN HỌC]])&gt;0,Table1[[#This Row],[SỐ TÍN CHỈ]]&gt;0,Table1[[#This Row],[ĐIỂM 10 ]]&gt;0),1,0)</f>
        <v>0</v>
      </c>
      <c r="N43" s="20">
        <f>IF(Table1[[#This Row],[ĐIỂM 10 ]]="",1,0)</f>
        <v>1</v>
      </c>
      <c r="O43" s="8">
        <f>IF(OR(Table1[[#This Row],[CHỮ]]="A",Table1[[#This Row],[CHỮ]]="A+"),Table1[[#This Row],[SỐ TÍN CHỈ]]*4,0)</f>
        <v>0</v>
      </c>
      <c r="P43" s="8">
        <f>IF(Table1[[#This Row],[CHỮ]]="B",Table1[[#This Row],[SỐ TÍN CHỈ]]*3,0)</f>
        <v>0</v>
      </c>
      <c r="Q43" s="8">
        <f>IF(Table1[[#This Row],[CHỮ]]="B+",Table1[[#This Row],[SỐ TÍN CHỈ]]*3.5,0)</f>
        <v>0</v>
      </c>
      <c r="R43" s="8">
        <f>IF(Table1[[#This Row],[CHỮ]]="C",Table1[[#This Row],[SỐ TÍN CHỈ]]*2,0)</f>
        <v>0</v>
      </c>
      <c r="S43" s="8">
        <f>IF(Table1[[#This Row],[CHỮ]]="C+",Table1[[#This Row],[SỐ TÍN CHỈ]]*2.5,0)</f>
        <v>0</v>
      </c>
      <c r="T43" s="8">
        <f>IF(Table1[[#This Row],[CHỮ]]="D",Table1[[#This Row],[SỐ TÍN CHỈ]]*1,0)</f>
        <v>0</v>
      </c>
      <c r="U43" s="8">
        <f>IF(Table1[[#This Row],[CHỮ]]="F",Table1[[#This Row],[SỐ TÍN CHỈ]]*0,0)</f>
        <v>0</v>
      </c>
      <c r="V43" s="21">
        <f>IF(Table1[[#This Row],[ĐIỂM 10 ]]=10,10,IF(AND(Table1[[#This Row],[ĐIỂM 10 ]]&lt;10,Table1[[#This Row],[ĐIỂM 10 ]]&gt;=9),9,IF(AND(Table1[[#This Row],[ĐIỂM 10 ]]&lt;9,Table1[[#This Row],[ĐIỂM 10 ]]&gt;=8),8,0)))</f>
        <v>0</v>
      </c>
    </row>
    <row r="44" spans="1:22" ht="18" customHeight="1" x14ac:dyDescent="0.45">
      <c r="A44" s="8"/>
      <c r="B44" s="20"/>
      <c r="C44" s="5"/>
      <c r="D44" s="8"/>
      <c r="E44" s="8"/>
      <c r="F44" s="72">
        <v>43</v>
      </c>
      <c r="K44" s="82"/>
      <c r="M44" s="5">
        <f>IF(AND(LEN(Table1[[#This Row],[MÔN HỌC]])&gt;0,Table1[[#This Row],[SỐ TÍN CHỈ]]&gt;0,Table1[[#This Row],[ĐIỂM 10 ]]&gt;0),1,0)</f>
        <v>0</v>
      </c>
      <c r="N44" s="20">
        <f>IF(Table1[[#This Row],[ĐIỂM 10 ]]="",1,0)</f>
        <v>1</v>
      </c>
      <c r="O44" s="8">
        <f>IF(OR(Table1[[#This Row],[CHỮ]]="A",Table1[[#This Row],[CHỮ]]="A+"),Table1[[#This Row],[SỐ TÍN CHỈ]]*4,0)</f>
        <v>0</v>
      </c>
      <c r="P44" s="8">
        <f>IF(Table1[[#This Row],[CHỮ]]="B",Table1[[#This Row],[SỐ TÍN CHỈ]]*3,0)</f>
        <v>0</v>
      </c>
      <c r="Q44" s="8">
        <f>IF(Table1[[#This Row],[CHỮ]]="B+",Table1[[#This Row],[SỐ TÍN CHỈ]]*3.5,0)</f>
        <v>0</v>
      </c>
      <c r="R44" s="8">
        <f>IF(Table1[[#This Row],[CHỮ]]="C",Table1[[#This Row],[SỐ TÍN CHỈ]]*2,0)</f>
        <v>0</v>
      </c>
      <c r="S44" s="8">
        <f>IF(Table1[[#This Row],[CHỮ]]="C+",Table1[[#This Row],[SỐ TÍN CHỈ]]*2.5,0)</f>
        <v>0</v>
      </c>
      <c r="T44" s="8">
        <f>IF(Table1[[#This Row],[CHỮ]]="D",Table1[[#This Row],[SỐ TÍN CHỈ]]*1,0)</f>
        <v>0</v>
      </c>
      <c r="U44" s="8">
        <f>IF(Table1[[#This Row],[CHỮ]]="F",Table1[[#This Row],[SỐ TÍN CHỈ]]*0,0)</f>
        <v>0</v>
      </c>
      <c r="V44" s="21">
        <f>IF(Table1[[#This Row],[ĐIỂM 10 ]]=10,10,IF(AND(Table1[[#This Row],[ĐIỂM 10 ]]&lt;10,Table1[[#This Row],[ĐIỂM 10 ]]&gt;=9),9,IF(AND(Table1[[#This Row],[ĐIỂM 10 ]]&lt;9,Table1[[#This Row],[ĐIỂM 10 ]]&gt;=8),8,0)))</f>
        <v>0</v>
      </c>
    </row>
    <row r="45" spans="1:22" ht="18" customHeight="1" x14ac:dyDescent="0.45">
      <c r="A45" s="8"/>
      <c r="B45" s="20"/>
      <c r="C45" s="5"/>
      <c r="D45" s="8"/>
      <c r="E45" s="8"/>
      <c r="F45" s="72">
        <v>44</v>
      </c>
      <c r="K45" s="82"/>
      <c r="M45" s="5">
        <f>IF(AND(LEN(Table1[[#This Row],[MÔN HỌC]])&gt;0,Table1[[#This Row],[SỐ TÍN CHỈ]]&gt;0,Table1[[#This Row],[ĐIỂM 10 ]]&gt;0),1,0)</f>
        <v>0</v>
      </c>
      <c r="N45" s="20">
        <f>IF(Table1[[#This Row],[ĐIỂM 10 ]]="",1,0)</f>
        <v>1</v>
      </c>
      <c r="O45" s="8">
        <f>IF(OR(Table1[[#This Row],[CHỮ]]="A",Table1[[#This Row],[CHỮ]]="A+"),Table1[[#This Row],[SỐ TÍN CHỈ]]*4,0)</f>
        <v>0</v>
      </c>
      <c r="P45" s="8">
        <f>IF(Table1[[#This Row],[CHỮ]]="B",Table1[[#This Row],[SỐ TÍN CHỈ]]*3,0)</f>
        <v>0</v>
      </c>
      <c r="Q45" s="8">
        <f>IF(Table1[[#This Row],[CHỮ]]="B+",Table1[[#This Row],[SỐ TÍN CHỈ]]*3.5,0)</f>
        <v>0</v>
      </c>
      <c r="R45" s="8">
        <f>IF(Table1[[#This Row],[CHỮ]]="C",Table1[[#This Row],[SỐ TÍN CHỈ]]*2,0)</f>
        <v>0</v>
      </c>
      <c r="S45" s="8">
        <f>IF(Table1[[#This Row],[CHỮ]]="C+",Table1[[#This Row],[SỐ TÍN CHỈ]]*2.5,0)</f>
        <v>0</v>
      </c>
      <c r="T45" s="8">
        <f>IF(Table1[[#This Row],[CHỮ]]="D",Table1[[#This Row],[SỐ TÍN CHỈ]]*1,0)</f>
        <v>0</v>
      </c>
      <c r="U45" s="8">
        <f>IF(Table1[[#This Row],[CHỮ]]="F",Table1[[#This Row],[SỐ TÍN CHỈ]]*0,0)</f>
        <v>0</v>
      </c>
      <c r="V45" s="21">
        <f>IF(Table1[[#This Row],[ĐIỂM 10 ]]=10,10,IF(AND(Table1[[#This Row],[ĐIỂM 10 ]]&lt;10,Table1[[#This Row],[ĐIỂM 10 ]]&gt;=9),9,IF(AND(Table1[[#This Row],[ĐIỂM 10 ]]&lt;9,Table1[[#This Row],[ĐIỂM 10 ]]&gt;=8),8,0)))</f>
        <v>0</v>
      </c>
    </row>
    <row r="46" spans="1:22" ht="18" customHeight="1" x14ac:dyDescent="0.45">
      <c r="A46" s="8"/>
      <c r="B46" s="20"/>
      <c r="C46" s="5"/>
      <c r="D46" s="8"/>
      <c r="E46" s="8"/>
      <c r="F46" s="72">
        <v>45</v>
      </c>
      <c r="K46" s="82"/>
      <c r="M46" s="5">
        <f>IF(AND(LEN(Table1[[#This Row],[MÔN HỌC]])&gt;0,Table1[[#This Row],[SỐ TÍN CHỈ]]&gt;0,Table1[[#This Row],[ĐIỂM 10 ]]&gt;0),1,0)</f>
        <v>0</v>
      </c>
      <c r="N46" s="20">
        <f>IF(Table1[[#This Row],[ĐIỂM 10 ]]="",1,0)</f>
        <v>1</v>
      </c>
      <c r="O46" s="8">
        <f>IF(OR(Table1[[#This Row],[CHỮ]]="A",Table1[[#This Row],[CHỮ]]="A+"),Table1[[#This Row],[SỐ TÍN CHỈ]]*4,0)</f>
        <v>0</v>
      </c>
      <c r="P46" s="8">
        <f>IF(Table1[[#This Row],[CHỮ]]="B",Table1[[#This Row],[SỐ TÍN CHỈ]]*3,0)</f>
        <v>0</v>
      </c>
      <c r="Q46" s="8">
        <f>IF(Table1[[#This Row],[CHỮ]]="B+",Table1[[#This Row],[SỐ TÍN CHỈ]]*3.5,0)</f>
        <v>0</v>
      </c>
      <c r="R46" s="8">
        <f>IF(Table1[[#This Row],[CHỮ]]="C",Table1[[#This Row],[SỐ TÍN CHỈ]]*2,0)</f>
        <v>0</v>
      </c>
      <c r="S46" s="8">
        <f>IF(Table1[[#This Row],[CHỮ]]="C+",Table1[[#This Row],[SỐ TÍN CHỈ]]*2.5,0)</f>
        <v>0</v>
      </c>
      <c r="T46" s="8">
        <f>IF(Table1[[#This Row],[CHỮ]]="D",Table1[[#This Row],[SỐ TÍN CHỈ]]*1,0)</f>
        <v>0</v>
      </c>
      <c r="U46" s="8">
        <f>IF(Table1[[#This Row],[CHỮ]]="F",Table1[[#This Row],[SỐ TÍN CHỈ]]*0,0)</f>
        <v>0</v>
      </c>
      <c r="V46" s="21">
        <f>IF(Table1[[#This Row],[ĐIỂM 10 ]]=10,10,IF(AND(Table1[[#This Row],[ĐIỂM 10 ]]&lt;10,Table1[[#This Row],[ĐIỂM 10 ]]&gt;=9),9,IF(AND(Table1[[#This Row],[ĐIỂM 10 ]]&lt;9,Table1[[#This Row],[ĐIỂM 10 ]]&gt;=8),8,0)))</f>
        <v>0</v>
      </c>
    </row>
    <row r="47" spans="1:22" ht="18" customHeight="1" x14ac:dyDescent="0.45">
      <c r="A47" s="8"/>
      <c r="B47" s="20"/>
      <c r="C47" s="5"/>
      <c r="D47" s="8"/>
      <c r="E47" s="8"/>
      <c r="F47" s="72">
        <v>46</v>
      </c>
      <c r="K47" s="82"/>
      <c r="M47" s="5">
        <f>IF(AND(LEN(Table1[[#This Row],[MÔN HỌC]])&gt;0,Table1[[#This Row],[SỐ TÍN CHỈ]]&gt;0,Table1[[#This Row],[ĐIỂM 10 ]]&gt;0),1,0)</f>
        <v>0</v>
      </c>
      <c r="N47" s="20">
        <f>IF(Table1[[#This Row],[ĐIỂM 10 ]]="",1,0)</f>
        <v>1</v>
      </c>
      <c r="O47" s="8">
        <f>IF(OR(Table1[[#This Row],[CHỮ]]="A",Table1[[#This Row],[CHỮ]]="A+"),Table1[[#This Row],[SỐ TÍN CHỈ]]*4,0)</f>
        <v>0</v>
      </c>
      <c r="P47" s="8">
        <f>IF(Table1[[#This Row],[CHỮ]]="B",Table1[[#This Row],[SỐ TÍN CHỈ]]*3,0)</f>
        <v>0</v>
      </c>
      <c r="Q47" s="8">
        <f>IF(Table1[[#This Row],[CHỮ]]="B+",Table1[[#This Row],[SỐ TÍN CHỈ]]*3.5,0)</f>
        <v>0</v>
      </c>
      <c r="R47" s="8">
        <f>IF(Table1[[#This Row],[CHỮ]]="C",Table1[[#This Row],[SỐ TÍN CHỈ]]*2,0)</f>
        <v>0</v>
      </c>
      <c r="S47" s="8">
        <f>IF(Table1[[#This Row],[CHỮ]]="C+",Table1[[#This Row],[SỐ TÍN CHỈ]]*2.5,0)</f>
        <v>0</v>
      </c>
      <c r="T47" s="8">
        <f>IF(Table1[[#This Row],[CHỮ]]="D",Table1[[#This Row],[SỐ TÍN CHỈ]]*1,0)</f>
        <v>0</v>
      </c>
      <c r="U47" s="8">
        <f>IF(Table1[[#This Row],[CHỮ]]="F",Table1[[#This Row],[SỐ TÍN CHỈ]]*0,0)</f>
        <v>0</v>
      </c>
      <c r="V47" s="21">
        <f>IF(Table1[[#This Row],[ĐIỂM 10 ]]=10,10,IF(AND(Table1[[#This Row],[ĐIỂM 10 ]]&lt;10,Table1[[#This Row],[ĐIỂM 10 ]]&gt;=9),9,IF(AND(Table1[[#This Row],[ĐIỂM 10 ]]&lt;9,Table1[[#This Row],[ĐIỂM 10 ]]&gt;=8),8,0)))</f>
        <v>0</v>
      </c>
    </row>
    <row r="48" spans="1:22" ht="18" customHeight="1" x14ac:dyDescent="0.45">
      <c r="A48" s="8"/>
      <c r="B48" s="20"/>
      <c r="C48" s="5"/>
      <c r="D48" s="8"/>
      <c r="E48" s="8"/>
      <c r="F48" s="72">
        <v>47</v>
      </c>
      <c r="K48" s="82"/>
      <c r="M48" s="5">
        <f>IF(AND(LEN(Table1[[#This Row],[MÔN HỌC]])&gt;0,Table1[[#This Row],[SỐ TÍN CHỈ]]&gt;0,Table1[[#This Row],[ĐIỂM 10 ]]&gt;0),1,0)</f>
        <v>0</v>
      </c>
      <c r="N48" s="20">
        <f>IF(Table1[[#This Row],[ĐIỂM 10 ]]="",1,0)</f>
        <v>1</v>
      </c>
      <c r="O48" s="8">
        <f>IF(OR(Table1[[#This Row],[CHỮ]]="A",Table1[[#This Row],[CHỮ]]="A+"),Table1[[#This Row],[SỐ TÍN CHỈ]]*4,0)</f>
        <v>0</v>
      </c>
      <c r="P48" s="8">
        <f>IF(Table1[[#This Row],[CHỮ]]="B",Table1[[#This Row],[SỐ TÍN CHỈ]]*3,0)</f>
        <v>0</v>
      </c>
      <c r="Q48" s="8">
        <f>IF(Table1[[#This Row],[CHỮ]]="B+",Table1[[#This Row],[SỐ TÍN CHỈ]]*3.5,0)</f>
        <v>0</v>
      </c>
      <c r="R48" s="8">
        <f>IF(Table1[[#This Row],[CHỮ]]="C",Table1[[#This Row],[SỐ TÍN CHỈ]]*2,0)</f>
        <v>0</v>
      </c>
      <c r="S48" s="8">
        <f>IF(Table1[[#This Row],[CHỮ]]="C+",Table1[[#This Row],[SỐ TÍN CHỈ]]*2.5,0)</f>
        <v>0</v>
      </c>
      <c r="T48" s="8">
        <f>IF(Table1[[#This Row],[CHỮ]]="D",Table1[[#This Row],[SỐ TÍN CHỈ]]*1,0)</f>
        <v>0</v>
      </c>
      <c r="U48" s="8">
        <f>IF(Table1[[#This Row],[CHỮ]]="F",Table1[[#This Row],[SỐ TÍN CHỈ]]*0,0)</f>
        <v>0</v>
      </c>
      <c r="V48" s="21">
        <f>IF(Table1[[#This Row],[ĐIỂM 10 ]]=10,10,IF(AND(Table1[[#This Row],[ĐIỂM 10 ]]&lt;10,Table1[[#This Row],[ĐIỂM 10 ]]&gt;=9),9,IF(AND(Table1[[#This Row],[ĐIỂM 10 ]]&lt;9,Table1[[#This Row],[ĐIỂM 10 ]]&gt;=8),8,0)))</f>
        <v>0</v>
      </c>
    </row>
    <row r="49" spans="1:22" ht="18" customHeight="1" x14ac:dyDescent="0.45">
      <c r="A49" s="8"/>
      <c r="B49" s="20"/>
      <c r="C49" s="5"/>
      <c r="D49" s="8"/>
      <c r="E49" s="8"/>
      <c r="F49" s="72">
        <v>48</v>
      </c>
      <c r="K49" s="82"/>
      <c r="M49" s="5">
        <f>IF(AND(LEN(Table1[[#This Row],[MÔN HỌC]])&gt;0,Table1[[#This Row],[SỐ TÍN CHỈ]]&gt;0,Table1[[#This Row],[ĐIỂM 10 ]]&gt;0),1,0)</f>
        <v>0</v>
      </c>
      <c r="N49" s="20">
        <f>IF(Table1[[#This Row],[ĐIỂM 10 ]]="",1,0)</f>
        <v>1</v>
      </c>
      <c r="O49" s="8">
        <f>IF(OR(Table1[[#This Row],[CHỮ]]="A",Table1[[#This Row],[CHỮ]]="A+"),Table1[[#This Row],[SỐ TÍN CHỈ]]*4,0)</f>
        <v>0</v>
      </c>
      <c r="P49" s="8">
        <f>IF(Table1[[#This Row],[CHỮ]]="B",Table1[[#This Row],[SỐ TÍN CHỈ]]*3,0)</f>
        <v>0</v>
      </c>
      <c r="Q49" s="8">
        <f>IF(Table1[[#This Row],[CHỮ]]="B+",Table1[[#This Row],[SỐ TÍN CHỈ]]*3.5,0)</f>
        <v>0</v>
      </c>
      <c r="R49" s="8">
        <f>IF(Table1[[#This Row],[CHỮ]]="C",Table1[[#This Row],[SỐ TÍN CHỈ]]*2,0)</f>
        <v>0</v>
      </c>
      <c r="S49" s="8">
        <f>IF(Table1[[#This Row],[CHỮ]]="C+",Table1[[#This Row],[SỐ TÍN CHỈ]]*2.5,0)</f>
        <v>0</v>
      </c>
      <c r="T49" s="8">
        <f>IF(Table1[[#This Row],[CHỮ]]="D",Table1[[#This Row],[SỐ TÍN CHỈ]]*1,0)</f>
        <v>0</v>
      </c>
      <c r="U49" s="8">
        <f>IF(Table1[[#This Row],[CHỮ]]="F",Table1[[#This Row],[SỐ TÍN CHỈ]]*0,0)</f>
        <v>0</v>
      </c>
      <c r="V49" s="21">
        <f>IF(Table1[[#This Row],[ĐIỂM 10 ]]=10,10,IF(AND(Table1[[#This Row],[ĐIỂM 10 ]]&lt;10,Table1[[#This Row],[ĐIỂM 10 ]]&gt;=9),9,IF(AND(Table1[[#This Row],[ĐIỂM 10 ]]&lt;9,Table1[[#This Row],[ĐIỂM 10 ]]&gt;=8),8,0)))</f>
        <v>0</v>
      </c>
    </row>
    <row r="50" spans="1:22" ht="18" customHeight="1" x14ac:dyDescent="0.45">
      <c r="A50" s="8"/>
      <c r="B50" s="20"/>
      <c r="C50" s="5"/>
      <c r="D50" s="8"/>
      <c r="E50" s="8"/>
      <c r="F50" s="72">
        <v>49</v>
      </c>
      <c r="K50" s="82"/>
      <c r="M50" s="5">
        <f>IF(AND(LEN(Table1[[#This Row],[MÔN HỌC]])&gt;0,Table1[[#This Row],[SỐ TÍN CHỈ]]&gt;0,Table1[[#This Row],[ĐIỂM 10 ]]&gt;0),1,0)</f>
        <v>0</v>
      </c>
      <c r="N50" s="20">
        <f>IF(Table1[[#This Row],[ĐIỂM 10 ]]="",1,0)</f>
        <v>1</v>
      </c>
      <c r="O50" s="8">
        <f>IF(OR(Table1[[#This Row],[CHỮ]]="A",Table1[[#This Row],[CHỮ]]="A+"),Table1[[#This Row],[SỐ TÍN CHỈ]]*4,0)</f>
        <v>0</v>
      </c>
      <c r="P50" s="8">
        <f>IF(Table1[[#This Row],[CHỮ]]="B",Table1[[#This Row],[SỐ TÍN CHỈ]]*3,0)</f>
        <v>0</v>
      </c>
      <c r="Q50" s="8">
        <f>IF(Table1[[#This Row],[CHỮ]]="B+",Table1[[#This Row],[SỐ TÍN CHỈ]]*3.5,0)</f>
        <v>0</v>
      </c>
      <c r="R50" s="8">
        <f>IF(Table1[[#This Row],[CHỮ]]="C",Table1[[#This Row],[SỐ TÍN CHỈ]]*2,0)</f>
        <v>0</v>
      </c>
      <c r="S50" s="8">
        <f>IF(Table1[[#This Row],[CHỮ]]="C+",Table1[[#This Row],[SỐ TÍN CHỈ]]*2.5,0)</f>
        <v>0</v>
      </c>
      <c r="T50" s="8">
        <f>IF(Table1[[#This Row],[CHỮ]]="D",Table1[[#This Row],[SỐ TÍN CHỈ]]*1,0)</f>
        <v>0</v>
      </c>
      <c r="U50" s="8">
        <f>IF(Table1[[#This Row],[CHỮ]]="F",Table1[[#This Row],[SỐ TÍN CHỈ]]*0,0)</f>
        <v>0</v>
      </c>
      <c r="V50" s="21">
        <f>IF(Table1[[#This Row],[ĐIỂM 10 ]]=10,10,IF(AND(Table1[[#This Row],[ĐIỂM 10 ]]&lt;10,Table1[[#This Row],[ĐIỂM 10 ]]&gt;=9),9,IF(AND(Table1[[#This Row],[ĐIỂM 10 ]]&lt;9,Table1[[#This Row],[ĐIỂM 10 ]]&gt;=8),8,0)))</f>
        <v>0</v>
      </c>
    </row>
    <row r="51" spans="1:22" ht="18" customHeight="1" x14ac:dyDescent="0.45">
      <c r="A51" s="8"/>
      <c r="B51" s="20"/>
      <c r="C51" s="5"/>
      <c r="D51" s="8"/>
      <c r="E51" s="8"/>
      <c r="F51" s="72">
        <v>50</v>
      </c>
      <c r="K51" s="82"/>
      <c r="M51" s="5">
        <f>IF(AND(LEN(Table1[[#This Row],[MÔN HỌC]])&gt;0,Table1[[#This Row],[SỐ TÍN CHỈ]]&gt;0,Table1[[#This Row],[ĐIỂM 10 ]]&gt;0),1,0)</f>
        <v>0</v>
      </c>
      <c r="N51" s="20">
        <f>IF(Table1[[#This Row],[ĐIỂM 10 ]]="",1,0)</f>
        <v>1</v>
      </c>
      <c r="O51" s="8">
        <f>IF(OR(Table1[[#This Row],[CHỮ]]="A",Table1[[#This Row],[CHỮ]]="A+"),Table1[[#This Row],[SỐ TÍN CHỈ]]*4,0)</f>
        <v>0</v>
      </c>
      <c r="P51" s="8">
        <f>IF(Table1[[#This Row],[CHỮ]]="B",Table1[[#This Row],[SỐ TÍN CHỈ]]*3,0)</f>
        <v>0</v>
      </c>
      <c r="Q51" s="8">
        <f>IF(Table1[[#This Row],[CHỮ]]="B+",Table1[[#This Row],[SỐ TÍN CHỈ]]*3.5,0)</f>
        <v>0</v>
      </c>
      <c r="R51" s="8">
        <f>IF(Table1[[#This Row],[CHỮ]]="C",Table1[[#This Row],[SỐ TÍN CHỈ]]*2,0)</f>
        <v>0</v>
      </c>
      <c r="S51" s="8">
        <f>IF(Table1[[#This Row],[CHỮ]]="C+",Table1[[#This Row],[SỐ TÍN CHỈ]]*2.5,0)</f>
        <v>0</v>
      </c>
      <c r="T51" s="8">
        <f>IF(Table1[[#This Row],[CHỮ]]="D",Table1[[#This Row],[SỐ TÍN CHỈ]]*1,0)</f>
        <v>0</v>
      </c>
      <c r="U51" s="8">
        <f>IF(Table1[[#This Row],[CHỮ]]="F",Table1[[#This Row],[SỐ TÍN CHỈ]]*0,0)</f>
        <v>0</v>
      </c>
      <c r="V51" s="21">
        <f>IF(Table1[[#This Row],[ĐIỂM 10 ]]=10,10,IF(AND(Table1[[#This Row],[ĐIỂM 10 ]]&lt;10,Table1[[#This Row],[ĐIỂM 10 ]]&gt;=9),9,IF(AND(Table1[[#This Row],[ĐIỂM 10 ]]&lt;9,Table1[[#This Row],[ĐIỂM 10 ]]&gt;=8),8,0)))</f>
        <v>0</v>
      </c>
    </row>
    <row r="52" spans="1:22" ht="18" customHeight="1" x14ac:dyDescent="0.45">
      <c r="A52" s="8"/>
      <c r="B52" s="20"/>
      <c r="C52" s="5"/>
      <c r="D52" s="8"/>
      <c r="E52" s="8"/>
      <c r="F52" s="72">
        <v>51</v>
      </c>
      <c r="K52" s="82"/>
      <c r="M52" s="5">
        <f>IF(AND(LEN(Table1[[#This Row],[MÔN HỌC]])&gt;0,Table1[[#This Row],[SỐ TÍN CHỈ]]&gt;0,Table1[[#This Row],[ĐIỂM 10 ]]&gt;0),1,0)</f>
        <v>0</v>
      </c>
      <c r="N52" s="20">
        <f>IF(Table1[[#This Row],[ĐIỂM 10 ]]="",1,0)</f>
        <v>1</v>
      </c>
      <c r="O52" s="8">
        <f>IF(OR(Table1[[#This Row],[CHỮ]]="A",Table1[[#This Row],[CHỮ]]="A+"),Table1[[#This Row],[SỐ TÍN CHỈ]]*4,0)</f>
        <v>0</v>
      </c>
      <c r="P52" s="8">
        <f>IF(Table1[[#This Row],[CHỮ]]="B",Table1[[#This Row],[SỐ TÍN CHỈ]]*3,0)</f>
        <v>0</v>
      </c>
      <c r="Q52" s="8">
        <f>IF(Table1[[#This Row],[CHỮ]]="B+",Table1[[#This Row],[SỐ TÍN CHỈ]]*3.5,0)</f>
        <v>0</v>
      </c>
      <c r="R52" s="8">
        <f>IF(Table1[[#This Row],[CHỮ]]="C",Table1[[#This Row],[SỐ TÍN CHỈ]]*2,0)</f>
        <v>0</v>
      </c>
      <c r="S52" s="8">
        <f>IF(Table1[[#This Row],[CHỮ]]="C+",Table1[[#This Row],[SỐ TÍN CHỈ]]*2.5,0)</f>
        <v>0</v>
      </c>
      <c r="T52" s="8">
        <f>IF(Table1[[#This Row],[CHỮ]]="D",Table1[[#This Row],[SỐ TÍN CHỈ]]*1,0)</f>
        <v>0</v>
      </c>
      <c r="U52" s="8">
        <f>IF(Table1[[#This Row],[CHỮ]]="F",Table1[[#This Row],[SỐ TÍN CHỈ]]*0,0)</f>
        <v>0</v>
      </c>
      <c r="V52" s="21">
        <f>IF(Table1[[#This Row],[ĐIỂM 10 ]]=10,10,IF(AND(Table1[[#This Row],[ĐIỂM 10 ]]&lt;10,Table1[[#This Row],[ĐIỂM 10 ]]&gt;=9),9,IF(AND(Table1[[#This Row],[ĐIỂM 10 ]]&lt;9,Table1[[#This Row],[ĐIỂM 10 ]]&gt;=8),8,0)))</f>
        <v>0</v>
      </c>
    </row>
    <row r="53" spans="1:22" ht="18" customHeight="1" x14ac:dyDescent="0.45">
      <c r="A53" s="8"/>
      <c r="B53" s="20"/>
      <c r="C53" s="5"/>
      <c r="D53" s="8"/>
      <c r="E53" s="8"/>
      <c r="F53" s="72">
        <v>52</v>
      </c>
      <c r="K53" s="82"/>
      <c r="M53" s="5">
        <f>IF(AND(LEN(Table1[[#This Row],[MÔN HỌC]])&gt;0,Table1[[#This Row],[SỐ TÍN CHỈ]]&gt;0,Table1[[#This Row],[ĐIỂM 10 ]]&gt;0),1,0)</f>
        <v>0</v>
      </c>
      <c r="N53" s="20">
        <f>IF(Table1[[#This Row],[ĐIỂM 10 ]]="",1,0)</f>
        <v>1</v>
      </c>
      <c r="O53" s="8">
        <f>IF(OR(Table1[[#This Row],[CHỮ]]="A",Table1[[#This Row],[CHỮ]]="A+"),Table1[[#This Row],[SỐ TÍN CHỈ]]*4,0)</f>
        <v>0</v>
      </c>
      <c r="P53" s="8">
        <f>IF(Table1[[#This Row],[CHỮ]]="B",Table1[[#This Row],[SỐ TÍN CHỈ]]*3,0)</f>
        <v>0</v>
      </c>
      <c r="Q53" s="8">
        <f>IF(Table1[[#This Row],[CHỮ]]="B+",Table1[[#This Row],[SỐ TÍN CHỈ]]*3.5,0)</f>
        <v>0</v>
      </c>
      <c r="R53" s="8">
        <f>IF(Table1[[#This Row],[CHỮ]]="C",Table1[[#This Row],[SỐ TÍN CHỈ]]*2,0)</f>
        <v>0</v>
      </c>
      <c r="S53" s="8">
        <f>IF(Table1[[#This Row],[CHỮ]]="C+",Table1[[#This Row],[SỐ TÍN CHỈ]]*2.5,0)</f>
        <v>0</v>
      </c>
      <c r="T53" s="8">
        <f>IF(Table1[[#This Row],[CHỮ]]="D",Table1[[#This Row],[SỐ TÍN CHỈ]]*1,0)</f>
        <v>0</v>
      </c>
      <c r="U53" s="8">
        <f>IF(Table1[[#This Row],[CHỮ]]="F",Table1[[#This Row],[SỐ TÍN CHỈ]]*0,0)</f>
        <v>0</v>
      </c>
      <c r="V53" s="21">
        <f>IF(Table1[[#This Row],[ĐIỂM 10 ]]=10,10,IF(AND(Table1[[#This Row],[ĐIỂM 10 ]]&lt;10,Table1[[#This Row],[ĐIỂM 10 ]]&gt;=9),9,IF(AND(Table1[[#This Row],[ĐIỂM 10 ]]&lt;9,Table1[[#This Row],[ĐIỂM 10 ]]&gt;=8),8,0)))</f>
        <v>0</v>
      </c>
    </row>
    <row r="54" spans="1:22" ht="18" customHeight="1" x14ac:dyDescent="0.45">
      <c r="A54" s="8"/>
      <c r="B54" s="20"/>
      <c r="C54" s="5"/>
      <c r="D54" s="8"/>
      <c r="E54" s="8"/>
      <c r="F54" s="72">
        <v>53</v>
      </c>
      <c r="K54" s="82"/>
      <c r="M54" s="5">
        <f>IF(AND(LEN(Table1[[#This Row],[MÔN HỌC]])&gt;0,Table1[[#This Row],[SỐ TÍN CHỈ]]&gt;0,Table1[[#This Row],[ĐIỂM 10 ]]&gt;0),1,0)</f>
        <v>0</v>
      </c>
      <c r="N54" s="20">
        <f>IF(Table1[[#This Row],[ĐIỂM 10 ]]="",1,0)</f>
        <v>1</v>
      </c>
      <c r="O54" s="8">
        <f>IF(OR(Table1[[#This Row],[CHỮ]]="A",Table1[[#This Row],[CHỮ]]="A+"),Table1[[#This Row],[SỐ TÍN CHỈ]]*4,0)</f>
        <v>0</v>
      </c>
      <c r="P54" s="8">
        <f>IF(Table1[[#This Row],[CHỮ]]="B",Table1[[#This Row],[SỐ TÍN CHỈ]]*3,0)</f>
        <v>0</v>
      </c>
      <c r="Q54" s="8">
        <f>IF(Table1[[#This Row],[CHỮ]]="B+",Table1[[#This Row],[SỐ TÍN CHỈ]]*3.5,0)</f>
        <v>0</v>
      </c>
      <c r="R54" s="8">
        <f>IF(Table1[[#This Row],[CHỮ]]="C",Table1[[#This Row],[SỐ TÍN CHỈ]]*2,0)</f>
        <v>0</v>
      </c>
      <c r="S54" s="8">
        <f>IF(Table1[[#This Row],[CHỮ]]="C+",Table1[[#This Row],[SỐ TÍN CHỈ]]*2.5,0)</f>
        <v>0</v>
      </c>
      <c r="T54" s="8">
        <f>IF(Table1[[#This Row],[CHỮ]]="D",Table1[[#This Row],[SỐ TÍN CHỈ]]*1,0)</f>
        <v>0</v>
      </c>
      <c r="U54" s="8">
        <f>IF(Table1[[#This Row],[CHỮ]]="F",Table1[[#This Row],[SỐ TÍN CHỈ]]*0,0)</f>
        <v>0</v>
      </c>
      <c r="V54" s="21">
        <f>IF(Table1[[#This Row],[ĐIỂM 10 ]]=10,10,IF(AND(Table1[[#This Row],[ĐIỂM 10 ]]&lt;10,Table1[[#This Row],[ĐIỂM 10 ]]&gt;=9),9,IF(AND(Table1[[#This Row],[ĐIỂM 10 ]]&lt;9,Table1[[#This Row],[ĐIỂM 10 ]]&gt;=8),8,0)))</f>
        <v>0</v>
      </c>
    </row>
    <row r="55" spans="1:22" ht="18" customHeight="1" x14ac:dyDescent="0.45">
      <c r="A55" s="8"/>
      <c r="B55" s="20"/>
      <c r="C55" s="5"/>
      <c r="D55" s="8"/>
      <c r="E55" s="8"/>
      <c r="F55" s="72">
        <v>54</v>
      </c>
      <c r="K55" s="82"/>
      <c r="M55" s="5">
        <f>IF(AND(LEN(Table1[[#This Row],[MÔN HỌC]])&gt;0,Table1[[#This Row],[SỐ TÍN CHỈ]]&gt;0,Table1[[#This Row],[ĐIỂM 10 ]]&gt;0),1,0)</f>
        <v>0</v>
      </c>
      <c r="N55" s="20">
        <f>IF(Table1[[#This Row],[ĐIỂM 10 ]]="",1,0)</f>
        <v>1</v>
      </c>
      <c r="O55" s="8">
        <f>IF(OR(Table1[[#This Row],[CHỮ]]="A",Table1[[#This Row],[CHỮ]]="A+"),Table1[[#This Row],[SỐ TÍN CHỈ]]*4,0)</f>
        <v>0</v>
      </c>
      <c r="P55" s="8">
        <f>IF(Table1[[#This Row],[CHỮ]]="B",Table1[[#This Row],[SỐ TÍN CHỈ]]*3,0)</f>
        <v>0</v>
      </c>
      <c r="Q55" s="8">
        <f>IF(Table1[[#This Row],[CHỮ]]="B+",Table1[[#This Row],[SỐ TÍN CHỈ]]*3.5,0)</f>
        <v>0</v>
      </c>
      <c r="R55" s="8">
        <f>IF(Table1[[#This Row],[CHỮ]]="C",Table1[[#This Row],[SỐ TÍN CHỈ]]*2,0)</f>
        <v>0</v>
      </c>
      <c r="S55" s="8">
        <f>IF(Table1[[#This Row],[CHỮ]]="C+",Table1[[#This Row],[SỐ TÍN CHỈ]]*2.5,0)</f>
        <v>0</v>
      </c>
      <c r="T55" s="8">
        <f>IF(Table1[[#This Row],[CHỮ]]="D",Table1[[#This Row],[SỐ TÍN CHỈ]]*1,0)</f>
        <v>0</v>
      </c>
      <c r="U55" s="8">
        <f>IF(Table1[[#This Row],[CHỮ]]="F",Table1[[#This Row],[SỐ TÍN CHỈ]]*0,0)</f>
        <v>0</v>
      </c>
      <c r="V55" s="21">
        <f>IF(Table1[[#This Row],[ĐIỂM 10 ]]=10,10,IF(AND(Table1[[#This Row],[ĐIỂM 10 ]]&lt;10,Table1[[#This Row],[ĐIỂM 10 ]]&gt;=9),9,IF(AND(Table1[[#This Row],[ĐIỂM 10 ]]&lt;9,Table1[[#This Row],[ĐIỂM 10 ]]&gt;=8),8,0)))</f>
        <v>0</v>
      </c>
    </row>
    <row r="56" spans="1:22" ht="18" customHeight="1" x14ac:dyDescent="0.45">
      <c r="A56" s="8"/>
      <c r="B56" s="20"/>
      <c r="C56" s="5"/>
      <c r="D56" s="8"/>
      <c r="E56" s="8"/>
      <c r="F56" s="72">
        <v>55</v>
      </c>
      <c r="K56" s="82"/>
      <c r="M56" s="5">
        <f>IF(AND(LEN(Table1[[#This Row],[MÔN HỌC]])&gt;0,Table1[[#This Row],[SỐ TÍN CHỈ]]&gt;0,Table1[[#This Row],[ĐIỂM 10 ]]&gt;0),1,0)</f>
        <v>0</v>
      </c>
      <c r="N56" s="20">
        <f>IF(Table1[[#This Row],[ĐIỂM 10 ]]="",1,0)</f>
        <v>1</v>
      </c>
      <c r="O56" s="8">
        <f>IF(OR(Table1[[#This Row],[CHỮ]]="A",Table1[[#This Row],[CHỮ]]="A+"),Table1[[#This Row],[SỐ TÍN CHỈ]]*4,0)</f>
        <v>0</v>
      </c>
      <c r="P56" s="8">
        <f>IF(Table1[[#This Row],[CHỮ]]="B",Table1[[#This Row],[SỐ TÍN CHỈ]]*3,0)</f>
        <v>0</v>
      </c>
      <c r="Q56" s="8">
        <f>IF(Table1[[#This Row],[CHỮ]]="B+",Table1[[#This Row],[SỐ TÍN CHỈ]]*3.5,0)</f>
        <v>0</v>
      </c>
      <c r="R56" s="8">
        <f>IF(Table1[[#This Row],[CHỮ]]="C",Table1[[#This Row],[SỐ TÍN CHỈ]]*2,0)</f>
        <v>0</v>
      </c>
      <c r="S56" s="8">
        <f>IF(Table1[[#This Row],[CHỮ]]="C+",Table1[[#This Row],[SỐ TÍN CHỈ]]*2.5,0)</f>
        <v>0</v>
      </c>
      <c r="T56" s="8">
        <f>IF(Table1[[#This Row],[CHỮ]]="D",Table1[[#This Row],[SỐ TÍN CHỈ]]*1,0)</f>
        <v>0</v>
      </c>
      <c r="U56" s="8">
        <f>IF(Table1[[#This Row],[CHỮ]]="F",Table1[[#This Row],[SỐ TÍN CHỈ]]*0,0)</f>
        <v>0</v>
      </c>
      <c r="V56" s="21">
        <f>IF(Table1[[#This Row],[ĐIỂM 10 ]]=10,10,IF(AND(Table1[[#This Row],[ĐIỂM 10 ]]&lt;10,Table1[[#This Row],[ĐIỂM 10 ]]&gt;=9),9,IF(AND(Table1[[#This Row],[ĐIỂM 10 ]]&lt;9,Table1[[#This Row],[ĐIỂM 10 ]]&gt;=8),8,0)))</f>
        <v>0</v>
      </c>
    </row>
    <row r="57" spans="1:22" ht="18" customHeight="1" x14ac:dyDescent="0.45">
      <c r="A57" s="8"/>
      <c r="B57" s="20"/>
      <c r="C57" s="5"/>
      <c r="D57" s="8"/>
      <c r="E57" s="8"/>
      <c r="F57" s="72">
        <v>56</v>
      </c>
      <c r="K57" s="82"/>
      <c r="M57" s="5">
        <f>IF(AND(LEN(Table1[[#This Row],[MÔN HỌC]])&gt;0,Table1[[#This Row],[SỐ TÍN CHỈ]]&gt;0,Table1[[#This Row],[ĐIỂM 10 ]]&gt;0),1,0)</f>
        <v>0</v>
      </c>
      <c r="N57" s="20">
        <f>IF(Table1[[#This Row],[ĐIỂM 10 ]]="",1,0)</f>
        <v>1</v>
      </c>
      <c r="O57" s="8">
        <f>IF(OR(Table1[[#This Row],[CHỮ]]="A",Table1[[#This Row],[CHỮ]]="A+"),Table1[[#This Row],[SỐ TÍN CHỈ]]*4,0)</f>
        <v>0</v>
      </c>
      <c r="P57" s="8">
        <f>IF(Table1[[#This Row],[CHỮ]]="B",Table1[[#This Row],[SỐ TÍN CHỈ]]*3,0)</f>
        <v>0</v>
      </c>
      <c r="Q57" s="8">
        <f>IF(Table1[[#This Row],[CHỮ]]="B+",Table1[[#This Row],[SỐ TÍN CHỈ]]*3.5,0)</f>
        <v>0</v>
      </c>
      <c r="R57" s="8">
        <f>IF(Table1[[#This Row],[CHỮ]]="C",Table1[[#This Row],[SỐ TÍN CHỈ]]*2,0)</f>
        <v>0</v>
      </c>
      <c r="S57" s="8">
        <f>IF(Table1[[#This Row],[CHỮ]]="C+",Table1[[#This Row],[SỐ TÍN CHỈ]]*2.5,0)</f>
        <v>0</v>
      </c>
      <c r="T57" s="8">
        <f>IF(Table1[[#This Row],[CHỮ]]="D",Table1[[#This Row],[SỐ TÍN CHỈ]]*1,0)</f>
        <v>0</v>
      </c>
      <c r="U57" s="8">
        <f>IF(Table1[[#This Row],[CHỮ]]="F",Table1[[#This Row],[SỐ TÍN CHỈ]]*0,0)</f>
        <v>0</v>
      </c>
      <c r="V57" s="21">
        <f>IF(Table1[[#This Row],[ĐIỂM 10 ]]=10,10,IF(AND(Table1[[#This Row],[ĐIỂM 10 ]]&lt;10,Table1[[#This Row],[ĐIỂM 10 ]]&gt;=9),9,IF(AND(Table1[[#This Row],[ĐIỂM 10 ]]&lt;9,Table1[[#This Row],[ĐIỂM 10 ]]&gt;=8),8,0)))</f>
        <v>0</v>
      </c>
    </row>
    <row r="58" spans="1:22" ht="18" customHeight="1" x14ac:dyDescent="0.45">
      <c r="A58" s="8"/>
      <c r="B58" s="20"/>
      <c r="C58" s="5"/>
      <c r="D58" s="8"/>
      <c r="E58" s="8"/>
      <c r="F58" s="72">
        <v>57</v>
      </c>
      <c r="K58" s="82"/>
      <c r="M58" s="5">
        <f>IF(AND(LEN(Table1[[#This Row],[MÔN HỌC]])&gt;0,Table1[[#This Row],[SỐ TÍN CHỈ]]&gt;0,Table1[[#This Row],[ĐIỂM 10 ]]&gt;0),1,0)</f>
        <v>0</v>
      </c>
      <c r="N58" s="20">
        <f>IF(Table1[[#This Row],[ĐIỂM 10 ]]="",1,0)</f>
        <v>1</v>
      </c>
      <c r="O58" s="8">
        <f>IF(OR(Table1[[#This Row],[CHỮ]]="A",Table1[[#This Row],[CHỮ]]="A+"),Table1[[#This Row],[SỐ TÍN CHỈ]]*4,0)</f>
        <v>0</v>
      </c>
      <c r="P58" s="8">
        <f>IF(Table1[[#This Row],[CHỮ]]="B",Table1[[#This Row],[SỐ TÍN CHỈ]]*3,0)</f>
        <v>0</v>
      </c>
      <c r="Q58" s="8">
        <f>IF(Table1[[#This Row],[CHỮ]]="B+",Table1[[#This Row],[SỐ TÍN CHỈ]]*3.5,0)</f>
        <v>0</v>
      </c>
      <c r="R58" s="8">
        <f>IF(Table1[[#This Row],[CHỮ]]="C",Table1[[#This Row],[SỐ TÍN CHỈ]]*2,0)</f>
        <v>0</v>
      </c>
      <c r="S58" s="8">
        <f>IF(Table1[[#This Row],[CHỮ]]="C+",Table1[[#This Row],[SỐ TÍN CHỈ]]*2.5,0)</f>
        <v>0</v>
      </c>
      <c r="T58" s="8">
        <f>IF(Table1[[#This Row],[CHỮ]]="D",Table1[[#This Row],[SỐ TÍN CHỈ]]*1,0)</f>
        <v>0</v>
      </c>
      <c r="U58" s="8">
        <f>IF(Table1[[#This Row],[CHỮ]]="F",Table1[[#This Row],[SỐ TÍN CHỈ]]*0,0)</f>
        <v>0</v>
      </c>
      <c r="V58" s="21">
        <f>IF(Table1[[#This Row],[ĐIỂM 10 ]]=10,10,IF(AND(Table1[[#This Row],[ĐIỂM 10 ]]&lt;10,Table1[[#This Row],[ĐIỂM 10 ]]&gt;=9),9,IF(AND(Table1[[#This Row],[ĐIỂM 10 ]]&lt;9,Table1[[#This Row],[ĐIỂM 10 ]]&gt;=8),8,0)))</f>
        <v>0</v>
      </c>
    </row>
    <row r="59" spans="1:22" ht="18" customHeight="1" x14ac:dyDescent="0.45">
      <c r="A59" s="8"/>
      <c r="B59" s="20"/>
      <c r="C59" s="5"/>
      <c r="D59" s="8"/>
      <c r="E59" s="8"/>
      <c r="F59" s="72">
        <v>58</v>
      </c>
      <c r="K59" s="82"/>
      <c r="M59" s="5">
        <f>IF(AND(LEN(Table1[[#This Row],[MÔN HỌC]])&gt;0,Table1[[#This Row],[SỐ TÍN CHỈ]]&gt;0,Table1[[#This Row],[ĐIỂM 10 ]]&gt;0),1,0)</f>
        <v>0</v>
      </c>
      <c r="N59" s="20">
        <f>IF(Table1[[#This Row],[ĐIỂM 10 ]]="",1,0)</f>
        <v>1</v>
      </c>
      <c r="O59" s="8">
        <f>IF(OR(Table1[[#This Row],[CHỮ]]="A",Table1[[#This Row],[CHỮ]]="A+"),Table1[[#This Row],[SỐ TÍN CHỈ]]*4,0)</f>
        <v>0</v>
      </c>
      <c r="P59" s="8">
        <f>IF(Table1[[#This Row],[CHỮ]]="B",Table1[[#This Row],[SỐ TÍN CHỈ]]*3,0)</f>
        <v>0</v>
      </c>
      <c r="Q59" s="8">
        <f>IF(Table1[[#This Row],[CHỮ]]="B+",Table1[[#This Row],[SỐ TÍN CHỈ]]*3.5,0)</f>
        <v>0</v>
      </c>
      <c r="R59" s="8">
        <f>IF(Table1[[#This Row],[CHỮ]]="C",Table1[[#This Row],[SỐ TÍN CHỈ]]*2,0)</f>
        <v>0</v>
      </c>
      <c r="S59" s="8">
        <f>IF(Table1[[#This Row],[CHỮ]]="C+",Table1[[#This Row],[SỐ TÍN CHỈ]]*2.5,0)</f>
        <v>0</v>
      </c>
      <c r="T59" s="8">
        <f>IF(Table1[[#This Row],[CHỮ]]="D",Table1[[#This Row],[SỐ TÍN CHỈ]]*1,0)</f>
        <v>0</v>
      </c>
      <c r="U59" s="8">
        <f>IF(Table1[[#This Row],[CHỮ]]="F",Table1[[#This Row],[SỐ TÍN CHỈ]]*0,0)</f>
        <v>0</v>
      </c>
      <c r="V59" s="21">
        <f>IF(Table1[[#This Row],[ĐIỂM 10 ]]=10,10,IF(AND(Table1[[#This Row],[ĐIỂM 10 ]]&lt;10,Table1[[#This Row],[ĐIỂM 10 ]]&gt;=9),9,IF(AND(Table1[[#This Row],[ĐIỂM 10 ]]&lt;9,Table1[[#This Row],[ĐIỂM 10 ]]&gt;=8),8,0)))</f>
        <v>0</v>
      </c>
    </row>
    <row r="60" spans="1:22" ht="18" customHeight="1" x14ac:dyDescent="0.45">
      <c r="A60" s="8"/>
      <c r="B60" s="20"/>
      <c r="C60" s="5"/>
      <c r="D60" s="8"/>
      <c r="E60" s="8"/>
      <c r="F60" s="72">
        <v>59</v>
      </c>
      <c r="K60" s="82"/>
      <c r="M60" s="5">
        <f>IF(AND(LEN(Table1[[#This Row],[MÔN HỌC]])&gt;0,Table1[[#This Row],[SỐ TÍN CHỈ]]&gt;0,Table1[[#This Row],[ĐIỂM 10 ]]&gt;0),1,0)</f>
        <v>0</v>
      </c>
      <c r="N60" s="20">
        <f>IF(Table1[[#This Row],[ĐIỂM 10 ]]="",1,0)</f>
        <v>1</v>
      </c>
      <c r="O60" s="8">
        <f>IF(OR(Table1[[#This Row],[CHỮ]]="A",Table1[[#This Row],[CHỮ]]="A+"),Table1[[#This Row],[SỐ TÍN CHỈ]]*4,0)</f>
        <v>0</v>
      </c>
      <c r="P60" s="8">
        <f>IF(Table1[[#This Row],[CHỮ]]="B",Table1[[#This Row],[SỐ TÍN CHỈ]]*3,0)</f>
        <v>0</v>
      </c>
      <c r="Q60" s="8">
        <f>IF(Table1[[#This Row],[CHỮ]]="B+",Table1[[#This Row],[SỐ TÍN CHỈ]]*3.5,0)</f>
        <v>0</v>
      </c>
      <c r="R60" s="8">
        <f>IF(Table1[[#This Row],[CHỮ]]="C",Table1[[#This Row],[SỐ TÍN CHỈ]]*2,0)</f>
        <v>0</v>
      </c>
      <c r="S60" s="8">
        <f>IF(Table1[[#This Row],[CHỮ]]="C+",Table1[[#This Row],[SỐ TÍN CHỈ]]*2.5,0)</f>
        <v>0</v>
      </c>
      <c r="T60" s="8">
        <f>IF(Table1[[#This Row],[CHỮ]]="D",Table1[[#This Row],[SỐ TÍN CHỈ]]*1,0)</f>
        <v>0</v>
      </c>
      <c r="U60" s="8">
        <f>IF(Table1[[#This Row],[CHỮ]]="F",Table1[[#This Row],[SỐ TÍN CHỈ]]*0,0)</f>
        <v>0</v>
      </c>
      <c r="V60" s="21">
        <f>IF(Table1[[#This Row],[ĐIỂM 10 ]]=10,10,IF(AND(Table1[[#This Row],[ĐIỂM 10 ]]&lt;10,Table1[[#This Row],[ĐIỂM 10 ]]&gt;=9),9,IF(AND(Table1[[#This Row],[ĐIỂM 10 ]]&lt;9,Table1[[#This Row],[ĐIỂM 10 ]]&gt;=8),8,0)))</f>
        <v>0</v>
      </c>
    </row>
    <row r="61" spans="1:22" ht="18" customHeight="1" x14ac:dyDescent="0.45">
      <c r="A61" s="8"/>
      <c r="B61" s="20"/>
      <c r="C61" s="5"/>
      <c r="D61" s="8"/>
      <c r="E61" s="8"/>
      <c r="F61" s="72">
        <v>60</v>
      </c>
      <c r="K61" s="82"/>
      <c r="M61" s="5">
        <f>IF(AND(LEN(Table1[[#This Row],[MÔN HỌC]])&gt;0,Table1[[#This Row],[SỐ TÍN CHỈ]]&gt;0,Table1[[#This Row],[ĐIỂM 10 ]]&gt;0),1,0)</f>
        <v>0</v>
      </c>
      <c r="N61" s="20">
        <f>IF(Table1[[#This Row],[ĐIỂM 10 ]]="",1,0)</f>
        <v>1</v>
      </c>
      <c r="O61" s="8">
        <f>IF(OR(Table1[[#This Row],[CHỮ]]="A",Table1[[#This Row],[CHỮ]]="A+"),Table1[[#This Row],[SỐ TÍN CHỈ]]*4,0)</f>
        <v>0</v>
      </c>
      <c r="P61" s="8">
        <f>IF(Table1[[#This Row],[CHỮ]]="B",Table1[[#This Row],[SỐ TÍN CHỈ]]*3,0)</f>
        <v>0</v>
      </c>
      <c r="Q61" s="8">
        <f>IF(Table1[[#This Row],[CHỮ]]="B+",Table1[[#This Row],[SỐ TÍN CHỈ]]*3.5,0)</f>
        <v>0</v>
      </c>
      <c r="R61" s="8">
        <f>IF(Table1[[#This Row],[CHỮ]]="C",Table1[[#This Row],[SỐ TÍN CHỈ]]*2,0)</f>
        <v>0</v>
      </c>
      <c r="S61" s="8">
        <f>IF(Table1[[#This Row],[CHỮ]]="C+",Table1[[#This Row],[SỐ TÍN CHỈ]]*2.5,0)</f>
        <v>0</v>
      </c>
      <c r="T61" s="8">
        <f>IF(Table1[[#This Row],[CHỮ]]="D",Table1[[#This Row],[SỐ TÍN CHỈ]]*1,0)</f>
        <v>0</v>
      </c>
      <c r="U61" s="8">
        <f>IF(Table1[[#This Row],[CHỮ]]="F",Table1[[#This Row],[SỐ TÍN CHỈ]]*0,0)</f>
        <v>0</v>
      </c>
      <c r="V61" s="21">
        <f>IF(Table1[[#This Row],[ĐIỂM 10 ]]=10,10,IF(AND(Table1[[#This Row],[ĐIỂM 10 ]]&lt;10,Table1[[#This Row],[ĐIỂM 10 ]]&gt;=9),9,IF(AND(Table1[[#This Row],[ĐIỂM 10 ]]&lt;9,Table1[[#This Row],[ĐIỂM 10 ]]&gt;=8),8,0)))</f>
        <v>0</v>
      </c>
    </row>
    <row r="62" spans="1:22" ht="18" customHeight="1" x14ac:dyDescent="0.45">
      <c r="A62" s="8"/>
      <c r="B62" s="20"/>
      <c r="C62" s="5"/>
      <c r="D62" s="8"/>
      <c r="E62" s="8"/>
      <c r="F62" s="72">
        <v>61</v>
      </c>
      <c r="K62" s="82"/>
      <c r="M62" s="5">
        <f>IF(AND(LEN(Table1[[#This Row],[MÔN HỌC]])&gt;0,Table1[[#This Row],[SỐ TÍN CHỈ]]&gt;0,Table1[[#This Row],[ĐIỂM 10 ]]&gt;0),1,0)</f>
        <v>0</v>
      </c>
      <c r="N62" s="20">
        <f>IF(Table1[[#This Row],[ĐIỂM 10 ]]="",1,0)</f>
        <v>1</v>
      </c>
      <c r="O62" s="8">
        <f>IF(OR(Table1[[#This Row],[CHỮ]]="A",Table1[[#This Row],[CHỮ]]="A+"),Table1[[#This Row],[SỐ TÍN CHỈ]]*4,0)</f>
        <v>0</v>
      </c>
      <c r="P62" s="8">
        <f>IF(Table1[[#This Row],[CHỮ]]="B",Table1[[#This Row],[SỐ TÍN CHỈ]]*3,0)</f>
        <v>0</v>
      </c>
      <c r="Q62" s="8">
        <f>IF(Table1[[#This Row],[CHỮ]]="B+",Table1[[#This Row],[SỐ TÍN CHỈ]]*3.5,0)</f>
        <v>0</v>
      </c>
      <c r="R62" s="8">
        <f>IF(Table1[[#This Row],[CHỮ]]="C",Table1[[#This Row],[SỐ TÍN CHỈ]]*2,0)</f>
        <v>0</v>
      </c>
      <c r="S62" s="8">
        <f>IF(Table1[[#This Row],[CHỮ]]="C+",Table1[[#This Row],[SỐ TÍN CHỈ]]*2.5,0)</f>
        <v>0</v>
      </c>
      <c r="T62" s="8">
        <f>IF(Table1[[#This Row],[CHỮ]]="D",Table1[[#This Row],[SỐ TÍN CHỈ]]*1,0)</f>
        <v>0</v>
      </c>
      <c r="U62" s="8">
        <f>IF(Table1[[#This Row],[CHỮ]]="F",Table1[[#This Row],[SỐ TÍN CHỈ]]*0,0)</f>
        <v>0</v>
      </c>
      <c r="V62" s="21">
        <f>IF(Table1[[#This Row],[ĐIỂM 10 ]]=10,10,IF(AND(Table1[[#This Row],[ĐIỂM 10 ]]&lt;10,Table1[[#This Row],[ĐIỂM 10 ]]&gt;=9),9,IF(AND(Table1[[#This Row],[ĐIỂM 10 ]]&lt;9,Table1[[#This Row],[ĐIỂM 10 ]]&gt;=8),8,0)))</f>
        <v>0</v>
      </c>
    </row>
    <row r="63" spans="1:22" ht="18" customHeight="1" x14ac:dyDescent="0.45">
      <c r="A63" s="8"/>
      <c r="B63" s="20"/>
      <c r="C63" s="5"/>
      <c r="D63" s="8"/>
      <c r="E63" s="8"/>
      <c r="F63" s="72">
        <v>62</v>
      </c>
      <c r="K63" s="82"/>
      <c r="M63" s="5">
        <f>IF(AND(LEN(Table1[[#This Row],[MÔN HỌC]])&gt;0,Table1[[#This Row],[SỐ TÍN CHỈ]]&gt;0,Table1[[#This Row],[ĐIỂM 10 ]]&gt;0),1,0)</f>
        <v>0</v>
      </c>
      <c r="N63" s="20">
        <f>IF(Table1[[#This Row],[ĐIỂM 10 ]]="",1,0)</f>
        <v>1</v>
      </c>
      <c r="O63" s="8">
        <f>IF(OR(Table1[[#This Row],[CHỮ]]="A",Table1[[#This Row],[CHỮ]]="A+"),Table1[[#This Row],[SỐ TÍN CHỈ]]*4,0)</f>
        <v>0</v>
      </c>
      <c r="P63" s="8">
        <f>IF(Table1[[#This Row],[CHỮ]]="B",Table1[[#This Row],[SỐ TÍN CHỈ]]*3,0)</f>
        <v>0</v>
      </c>
      <c r="Q63" s="8">
        <f>IF(Table1[[#This Row],[CHỮ]]="B+",Table1[[#This Row],[SỐ TÍN CHỈ]]*3.5,0)</f>
        <v>0</v>
      </c>
      <c r="R63" s="8">
        <f>IF(Table1[[#This Row],[CHỮ]]="C",Table1[[#This Row],[SỐ TÍN CHỈ]]*2,0)</f>
        <v>0</v>
      </c>
      <c r="S63" s="8">
        <f>IF(Table1[[#This Row],[CHỮ]]="C+",Table1[[#This Row],[SỐ TÍN CHỈ]]*2.5,0)</f>
        <v>0</v>
      </c>
      <c r="T63" s="8">
        <f>IF(Table1[[#This Row],[CHỮ]]="D",Table1[[#This Row],[SỐ TÍN CHỈ]]*1,0)</f>
        <v>0</v>
      </c>
      <c r="U63" s="8">
        <f>IF(Table1[[#This Row],[CHỮ]]="F",Table1[[#This Row],[SỐ TÍN CHỈ]]*0,0)</f>
        <v>0</v>
      </c>
      <c r="V63" s="21">
        <f>IF(Table1[[#This Row],[ĐIỂM 10 ]]=10,10,IF(AND(Table1[[#This Row],[ĐIỂM 10 ]]&lt;10,Table1[[#This Row],[ĐIỂM 10 ]]&gt;=9),9,IF(AND(Table1[[#This Row],[ĐIỂM 10 ]]&lt;9,Table1[[#This Row],[ĐIỂM 10 ]]&gt;=8),8,0)))</f>
        <v>0</v>
      </c>
    </row>
    <row r="64" spans="1:22" ht="18" customHeight="1" x14ac:dyDescent="0.45">
      <c r="A64" s="8"/>
      <c r="B64" s="20"/>
      <c r="C64" s="5"/>
      <c r="D64" s="8"/>
      <c r="E64" s="8"/>
      <c r="F64" s="72">
        <v>63</v>
      </c>
      <c r="K64" s="82"/>
      <c r="M64" s="5">
        <f>IF(AND(LEN(Table1[[#This Row],[MÔN HỌC]])&gt;0,Table1[[#This Row],[SỐ TÍN CHỈ]]&gt;0,Table1[[#This Row],[ĐIỂM 10 ]]&gt;0),1,0)</f>
        <v>0</v>
      </c>
      <c r="N64" s="20">
        <f>IF(Table1[[#This Row],[ĐIỂM 10 ]]="",1,0)</f>
        <v>1</v>
      </c>
      <c r="O64" s="8">
        <f>IF(OR(Table1[[#This Row],[CHỮ]]="A",Table1[[#This Row],[CHỮ]]="A+"),Table1[[#This Row],[SỐ TÍN CHỈ]]*4,0)</f>
        <v>0</v>
      </c>
      <c r="P64" s="8">
        <f>IF(Table1[[#This Row],[CHỮ]]="B",Table1[[#This Row],[SỐ TÍN CHỈ]]*3,0)</f>
        <v>0</v>
      </c>
      <c r="Q64" s="8">
        <f>IF(Table1[[#This Row],[CHỮ]]="B+",Table1[[#This Row],[SỐ TÍN CHỈ]]*3.5,0)</f>
        <v>0</v>
      </c>
      <c r="R64" s="8">
        <f>IF(Table1[[#This Row],[CHỮ]]="C",Table1[[#This Row],[SỐ TÍN CHỈ]]*2,0)</f>
        <v>0</v>
      </c>
      <c r="S64" s="8">
        <f>IF(Table1[[#This Row],[CHỮ]]="C+",Table1[[#This Row],[SỐ TÍN CHỈ]]*2.5,0)</f>
        <v>0</v>
      </c>
      <c r="T64" s="8">
        <f>IF(Table1[[#This Row],[CHỮ]]="D",Table1[[#This Row],[SỐ TÍN CHỈ]]*1,0)</f>
        <v>0</v>
      </c>
      <c r="U64" s="8">
        <f>IF(Table1[[#This Row],[CHỮ]]="F",Table1[[#This Row],[SỐ TÍN CHỈ]]*0,0)</f>
        <v>0</v>
      </c>
      <c r="V64" s="21">
        <f>IF(Table1[[#This Row],[ĐIỂM 10 ]]=10,10,IF(AND(Table1[[#This Row],[ĐIỂM 10 ]]&lt;10,Table1[[#This Row],[ĐIỂM 10 ]]&gt;=9),9,IF(AND(Table1[[#This Row],[ĐIỂM 10 ]]&lt;9,Table1[[#This Row],[ĐIỂM 10 ]]&gt;=8),8,0)))</f>
        <v>0</v>
      </c>
    </row>
    <row r="65" spans="1:22" ht="18" customHeight="1" x14ac:dyDescent="0.45">
      <c r="A65" s="8"/>
      <c r="B65" s="20"/>
      <c r="C65" s="5"/>
      <c r="D65" s="8"/>
      <c r="E65" s="8"/>
      <c r="F65" s="72">
        <v>64</v>
      </c>
      <c r="K65" s="82"/>
      <c r="M65" s="5">
        <f>IF(AND(LEN(Table1[[#This Row],[MÔN HỌC]])&gt;0,Table1[[#This Row],[SỐ TÍN CHỈ]]&gt;0,Table1[[#This Row],[ĐIỂM 10 ]]&gt;0),1,0)</f>
        <v>0</v>
      </c>
      <c r="N65" s="20">
        <f>IF(Table1[[#This Row],[ĐIỂM 10 ]]="",1,0)</f>
        <v>1</v>
      </c>
      <c r="O65" s="8">
        <f>IF(OR(Table1[[#This Row],[CHỮ]]="A",Table1[[#This Row],[CHỮ]]="A+"),Table1[[#This Row],[SỐ TÍN CHỈ]]*4,0)</f>
        <v>0</v>
      </c>
      <c r="P65" s="8">
        <f>IF(Table1[[#This Row],[CHỮ]]="B",Table1[[#This Row],[SỐ TÍN CHỈ]]*3,0)</f>
        <v>0</v>
      </c>
      <c r="Q65" s="8">
        <f>IF(Table1[[#This Row],[CHỮ]]="B+",Table1[[#This Row],[SỐ TÍN CHỈ]]*3.5,0)</f>
        <v>0</v>
      </c>
      <c r="R65" s="8">
        <f>IF(Table1[[#This Row],[CHỮ]]="C",Table1[[#This Row],[SỐ TÍN CHỈ]]*2,0)</f>
        <v>0</v>
      </c>
      <c r="S65" s="8">
        <f>IF(Table1[[#This Row],[CHỮ]]="C+",Table1[[#This Row],[SỐ TÍN CHỈ]]*2.5,0)</f>
        <v>0</v>
      </c>
      <c r="T65" s="8">
        <f>IF(Table1[[#This Row],[CHỮ]]="D",Table1[[#This Row],[SỐ TÍN CHỈ]]*1,0)</f>
        <v>0</v>
      </c>
      <c r="U65" s="8">
        <f>IF(Table1[[#This Row],[CHỮ]]="F",Table1[[#This Row],[SỐ TÍN CHỈ]]*0,0)</f>
        <v>0</v>
      </c>
      <c r="V65" s="21">
        <f>IF(Table1[[#This Row],[ĐIỂM 10 ]]=10,10,IF(AND(Table1[[#This Row],[ĐIỂM 10 ]]&lt;10,Table1[[#This Row],[ĐIỂM 10 ]]&gt;=9),9,IF(AND(Table1[[#This Row],[ĐIỂM 10 ]]&lt;9,Table1[[#This Row],[ĐIỂM 10 ]]&gt;=8),8,0)))</f>
        <v>0</v>
      </c>
    </row>
    <row r="66" spans="1:22" ht="18" customHeight="1" x14ac:dyDescent="0.45">
      <c r="A66" s="8"/>
      <c r="B66" s="20"/>
      <c r="C66" s="5"/>
      <c r="D66" s="8"/>
      <c r="E66" s="8"/>
      <c r="F66" s="72">
        <v>65</v>
      </c>
      <c r="K66" s="82"/>
      <c r="M66" s="5">
        <f>IF(AND(LEN(Table1[[#This Row],[MÔN HỌC]])&gt;0,Table1[[#This Row],[SỐ TÍN CHỈ]]&gt;0,Table1[[#This Row],[ĐIỂM 10 ]]&gt;0),1,0)</f>
        <v>0</v>
      </c>
      <c r="N66" s="20">
        <f>IF(Table1[[#This Row],[ĐIỂM 10 ]]="",1,0)</f>
        <v>1</v>
      </c>
      <c r="O66" s="8">
        <f>IF(OR(Table1[[#This Row],[CHỮ]]="A",Table1[[#This Row],[CHỮ]]="A+"),Table1[[#This Row],[SỐ TÍN CHỈ]]*4,0)</f>
        <v>0</v>
      </c>
      <c r="P66" s="8">
        <f>IF(Table1[[#This Row],[CHỮ]]="B",Table1[[#This Row],[SỐ TÍN CHỈ]]*3,0)</f>
        <v>0</v>
      </c>
      <c r="Q66" s="8">
        <f>IF(Table1[[#This Row],[CHỮ]]="B+",Table1[[#This Row],[SỐ TÍN CHỈ]]*3.5,0)</f>
        <v>0</v>
      </c>
      <c r="R66" s="8">
        <f>IF(Table1[[#This Row],[CHỮ]]="C",Table1[[#This Row],[SỐ TÍN CHỈ]]*2,0)</f>
        <v>0</v>
      </c>
      <c r="S66" s="8">
        <f>IF(Table1[[#This Row],[CHỮ]]="C+",Table1[[#This Row],[SỐ TÍN CHỈ]]*2.5,0)</f>
        <v>0</v>
      </c>
      <c r="T66" s="8">
        <f>IF(Table1[[#This Row],[CHỮ]]="D",Table1[[#This Row],[SỐ TÍN CHỈ]]*1,0)</f>
        <v>0</v>
      </c>
      <c r="U66" s="8">
        <f>IF(Table1[[#This Row],[CHỮ]]="F",Table1[[#This Row],[SỐ TÍN CHỈ]]*0,0)</f>
        <v>0</v>
      </c>
      <c r="V66" s="21">
        <f>IF(Table1[[#This Row],[ĐIỂM 10 ]]=10,10,IF(AND(Table1[[#This Row],[ĐIỂM 10 ]]&lt;10,Table1[[#This Row],[ĐIỂM 10 ]]&gt;=9),9,IF(AND(Table1[[#This Row],[ĐIỂM 10 ]]&lt;9,Table1[[#This Row],[ĐIỂM 10 ]]&gt;=8),8,0)))</f>
        <v>0</v>
      </c>
    </row>
    <row r="67" spans="1:22" ht="18" customHeight="1" x14ac:dyDescent="0.45">
      <c r="A67" s="8"/>
      <c r="B67" s="20"/>
      <c r="C67" s="5"/>
      <c r="D67" s="8"/>
      <c r="E67" s="8"/>
      <c r="F67" s="72">
        <v>66</v>
      </c>
      <c r="K67" s="82"/>
      <c r="M67" s="5">
        <f>IF(AND(LEN(Table1[[#This Row],[MÔN HỌC]])&gt;0,Table1[[#This Row],[SỐ TÍN CHỈ]]&gt;0,Table1[[#This Row],[ĐIỂM 10 ]]&gt;0),1,0)</f>
        <v>0</v>
      </c>
      <c r="N67" s="20">
        <f>IF(Table1[[#This Row],[ĐIỂM 10 ]]="",1,0)</f>
        <v>1</v>
      </c>
      <c r="O67" s="8">
        <f>IF(OR(Table1[[#This Row],[CHỮ]]="A",Table1[[#This Row],[CHỮ]]="A+"),Table1[[#This Row],[SỐ TÍN CHỈ]]*4,0)</f>
        <v>0</v>
      </c>
      <c r="P67" s="8">
        <f>IF(Table1[[#This Row],[CHỮ]]="B",Table1[[#This Row],[SỐ TÍN CHỈ]]*3,0)</f>
        <v>0</v>
      </c>
      <c r="Q67" s="8">
        <f>IF(Table1[[#This Row],[CHỮ]]="B+",Table1[[#This Row],[SỐ TÍN CHỈ]]*3.5,0)</f>
        <v>0</v>
      </c>
      <c r="R67" s="8">
        <f>IF(Table1[[#This Row],[CHỮ]]="C",Table1[[#This Row],[SỐ TÍN CHỈ]]*2,0)</f>
        <v>0</v>
      </c>
      <c r="S67" s="8">
        <f>IF(Table1[[#This Row],[CHỮ]]="C+",Table1[[#This Row],[SỐ TÍN CHỈ]]*2.5,0)</f>
        <v>0</v>
      </c>
      <c r="T67" s="8">
        <f>IF(Table1[[#This Row],[CHỮ]]="D",Table1[[#This Row],[SỐ TÍN CHỈ]]*1,0)</f>
        <v>0</v>
      </c>
      <c r="U67" s="8">
        <f>IF(Table1[[#This Row],[CHỮ]]="F",Table1[[#This Row],[SỐ TÍN CHỈ]]*0,0)</f>
        <v>0</v>
      </c>
      <c r="V67" s="21">
        <f>IF(Table1[[#This Row],[ĐIỂM 10 ]]=10,10,IF(AND(Table1[[#This Row],[ĐIỂM 10 ]]&lt;10,Table1[[#This Row],[ĐIỂM 10 ]]&gt;=9),9,IF(AND(Table1[[#This Row],[ĐIỂM 10 ]]&lt;9,Table1[[#This Row],[ĐIỂM 10 ]]&gt;=8),8,0)))</f>
        <v>0</v>
      </c>
    </row>
    <row r="68" spans="1:22" ht="18" customHeight="1" x14ac:dyDescent="0.45">
      <c r="A68" s="8"/>
      <c r="B68" s="20"/>
      <c r="C68" s="5"/>
      <c r="D68" s="8"/>
      <c r="E68" s="8"/>
      <c r="F68" s="72">
        <v>67</v>
      </c>
      <c r="K68" s="82"/>
      <c r="M68" s="5">
        <f>IF(AND(LEN(Table1[[#This Row],[MÔN HỌC]])&gt;0,Table1[[#This Row],[SỐ TÍN CHỈ]]&gt;0,Table1[[#This Row],[ĐIỂM 10 ]]&gt;0),1,0)</f>
        <v>0</v>
      </c>
      <c r="N68" s="20">
        <f>IF(Table1[[#This Row],[ĐIỂM 10 ]]="",1,0)</f>
        <v>1</v>
      </c>
      <c r="O68" s="8">
        <f>IF(OR(Table1[[#This Row],[CHỮ]]="A",Table1[[#This Row],[CHỮ]]="A+"),Table1[[#This Row],[SỐ TÍN CHỈ]]*4,0)</f>
        <v>0</v>
      </c>
      <c r="P68" s="8">
        <f>IF(Table1[[#This Row],[CHỮ]]="B",Table1[[#This Row],[SỐ TÍN CHỈ]]*3,0)</f>
        <v>0</v>
      </c>
      <c r="Q68" s="8">
        <f>IF(Table1[[#This Row],[CHỮ]]="B+",Table1[[#This Row],[SỐ TÍN CHỈ]]*3.5,0)</f>
        <v>0</v>
      </c>
      <c r="R68" s="8">
        <f>IF(Table1[[#This Row],[CHỮ]]="C",Table1[[#This Row],[SỐ TÍN CHỈ]]*2,0)</f>
        <v>0</v>
      </c>
      <c r="S68" s="8">
        <f>IF(Table1[[#This Row],[CHỮ]]="C+",Table1[[#This Row],[SỐ TÍN CHỈ]]*2.5,0)</f>
        <v>0</v>
      </c>
      <c r="T68" s="8">
        <f>IF(Table1[[#This Row],[CHỮ]]="D",Table1[[#This Row],[SỐ TÍN CHỈ]]*1,0)</f>
        <v>0</v>
      </c>
      <c r="U68" s="8">
        <f>IF(Table1[[#This Row],[CHỮ]]="F",Table1[[#This Row],[SỐ TÍN CHỈ]]*0,0)</f>
        <v>0</v>
      </c>
      <c r="V68" s="21">
        <f>IF(Table1[[#This Row],[ĐIỂM 10 ]]=10,10,IF(AND(Table1[[#This Row],[ĐIỂM 10 ]]&lt;10,Table1[[#This Row],[ĐIỂM 10 ]]&gt;=9),9,IF(AND(Table1[[#This Row],[ĐIỂM 10 ]]&lt;9,Table1[[#This Row],[ĐIỂM 10 ]]&gt;=8),8,0)))</f>
        <v>0</v>
      </c>
    </row>
    <row r="69" spans="1:22" ht="18" customHeight="1" x14ac:dyDescent="0.45">
      <c r="A69" s="8"/>
      <c r="B69" s="20"/>
      <c r="C69" s="5"/>
      <c r="D69" s="8"/>
      <c r="E69" s="8"/>
      <c r="F69" s="72">
        <v>68</v>
      </c>
      <c r="K69" s="82"/>
      <c r="M69" s="5">
        <f>IF(AND(LEN(Table1[[#This Row],[MÔN HỌC]])&gt;0,Table1[[#This Row],[SỐ TÍN CHỈ]]&gt;0,Table1[[#This Row],[ĐIỂM 10 ]]&gt;0),1,0)</f>
        <v>0</v>
      </c>
      <c r="N69" s="20">
        <f>IF(Table1[[#This Row],[ĐIỂM 10 ]]="",1,0)</f>
        <v>1</v>
      </c>
      <c r="O69" s="8">
        <f>IF(OR(Table1[[#This Row],[CHỮ]]="A",Table1[[#This Row],[CHỮ]]="A+"),Table1[[#This Row],[SỐ TÍN CHỈ]]*4,0)</f>
        <v>0</v>
      </c>
      <c r="P69" s="8">
        <f>IF(Table1[[#This Row],[CHỮ]]="B",Table1[[#This Row],[SỐ TÍN CHỈ]]*3,0)</f>
        <v>0</v>
      </c>
      <c r="Q69" s="8">
        <f>IF(Table1[[#This Row],[CHỮ]]="B+",Table1[[#This Row],[SỐ TÍN CHỈ]]*3.5,0)</f>
        <v>0</v>
      </c>
      <c r="R69" s="8">
        <f>IF(Table1[[#This Row],[CHỮ]]="C",Table1[[#This Row],[SỐ TÍN CHỈ]]*2,0)</f>
        <v>0</v>
      </c>
      <c r="S69" s="8">
        <f>IF(Table1[[#This Row],[CHỮ]]="C+",Table1[[#This Row],[SỐ TÍN CHỈ]]*2.5,0)</f>
        <v>0</v>
      </c>
      <c r="T69" s="8">
        <f>IF(Table1[[#This Row],[CHỮ]]="D",Table1[[#This Row],[SỐ TÍN CHỈ]]*1,0)</f>
        <v>0</v>
      </c>
      <c r="U69" s="8">
        <f>IF(Table1[[#This Row],[CHỮ]]="F",Table1[[#This Row],[SỐ TÍN CHỈ]]*0,0)</f>
        <v>0</v>
      </c>
      <c r="V69" s="21">
        <f>IF(Table1[[#This Row],[ĐIỂM 10 ]]=10,10,IF(AND(Table1[[#This Row],[ĐIỂM 10 ]]&lt;10,Table1[[#This Row],[ĐIỂM 10 ]]&gt;=9),9,IF(AND(Table1[[#This Row],[ĐIỂM 10 ]]&lt;9,Table1[[#This Row],[ĐIỂM 10 ]]&gt;=8),8,0)))</f>
        <v>0</v>
      </c>
    </row>
    <row r="70" spans="1:22" ht="18" customHeight="1" x14ac:dyDescent="0.45">
      <c r="A70" s="8"/>
      <c r="B70" s="20"/>
      <c r="C70" s="5"/>
      <c r="D70" s="8"/>
      <c r="E70" s="8"/>
      <c r="F70" s="72">
        <v>69</v>
      </c>
      <c r="K70" s="82"/>
      <c r="M70" s="5">
        <f>IF(AND(LEN(Table1[[#This Row],[MÔN HỌC]])&gt;0,Table1[[#This Row],[SỐ TÍN CHỈ]]&gt;0,Table1[[#This Row],[ĐIỂM 10 ]]&gt;0),1,0)</f>
        <v>0</v>
      </c>
      <c r="N70" s="20">
        <f>IF(Table1[[#This Row],[ĐIỂM 10 ]]="",1,0)</f>
        <v>1</v>
      </c>
      <c r="O70" s="8">
        <f>IF(OR(Table1[[#This Row],[CHỮ]]="A",Table1[[#This Row],[CHỮ]]="A+"),Table1[[#This Row],[SỐ TÍN CHỈ]]*4,0)</f>
        <v>0</v>
      </c>
      <c r="P70" s="8">
        <f>IF(Table1[[#This Row],[CHỮ]]="B",Table1[[#This Row],[SỐ TÍN CHỈ]]*3,0)</f>
        <v>0</v>
      </c>
      <c r="Q70" s="8">
        <f>IF(Table1[[#This Row],[CHỮ]]="B+",Table1[[#This Row],[SỐ TÍN CHỈ]]*3.5,0)</f>
        <v>0</v>
      </c>
      <c r="R70" s="8">
        <f>IF(Table1[[#This Row],[CHỮ]]="C",Table1[[#This Row],[SỐ TÍN CHỈ]]*2,0)</f>
        <v>0</v>
      </c>
      <c r="S70" s="8">
        <f>IF(Table1[[#This Row],[CHỮ]]="C+",Table1[[#This Row],[SỐ TÍN CHỈ]]*2.5,0)</f>
        <v>0</v>
      </c>
      <c r="T70" s="8">
        <f>IF(Table1[[#This Row],[CHỮ]]="D",Table1[[#This Row],[SỐ TÍN CHỈ]]*1,0)</f>
        <v>0</v>
      </c>
      <c r="U70" s="8">
        <f>IF(Table1[[#This Row],[CHỮ]]="F",Table1[[#This Row],[SỐ TÍN CHỈ]]*0,0)</f>
        <v>0</v>
      </c>
      <c r="V70" s="21">
        <f>IF(Table1[[#This Row],[ĐIỂM 10 ]]=10,10,IF(AND(Table1[[#This Row],[ĐIỂM 10 ]]&lt;10,Table1[[#This Row],[ĐIỂM 10 ]]&gt;=9),9,IF(AND(Table1[[#This Row],[ĐIỂM 10 ]]&lt;9,Table1[[#This Row],[ĐIỂM 10 ]]&gt;=8),8,0)))</f>
        <v>0</v>
      </c>
    </row>
    <row r="71" spans="1:22" ht="18" customHeight="1" x14ac:dyDescent="0.45">
      <c r="A71" s="8"/>
      <c r="B71" s="20"/>
      <c r="C71" s="5"/>
      <c r="D71" s="8"/>
      <c r="E71" s="8"/>
      <c r="F71" s="72">
        <v>70</v>
      </c>
      <c r="K71" s="82"/>
      <c r="M71" s="5">
        <f>IF(AND(LEN(Table1[[#This Row],[MÔN HỌC]])&gt;0,Table1[[#This Row],[SỐ TÍN CHỈ]]&gt;0,Table1[[#This Row],[ĐIỂM 10 ]]&gt;0),1,0)</f>
        <v>0</v>
      </c>
      <c r="N71" s="20">
        <f>IF(Table1[[#This Row],[ĐIỂM 10 ]]="",1,0)</f>
        <v>1</v>
      </c>
      <c r="O71" s="8">
        <f>IF(OR(Table1[[#This Row],[CHỮ]]="A",Table1[[#This Row],[CHỮ]]="A+"),Table1[[#This Row],[SỐ TÍN CHỈ]]*4,0)</f>
        <v>0</v>
      </c>
      <c r="P71" s="8">
        <f>IF(Table1[[#This Row],[CHỮ]]="B",Table1[[#This Row],[SỐ TÍN CHỈ]]*3,0)</f>
        <v>0</v>
      </c>
      <c r="Q71" s="8">
        <f>IF(Table1[[#This Row],[CHỮ]]="B+",Table1[[#This Row],[SỐ TÍN CHỈ]]*3.5,0)</f>
        <v>0</v>
      </c>
      <c r="R71" s="8">
        <f>IF(Table1[[#This Row],[CHỮ]]="C",Table1[[#This Row],[SỐ TÍN CHỈ]]*2,0)</f>
        <v>0</v>
      </c>
      <c r="S71" s="8">
        <f>IF(Table1[[#This Row],[CHỮ]]="C+",Table1[[#This Row],[SỐ TÍN CHỈ]]*2.5,0)</f>
        <v>0</v>
      </c>
      <c r="T71" s="8">
        <f>IF(Table1[[#This Row],[CHỮ]]="D",Table1[[#This Row],[SỐ TÍN CHỈ]]*1,0)</f>
        <v>0</v>
      </c>
      <c r="U71" s="8">
        <f>IF(Table1[[#This Row],[CHỮ]]="F",Table1[[#This Row],[SỐ TÍN CHỈ]]*0,0)</f>
        <v>0</v>
      </c>
      <c r="V71" s="21">
        <f>IF(Table1[[#This Row],[ĐIỂM 10 ]]=10,10,IF(AND(Table1[[#This Row],[ĐIỂM 10 ]]&lt;10,Table1[[#This Row],[ĐIỂM 10 ]]&gt;=9),9,IF(AND(Table1[[#This Row],[ĐIỂM 10 ]]&lt;9,Table1[[#This Row],[ĐIỂM 10 ]]&gt;=8),8,0)))</f>
        <v>0</v>
      </c>
    </row>
    <row r="72" spans="1:22" ht="18" customHeight="1" x14ac:dyDescent="0.45">
      <c r="A72" s="8"/>
      <c r="B72" s="20"/>
      <c r="C72" s="5"/>
      <c r="D72" s="8"/>
      <c r="E72" s="8"/>
      <c r="F72" s="72">
        <v>71</v>
      </c>
      <c r="K72" s="82"/>
      <c r="M72" s="5">
        <f>IF(AND(LEN(Table1[[#This Row],[MÔN HỌC]])&gt;0,Table1[[#This Row],[SỐ TÍN CHỈ]]&gt;0,Table1[[#This Row],[ĐIỂM 10 ]]&gt;0),1,0)</f>
        <v>0</v>
      </c>
      <c r="N72" s="20">
        <f>IF(Table1[[#This Row],[ĐIỂM 10 ]]="",1,0)</f>
        <v>1</v>
      </c>
      <c r="O72" s="8">
        <f>IF(OR(Table1[[#This Row],[CHỮ]]="A",Table1[[#This Row],[CHỮ]]="A+"),Table1[[#This Row],[SỐ TÍN CHỈ]]*4,0)</f>
        <v>0</v>
      </c>
      <c r="P72" s="8">
        <f>IF(Table1[[#This Row],[CHỮ]]="B",Table1[[#This Row],[SỐ TÍN CHỈ]]*3,0)</f>
        <v>0</v>
      </c>
      <c r="Q72" s="8">
        <f>IF(Table1[[#This Row],[CHỮ]]="B+",Table1[[#This Row],[SỐ TÍN CHỈ]]*3.5,0)</f>
        <v>0</v>
      </c>
      <c r="R72" s="8">
        <f>IF(Table1[[#This Row],[CHỮ]]="C",Table1[[#This Row],[SỐ TÍN CHỈ]]*2,0)</f>
        <v>0</v>
      </c>
      <c r="S72" s="8">
        <f>IF(Table1[[#This Row],[CHỮ]]="C+",Table1[[#This Row],[SỐ TÍN CHỈ]]*2.5,0)</f>
        <v>0</v>
      </c>
      <c r="T72" s="8">
        <f>IF(Table1[[#This Row],[CHỮ]]="D",Table1[[#This Row],[SỐ TÍN CHỈ]]*1,0)</f>
        <v>0</v>
      </c>
      <c r="U72" s="8">
        <f>IF(Table1[[#This Row],[CHỮ]]="F",Table1[[#This Row],[SỐ TÍN CHỈ]]*0,0)</f>
        <v>0</v>
      </c>
      <c r="V72" s="21">
        <f>IF(Table1[[#This Row],[ĐIỂM 10 ]]=10,10,IF(AND(Table1[[#This Row],[ĐIỂM 10 ]]&lt;10,Table1[[#This Row],[ĐIỂM 10 ]]&gt;=9),9,IF(AND(Table1[[#This Row],[ĐIỂM 10 ]]&lt;9,Table1[[#This Row],[ĐIỂM 10 ]]&gt;=8),8,0)))</f>
        <v>0</v>
      </c>
    </row>
    <row r="73" spans="1:22" ht="18" customHeight="1" x14ac:dyDescent="0.45">
      <c r="A73" s="8"/>
      <c r="B73" s="20"/>
      <c r="C73" s="5"/>
      <c r="D73" s="8"/>
      <c r="E73" s="8"/>
      <c r="F73" s="72">
        <v>72</v>
      </c>
      <c r="K73" s="82"/>
      <c r="M73" s="5">
        <f>IF(AND(LEN(Table1[[#This Row],[MÔN HỌC]])&gt;0,Table1[[#This Row],[SỐ TÍN CHỈ]]&gt;0,Table1[[#This Row],[ĐIỂM 10 ]]&gt;0),1,0)</f>
        <v>0</v>
      </c>
      <c r="N73" s="20">
        <f>IF(Table1[[#This Row],[ĐIỂM 10 ]]="",1,0)</f>
        <v>1</v>
      </c>
      <c r="O73" s="8">
        <f>IF(OR(Table1[[#This Row],[CHỮ]]="A",Table1[[#This Row],[CHỮ]]="A+"),Table1[[#This Row],[SỐ TÍN CHỈ]]*4,0)</f>
        <v>0</v>
      </c>
      <c r="P73" s="8">
        <f>IF(Table1[[#This Row],[CHỮ]]="B",Table1[[#This Row],[SỐ TÍN CHỈ]]*3,0)</f>
        <v>0</v>
      </c>
      <c r="Q73" s="8">
        <f>IF(Table1[[#This Row],[CHỮ]]="B+",Table1[[#This Row],[SỐ TÍN CHỈ]]*3.5,0)</f>
        <v>0</v>
      </c>
      <c r="R73" s="8">
        <f>IF(Table1[[#This Row],[CHỮ]]="C",Table1[[#This Row],[SỐ TÍN CHỈ]]*2,0)</f>
        <v>0</v>
      </c>
      <c r="S73" s="8">
        <f>IF(Table1[[#This Row],[CHỮ]]="C+",Table1[[#This Row],[SỐ TÍN CHỈ]]*2.5,0)</f>
        <v>0</v>
      </c>
      <c r="T73" s="8">
        <f>IF(Table1[[#This Row],[CHỮ]]="D",Table1[[#This Row],[SỐ TÍN CHỈ]]*1,0)</f>
        <v>0</v>
      </c>
      <c r="U73" s="8">
        <f>IF(Table1[[#This Row],[CHỮ]]="F",Table1[[#This Row],[SỐ TÍN CHỈ]]*0,0)</f>
        <v>0</v>
      </c>
      <c r="V73" s="21">
        <f>IF(Table1[[#This Row],[ĐIỂM 10 ]]=10,10,IF(AND(Table1[[#This Row],[ĐIỂM 10 ]]&lt;10,Table1[[#This Row],[ĐIỂM 10 ]]&gt;=9),9,IF(AND(Table1[[#This Row],[ĐIỂM 10 ]]&lt;9,Table1[[#This Row],[ĐIỂM 10 ]]&gt;=8),8,0)))</f>
        <v>0</v>
      </c>
    </row>
    <row r="74" spans="1:22" ht="18" customHeight="1" x14ac:dyDescent="0.45">
      <c r="A74" s="8"/>
      <c r="B74" s="20"/>
      <c r="C74" s="5"/>
      <c r="D74" s="8"/>
      <c r="E74" s="8"/>
      <c r="F74" s="72">
        <v>73</v>
      </c>
      <c r="K74" s="82"/>
      <c r="M74" s="5">
        <f>IF(AND(LEN(Table1[[#This Row],[MÔN HỌC]])&gt;0,Table1[[#This Row],[SỐ TÍN CHỈ]]&gt;0,Table1[[#This Row],[ĐIỂM 10 ]]&gt;0),1,0)</f>
        <v>0</v>
      </c>
      <c r="N74" s="20">
        <f>IF(Table1[[#This Row],[ĐIỂM 10 ]]="",1,0)</f>
        <v>1</v>
      </c>
      <c r="O74" s="8">
        <f>IF(OR(Table1[[#This Row],[CHỮ]]="A",Table1[[#This Row],[CHỮ]]="A+"),Table1[[#This Row],[SỐ TÍN CHỈ]]*4,0)</f>
        <v>0</v>
      </c>
      <c r="P74" s="8">
        <f>IF(Table1[[#This Row],[CHỮ]]="B",Table1[[#This Row],[SỐ TÍN CHỈ]]*3,0)</f>
        <v>0</v>
      </c>
      <c r="Q74" s="8">
        <f>IF(Table1[[#This Row],[CHỮ]]="B+",Table1[[#This Row],[SỐ TÍN CHỈ]]*3.5,0)</f>
        <v>0</v>
      </c>
      <c r="R74" s="8">
        <f>IF(Table1[[#This Row],[CHỮ]]="C",Table1[[#This Row],[SỐ TÍN CHỈ]]*2,0)</f>
        <v>0</v>
      </c>
      <c r="S74" s="8">
        <f>IF(Table1[[#This Row],[CHỮ]]="C+",Table1[[#This Row],[SỐ TÍN CHỈ]]*2.5,0)</f>
        <v>0</v>
      </c>
      <c r="T74" s="8">
        <f>IF(Table1[[#This Row],[CHỮ]]="D",Table1[[#This Row],[SỐ TÍN CHỈ]]*1,0)</f>
        <v>0</v>
      </c>
      <c r="U74" s="8">
        <f>IF(Table1[[#This Row],[CHỮ]]="F",Table1[[#This Row],[SỐ TÍN CHỈ]]*0,0)</f>
        <v>0</v>
      </c>
      <c r="V74" s="21">
        <f>IF(Table1[[#This Row],[ĐIỂM 10 ]]=10,10,IF(AND(Table1[[#This Row],[ĐIỂM 10 ]]&lt;10,Table1[[#This Row],[ĐIỂM 10 ]]&gt;=9),9,IF(AND(Table1[[#This Row],[ĐIỂM 10 ]]&lt;9,Table1[[#This Row],[ĐIỂM 10 ]]&gt;=8),8,0)))</f>
        <v>0</v>
      </c>
    </row>
    <row r="75" spans="1:22" ht="18" customHeight="1" x14ac:dyDescent="0.45">
      <c r="A75" s="8"/>
      <c r="B75" s="20"/>
      <c r="C75" s="5"/>
      <c r="D75" s="8"/>
      <c r="E75" s="8"/>
      <c r="F75" s="72">
        <v>74</v>
      </c>
      <c r="K75" s="82"/>
      <c r="M75" s="5">
        <f>IF(AND(LEN(Table1[[#This Row],[MÔN HỌC]])&gt;0,Table1[[#This Row],[SỐ TÍN CHỈ]]&gt;0,Table1[[#This Row],[ĐIỂM 10 ]]&gt;0),1,0)</f>
        <v>0</v>
      </c>
      <c r="N75" s="20">
        <f>IF(Table1[[#This Row],[ĐIỂM 10 ]]="",1,0)</f>
        <v>1</v>
      </c>
      <c r="O75" s="8">
        <f>IF(OR(Table1[[#This Row],[CHỮ]]="A",Table1[[#This Row],[CHỮ]]="A+"),Table1[[#This Row],[SỐ TÍN CHỈ]]*4,0)</f>
        <v>0</v>
      </c>
      <c r="P75" s="8">
        <f>IF(Table1[[#This Row],[CHỮ]]="B",Table1[[#This Row],[SỐ TÍN CHỈ]]*3,0)</f>
        <v>0</v>
      </c>
      <c r="Q75" s="8">
        <f>IF(Table1[[#This Row],[CHỮ]]="B+",Table1[[#This Row],[SỐ TÍN CHỈ]]*3.5,0)</f>
        <v>0</v>
      </c>
      <c r="R75" s="8">
        <f>IF(Table1[[#This Row],[CHỮ]]="C",Table1[[#This Row],[SỐ TÍN CHỈ]]*2,0)</f>
        <v>0</v>
      </c>
      <c r="S75" s="8">
        <f>IF(Table1[[#This Row],[CHỮ]]="C+",Table1[[#This Row],[SỐ TÍN CHỈ]]*2.5,0)</f>
        <v>0</v>
      </c>
      <c r="T75" s="8">
        <f>IF(Table1[[#This Row],[CHỮ]]="D",Table1[[#This Row],[SỐ TÍN CHỈ]]*1,0)</f>
        <v>0</v>
      </c>
      <c r="U75" s="8">
        <f>IF(Table1[[#This Row],[CHỮ]]="F",Table1[[#This Row],[SỐ TÍN CHỈ]]*0,0)</f>
        <v>0</v>
      </c>
      <c r="V75" s="21">
        <f>IF(Table1[[#This Row],[ĐIỂM 10 ]]=10,10,IF(AND(Table1[[#This Row],[ĐIỂM 10 ]]&lt;10,Table1[[#This Row],[ĐIỂM 10 ]]&gt;=9),9,IF(AND(Table1[[#This Row],[ĐIỂM 10 ]]&lt;9,Table1[[#This Row],[ĐIỂM 10 ]]&gt;=8),8,0)))</f>
        <v>0</v>
      </c>
    </row>
    <row r="76" spans="1:22" ht="18" customHeight="1" x14ac:dyDescent="0.45">
      <c r="A76" s="8"/>
      <c r="B76" s="20"/>
      <c r="C76" s="5"/>
      <c r="D76" s="8"/>
      <c r="E76" s="8"/>
      <c r="F76" s="72">
        <v>75</v>
      </c>
      <c r="K76" s="82"/>
      <c r="M76" s="5">
        <f>IF(AND(LEN(Table1[[#This Row],[MÔN HỌC]])&gt;0,Table1[[#This Row],[SỐ TÍN CHỈ]]&gt;0,Table1[[#This Row],[ĐIỂM 10 ]]&gt;0),1,0)</f>
        <v>0</v>
      </c>
      <c r="N76" s="20">
        <f>IF(Table1[[#This Row],[ĐIỂM 10 ]]="",1,0)</f>
        <v>1</v>
      </c>
      <c r="O76" s="8">
        <f>IF(OR(Table1[[#This Row],[CHỮ]]="A",Table1[[#This Row],[CHỮ]]="A+"),Table1[[#This Row],[SỐ TÍN CHỈ]]*4,0)</f>
        <v>0</v>
      </c>
      <c r="P76" s="8">
        <f>IF(Table1[[#This Row],[CHỮ]]="B",Table1[[#This Row],[SỐ TÍN CHỈ]]*3,0)</f>
        <v>0</v>
      </c>
      <c r="Q76" s="8">
        <f>IF(Table1[[#This Row],[CHỮ]]="B+",Table1[[#This Row],[SỐ TÍN CHỈ]]*3.5,0)</f>
        <v>0</v>
      </c>
      <c r="R76" s="8">
        <f>IF(Table1[[#This Row],[CHỮ]]="C",Table1[[#This Row],[SỐ TÍN CHỈ]]*2,0)</f>
        <v>0</v>
      </c>
      <c r="S76" s="8">
        <f>IF(Table1[[#This Row],[CHỮ]]="C+",Table1[[#This Row],[SỐ TÍN CHỈ]]*2.5,0)</f>
        <v>0</v>
      </c>
      <c r="T76" s="8">
        <f>IF(Table1[[#This Row],[CHỮ]]="D",Table1[[#This Row],[SỐ TÍN CHỈ]]*1,0)</f>
        <v>0</v>
      </c>
      <c r="U76" s="8">
        <f>IF(Table1[[#This Row],[CHỮ]]="F",Table1[[#This Row],[SỐ TÍN CHỈ]]*0,0)</f>
        <v>0</v>
      </c>
      <c r="V76" s="21">
        <f>IF(Table1[[#This Row],[ĐIỂM 10 ]]=10,10,IF(AND(Table1[[#This Row],[ĐIỂM 10 ]]&lt;10,Table1[[#This Row],[ĐIỂM 10 ]]&gt;=9),9,IF(AND(Table1[[#This Row],[ĐIỂM 10 ]]&lt;9,Table1[[#This Row],[ĐIỂM 10 ]]&gt;=8),8,0)))</f>
        <v>0</v>
      </c>
    </row>
    <row r="77" spans="1:22" ht="18" customHeight="1" x14ac:dyDescent="0.45">
      <c r="A77" s="8"/>
      <c r="B77" s="20"/>
      <c r="C77" s="5"/>
      <c r="D77" s="8"/>
      <c r="E77" s="8"/>
      <c r="F77" s="72">
        <v>76</v>
      </c>
      <c r="K77" s="82"/>
      <c r="M77" s="5">
        <f>IF(AND(LEN(Table1[[#This Row],[MÔN HỌC]])&gt;0,Table1[[#This Row],[SỐ TÍN CHỈ]]&gt;0,Table1[[#This Row],[ĐIỂM 10 ]]&gt;0),1,0)</f>
        <v>0</v>
      </c>
      <c r="N77" s="20">
        <f>IF(Table1[[#This Row],[ĐIỂM 10 ]]="",1,0)</f>
        <v>1</v>
      </c>
      <c r="O77" s="8">
        <f>IF(OR(Table1[[#This Row],[CHỮ]]="A",Table1[[#This Row],[CHỮ]]="A+"),Table1[[#This Row],[SỐ TÍN CHỈ]]*4,0)</f>
        <v>0</v>
      </c>
      <c r="P77" s="8">
        <f>IF(Table1[[#This Row],[CHỮ]]="B",Table1[[#This Row],[SỐ TÍN CHỈ]]*3,0)</f>
        <v>0</v>
      </c>
      <c r="Q77" s="8">
        <f>IF(Table1[[#This Row],[CHỮ]]="B+",Table1[[#This Row],[SỐ TÍN CHỈ]]*3.5,0)</f>
        <v>0</v>
      </c>
      <c r="R77" s="8">
        <f>IF(Table1[[#This Row],[CHỮ]]="C",Table1[[#This Row],[SỐ TÍN CHỈ]]*2,0)</f>
        <v>0</v>
      </c>
      <c r="S77" s="8">
        <f>IF(Table1[[#This Row],[CHỮ]]="C+",Table1[[#This Row],[SỐ TÍN CHỈ]]*2.5,0)</f>
        <v>0</v>
      </c>
      <c r="T77" s="8">
        <f>IF(Table1[[#This Row],[CHỮ]]="D",Table1[[#This Row],[SỐ TÍN CHỈ]]*1,0)</f>
        <v>0</v>
      </c>
      <c r="U77" s="8">
        <f>IF(Table1[[#This Row],[CHỮ]]="F",Table1[[#This Row],[SỐ TÍN CHỈ]]*0,0)</f>
        <v>0</v>
      </c>
      <c r="V77" s="21">
        <f>IF(Table1[[#This Row],[ĐIỂM 10 ]]=10,10,IF(AND(Table1[[#This Row],[ĐIỂM 10 ]]&lt;10,Table1[[#This Row],[ĐIỂM 10 ]]&gt;=9),9,IF(AND(Table1[[#This Row],[ĐIỂM 10 ]]&lt;9,Table1[[#This Row],[ĐIỂM 10 ]]&gt;=8),8,0)))</f>
        <v>0</v>
      </c>
    </row>
    <row r="78" spans="1:22" ht="18" customHeight="1" x14ac:dyDescent="0.45">
      <c r="A78" s="8"/>
      <c r="B78" s="20"/>
      <c r="C78" s="5"/>
      <c r="D78" s="8"/>
      <c r="E78" s="8"/>
      <c r="F78" s="72">
        <v>77</v>
      </c>
      <c r="K78" s="82"/>
      <c r="M78" s="5">
        <f>IF(AND(LEN(Table1[[#This Row],[MÔN HỌC]])&gt;0,Table1[[#This Row],[SỐ TÍN CHỈ]]&gt;0,Table1[[#This Row],[ĐIỂM 10 ]]&gt;0),1,0)</f>
        <v>0</v>
      </c>
      <c r="N78" s="20">
        <f>IF(Table1[[#This Row],[ĐIỂM 10 ]]="",1,0)</f>
        <v>1</v>
      </c>
      <c r="O78" s="8">
        <f>IF(OR(Table1[[#This Row],[CHỮ]]="A",Table1[[#This Row],[CHỮ]]="A+"),Table1[[#This Row],[SỐ TÍN CHỈ]]*4,0)</f>
        <v>0</v>
      </c>
      <c r="P78" s="8">
        <f>IF(Table1[[#This Row],[CHỮ]]="B",Table1[[#This Row],[SỐ TÍN CHỈ]]*3,0)</f>
        <v>0</v>
      </c>
      <c r="Q78" s="8">
        <f>IF(Table1[[#This Row],[CHỮ]]="B+",Table1[[#This Row],[SỐ TÍN CHỈ]]*3.5,0)</f>
        <v>0</v>
      </c>
      <c r="R78" s="8">
        <f>IF(Table1[[#This Row],[CHỮ]]="C",Table1[[#This Row],[SỐ TÍN CHỈ]]*2,0)</f>
        <v>0</v>
      </c>
      <c r="S78" s="8">
        <f>IF(Table1[[#This Row],[CHỮ]]="C+",Table1[[#This Row],[SỐ TÍN CHỈ]]*2.5,0)</f>
        <v>0</v>
      </c>
      <c r="T78" s="8">
        <f>IF(Table1[[#This Row],[CHỮ]]="D",Table1[[#This Row],[SỐ TÍN CHỈ]]*1,0)</f>
        <v>0</v>
      </c>
      <c r="U78" s="8">
        <f>IF(Table1[[#This Row],[CHỮ]]="F",Table1[[#This Row],[SỐ TÍN CHỈ]]*0,0)</f>
        <v>0</v>
      </c>
      <c r="V78" s="21">
        <f>IF(Table1[[#This Row],[ĐIỂM 10 ]]=10,10,IF(AND(Table1[[#This Row],[ĐIỂM 10 ]]&lt;10,Table1[[#This Row],[ĐIỂM 10 ]]&gt;=9),9,IF(AND(Table1[[#This Row],[ĐIỂM 10 ]]&lt;9,Table1[[#This Row],[ĐIỂM 10 ]]&gt;=8),8,0)))</f>
        <v>0</v>
      </c>
    </row>
    <row r="79" spans="1:22" ht="18" customHeight="1" x14ac:dyDescent="0.45">
      <c r="A79" s="8"/>
      <c r="B79" s="20"/>
      <c r="C79" s="5"/>
      <c r="D79" s="8"/>
      <c r="E79" s="8"/>
      <c r="F79" s="72">
        <v>78</v>
      </c>
      <c r="K79" s="82"/>
      <c r="M79" s="5">
        <f>IF(AND(LEN(Table1[[#This Row],[MÔN HỌC]])&gt;0,Table1[[#This Row],[SỐ TÍN CHỈ]]&gt;0,Table1[[#This Row],[ĐIỂM 10 ]]&gt;0),1,0)</f>
        <v>0</v>
      </c>
      <c r="N79" s="20">
        <f>IF(Table1[[#This Row],[ĐIỂM 10 ]]="",1,0)</f>
        <v>1</v>
      </c>
      <c r="O79" s="8">
        <f>IF(OR(Table1[[#This Row],[CHỮ]]="A",Table1[[#This Row],[CHỮ]]="A+"),Table1[[#This Row],[SỐ TÍN CHỈ]]*4,0)</f>
        <v>0</v>
      </c>
      <c r="P79" s="8">
        <f>IF(Table1[[#This Row],[CHỮ]]="B",Table1[[#This Row],[SỐ TÍN CHỈ]]*3,0)</f>
        <v>0</v>
      </c>
      <c r="Q79" s="8">
        <f>IF(Table1[[#This Row],[CHỮ]]="B+",Table1[[#This Row],[SỐ TÍN CHỈ]]*3.5,0)</f>
        <v>0</v>
      </c>
      <c r="R79" s="8">
        <f>IF(Table1[[#This Row],[CHỮ]]="C",Table1[[#This Row],[SỐ TÍN CHỈ]]*2,0)</f>
        <v>0</v>
      </c>
      <c r="S79" s="8">
        <f>IF(Table1[[#This Row],[CHỮ]]="C+",Table1[[#This Row],[SỐ TÍN CHỈ]]*2.5,0)</f>
        <v>0</v>
      </c>
      <c r="T79" s="8">
        <f>IF(Table1[[#This Row],[CHỮ]]="D",Table1[[#This Row],[SỐ TÍN CHỈ]]*1,0)</f>
        <v>0</v>
      </c>
      <c r="U79" s="8">
        <f>IF(Table1[[#This Row],[CHỮ]]="F",Table1[[#This Row],[SỐ TÍN CHỈ]]*0,0)</f>
        <v>0</v>
      </c>
      <c r="V79" s="21">
        <f>IF(Table1[[#This Row],[ĐIỂM 10 ]]=10,10,IF(AND(Table1[[#This Row],[ĐIỂM 10 ]]&lt;10,Table1[[#This Row],[ĐIỂM 10 ]]&gt;=9),9,IF(AND(Table1[[#This Row],[ĐIỂM 10 ]]&lt;9,Table1[[#This Row],[ĐIỂM 10 ]]&gt;=8),8,0)))</f>
        <v>0</v>
      </c>
    </row>
    <row r="80" spans="1:22" ht="18" customHeight="1" x14ac:dyDescent="0.45">
      <c r="A80" s="8"/>
      <c r="B80" s="20"/>
      <c r="C80" s="5"/>
      <c r="D80" s="8"/>
      <c r="E80" s="8"/>
      <c r="F80" s="72">
        <v>79</v>
      </c>
      <c r="K80" s="82"/>
      <c r="M80" s="5">
        <f>IF(AND(LEN(Table1[[#This Row],[MÔN HỌC]])&gt;0,Table1[[#This Row],[SỐ TÍN CHỈ]]&gt;0,Table1[[#This Row],[ĐIỂM 10 ]]&gt;0),1,0)</f>
        <v>0</v>
      </c>
      <c r="N80" s="20">
        <f>IF(Table1[[#This Row],[ĐIỂM 10 ]]="",1,0)</f>
        <v>1</v>
      </c>
      <c r="O80" s="8">
        <f>IF(OR(Table1[[#This Row],[CHỮ]]="A",Table1[[#This Row],[CHỮ]]="A+"),Table1[[#This Row],[SỐ TÍN CHỈ]]*4,0)</f>
        <v>0</v>
      </c>
      <c r="P80" s="8">
        <f>IF(Table1[[#This Row],[CHỮ]]="B",Table1[[#This Row],[SỐ TÍN CHỈ]]*3,0)</f>
        <v>0</v>
      </c>
      <c r="Q80" s="8">
        <f>IF(Table1[[#This Row],[CHỮ]]="B+",Table1[[#This Row],[SỐ TÍN CHỈ]]*3.5,0)</f>
        <v>0</v>
      </c>
      <c r="R80" s="8">
        <f>IF(Table1[[#This Row],[CHỮ]]="C",Table1[[#This Row],[SỐ TÍN CHỈ]]*2,0)</f>
        <v>0</v>
      </c>
      <c r="S80" s="8">
        <f>IF(Table1[[#This Row],[CHỮ]]="C+",Table1[[#This Row],[SỐ TÍN CHỈ]]*2.5,0)</f>
        <v>0</v>
      </c>
      <c r="T80" s="8">
        <f>IF(Table1[[#This Row],[CHỮ]]="D",Table1[[#This Row],[SỐ TÍN CHỈ]]*1,0)</f>
        <v>0</v>
      </c>
      <c r="U80" s="8">
        <f>IF(Table1[[#This Row],[CHỮ]]="F",Table1[[#This Row],[SỐ TÍN CHỈ]]*0,0)</f>
        <v>0</v>
      </c>
      <c r="V80" s="21">
        <f>IF(Table1[[#This Row],[ĐIỂM 10 ]]=10,10,IF(AND(Table1[[#This Row],[ĐIỂM 10 ]]&lt;10,Table1[[#This Row],[ĐIỂM 10 ]]&gt;=9),9,IF(AND(Table1[[#This Row],[ĐIỂM 10 ]]&lt;9,Table1[[#This Row],[ĐIỂM 10 ]]&gt;=8),8,0)))</f>
        <v>0</v>
      </c>
    </row>
    <row r="81" spans="1:22" ht="18" customHeight="1" x14ac:dyDescent="0.45">
      <c r="A81" s="8"/>
      <c r="B81" s="20"/>
      <c r="C81" s="5"/>
      <c r="D81" s="8"/>
      <c r="E81" s="8"/>
      <c r="F81" s="72">
        <v>80</v>
      </c>
      <c r="K81" s="82"/>
      <c r="M81" s="5">
        <f>IF(AND(LEN(Table1[[#This Row],[MÔN HỌC]])&gt;0,Table1[[#This Row],[SỐ TÍN CHỈ]]&gt;0,Table1[[#This Row],[ĐIỂM 10 ]]&gt;0),1,0)</f>
        <v>0</v>
      </c>
      <c r="N81" s="20">
        <f>IF(Table1[[#This Row],[ĐIỂM 10 ]]="",1,0)</f>
        <v>1</v>
      </c>
      <c r="O81" s="8">
        <f>IF(OR(Table1[[#This Row],[CHỮ]]="A",Table1[[#This Row],[CHỮ]]="A+"),Table1[[#This Row],[SỐ TÍN CHỈ]]*4,0)</f>
        <v>0</v>
      </c>
      <c r="P81" s="8">
        <f>IF(Table1[[#This Row],[CHỮ]]="B",Table1[[#This Row],[SỐ TÍN CHỈ]]*3,0)</f>
        <v>0</v>
      </c>
      <c r="Q81" s="8">
        <f>IF(Table1[[#This Row],[CHỮ]]="B+",Table1[[#This Row],[SỐ TÍN CHỈ]]*3.5,0)</f>
        <v>0</v>
      </c>
      <c r="R81" s="8">
        <f>IF(Table1[[#This Row],[CHỮ]]="C",Table1[[#This Row],[SỐ TÍN CHỈ]]*2,0)</f>
        <v>0</v>
      </c>
      <c r="S81" s="8">
        <f>IF(Table1[[#This Row],[CHỮ]]="C+",Table1[[#This Row],[SỐ TÍN CHỈ]]*2.5,0)</f>
        <v>0</v>
      </c>
      <c r="T81" s="8">
        <f>IF(Table1[[#This Row],[CHỮ]]="D",Table1[[#This Row],[SỐ TÍN CHỈ]]*1,0)</f>
        <v>0</v>
      </c>
      <c r="U81" s="8">
        <f>IF(Table1[[#This Row],[CHỮ]]="F",Table1[[#This Row],[SỐ TÍN CHỈ]]*0,0)</f>
        <v>0</v>
      </c>
      <c r="V81" s="21">
        <f>IF(Table1[[#This Row],[ĐIỂM 10 ]]=10,10,IF(AND(Table1[[#This Row],[ĐIỂM 10 ]]&lt;10,Table1[[#This Row],[ĐIỂM 10 ]]&gt;=9),9,IF(AND(Table1[[#This Row],[ĐIỂM 10 ]]&lt;9,Table1[[#This Row],[ĐIỂM 10 ]]&gt;=8),8,0)))</f>
        <v>0</v>
      </c>
    </row>
    <row r="82" spans="1:22" ht="18" customHeight="1" x14ac:dyDescent="0.45">
      <c r="A82" s="8"/>
      <c r="B82" s="20"/>
      <c r="C82" s="5"/>
      <c r="D82" s="8"/>
      <c r="E82" s="8"/>
      <c r="F82" s="72">
        <v>81</v>
      </c>
      <c r="K82" s="82"/>
      <c r="M82" s="5">
        <f>IF(AND(LEN(Table1[[#This Row],[MÔN HỌC]])&gt;0,Table1[[#This Row],[SỐ TÍN CHỈ]]&gt;0,Table1[[#This Row],[ĐIỂM 10 ]]&gt;0),1,0)</f>
        <v>0</v>
      </c>
      <c r="N82" s="20">
        <f>IF(Table1[[#This Row],[ĐIỂM 10 ]]="",1,0)</f>
        <v>1</v>
      </c>
      <c r="O82" s="8">
        <f>IF(OR(Table1[[#This Row],[CHỮ]]="A",Table1[[#This Row],[CHỮ]]="A+"),Table1[[#This Row],[SỐ TÍN CHỈ]]*4,0)</f>
        <v>0</v>
      </c>
      <c r="P82" s="8">
        <f>IF(Table1[[#This Row],[CHỮ]]="B",Table1[[#This Row],[SỐ TÍN CHỈ]]*3,0)</f>
        <v>0</v>
      </c>
      <c r="Q82" s="8">
        <f>IF(Table1[[#This Row],[CHỮ]]="B+",Table1[[#This Row],[SỐ TÍN CHỈ]]*3.5,0)</f>
        <v>0</v>
      </c>
      <c r="R82" s="8">
        <f>IF(Table1[[#This Row],[CHỮ]]="C",Table1[[#This Row],[SỐ TÍN CHỈ]]*2,0)</f>
        <v>0</v>
      </c>
      <c r="S82" s="8">
        <f>IF(Table1[[#This Row],[CHỮ]]="C+",Table1[[#This Row],[SỐ TÍN CHỈ]]*2.5,0)</f>
        <v>0</v>
      </c>
      <c r="T82" s="8">
        <f>IF(Table1[[#This Row],[CHỮ]]="D",Table1[[#This Row],[SỐ TÍN CHỈ]]*1,0)</f>
        <v>0</v>
      </c>
      <c r="U82" s="8">
        <f>IF(Table1[[#This Row],[CHỮ]]="F",Table1[[#This Row],[SỐ TÍN CHỈ]]*0,0)</f>
        <v>0</v>
      </c>
      <c r="V82" s="21">
        <f>IF(Table1[[#This Row],[ĐIỂM 10 ]]=10,10,IF(AND(Table1[[#This Row],[ĐIỂM 10 ]]&lt;10,Table1[[#This Row],[ĐIỂM 10 ]]&gt;=9),9,IF(AND(Table1[[#This Row],[ĐIỂM 10 ]]&lt;9,Table1[[#This Row],[ĐIỂM 10 ]]&gt;=8),8,0)))</f>
        <v>0</v>
      </c>
    </row>
    <row r="83" spans="1:22" ht="18" customHeight="1" x14ac:dyDescent="0.45">
      <c r="A83" s="8"/>
      <c r="B83" s="20"/>
      <c r="C83" s="5"/>
      <c r="D83" s="8"/>
      <c r="E83" s="8"/>
      <c r="F83" s="72">
        <v>82</v>
      </c>
      <c r="K83" s="82"/>
      <c r="M83" s="5">
        <f>IF(AND(LEN(Table1[[#This Row],[MÔN HỌC]])&gt;0,Table1[[#This Row],[SỐ TÍN CHỈ]]&gt;0,Table1[[#This Row],[ĐIỂM 10 ]]&gt;0),1,0)</f>
        <v>0</v>
      </c>
      <c r="N83" s="20">
        <f>IF(Table1[[#This Row],[ĐIỂM 10 ]]="",1,0)</f>
        <v>1</v>
      </c>
      <c r="O83" s="8">
        <f>IF(OR(Table1[[#This Row],[CHỮ]]="A",Table1[[#This Row],[CHỮ]]="A+"),Table1[[#This Row],[SỐ TÍN CHỈ]]*4,0)</f>
        <v>0</v>
      </c>
      <c r="P83" s="8">
        <f>IF(Table1[[#This Row],[CHỮ]]="B",Table1[[#This Row],[SỐ TÍN CHỈ]]*3,0)</f>
        <v>0</v>
      </c>
      <c r="Q83" s="8">
        <f>IF(Table1[[#This Row],[CHỮ]]="B+",Table1[[#This Row],[SỐ TÍN CHỈ]]*3.5,0)</f>
        <v>0</v>
      </c>
      <c r="R83" s="8">
        <f>IF(Table1[[#This Row],[CHỮ]]="C",Table1[[#This Row],[SỐ TÍN CHỈ]]*2,0)</f>
        <v>0</v>
      </c>
      <c r="S83" s="8">
        <f>IF(Table1[[#This Row],[CHỮ]]="C+",Table1[[#This Row],[SỐ TÍN CHỈ]]*2.5,0)</f>
        <v>0</v>
      </c>
      <c r="T83" s="8">
        <f>IF(Table1[[#This Row],[CHỮ]]="D",Table1[[#This Row],[SỐ TÍN CHỈ]]*1,0)</f>
        <v>0</v>
      </c>
      <c r="U83" s="8">
        <f>IF(Table1[[#This Row],[CHỮ]]="F",Table1[[#This Row],[SỐ TÍN CHỈ]]*0,0)</f>
        <v>0</v>
      </c>
      <c r="V83" s="21">
        <f>IF(Table1[[#This Row],[ĐIỂM 10 ]]=10,10,IF(AND(Table1[[#This Row],[ĐIỂM 10 ]]&lt;10,Table1[[#This Row],[ĐIỂM 10 ]]&gt;=9),9,IF(AND(Table1[[#This Row],[ĐIỂM 10 ]]&lt;9,Table1[[#This Row],[ĐIỂM 10 ]]&gt;=8),8,0)))</f>
        <v>0</v>
      </c>
    </row>
    <row r="84" spans="1:22" ht="18" customHeight="1" x14ac:dyDescent="0.45">
      <c r="A84" s="8"/>
      <c r="B84" s="20"/>
      <c r="C84" s="5"/>
      <c r="D84" s="8"/>
      <c r="E84" s="8"/>
      <c r="F84" s="72">
        <v>83</v>
      </c>
      <c r="K84" s="82"/>
      <c r="M84" s="5">
        <f>IF(AND(LEN(Table1[[#This Row],[MÔN HỌC]])&gt;0,Table1[[#This Row],[SỐ TÍN CHỈ]]&gt;0,Table1[[#This Row],[ĐIỂM 10 ]]&gt;0),1,0)</f>
        <v>0</v>
      </c>
      <c r="N84" s="20">
        <f>IF(Table1[[#This Row],[ĐIỂM 10 ]]="",1,0)</f>
        <v>1</v>
      </c>
      <c r="O84" s="8">
        <f>IF(OR(Table1[[#This Row],[CHỮ]]="A",Table1[[#This Row],[CHỮ]]="A+"),Table1[[#This Row],[SỐ TÍN CHỈ]]*4,0)</f>
        <v>0</v>
      </c>
      <c r="P84" s="8">
        <f>IF(Table1[[#This Row],[CHỮ]]="B",Table1[[#This Row],[SỐ TÍN CHỈ]]*3,0)</f>
        <v>0</v>
      </c>
      <c r="Q84" s="8">
        <f>IF(Table1[[#This Row],[CHỮ]]="B+",Table1[[#This Row],[SỐ TÍN CHỈ]]*3.5,0)</f>
        <v>0</v>
      </c>
      <c r="R84" s="8">
        <f>IF(Table1[[#This Row],[CHỮ]]="C",Table1[[#This Row],[SỐ TÍN CHỈ]]*2,0)</f>
        <v>0</v>
      </c>
      <c r="S84" s="8">
        <f>IF(Table1[[#This Row],[CHỮ]]="C+",Table1[[#This Row],[SỐ TÍN CHỈ]]*2.5,0)</f>
        <v>0</v>
      </c>
      <c r="T84" s="8">
        <f>IF(Table1[[#This Row],[CHỮ]]="D",Table1[[#This Row],[SỐ TÍN CHỈ]]*1,0)</f>
        <v>0</v>
      </c>
      <c r="U84" s="8">
        <f>IF(Table1[[#This Row],[CHỮ]]="F",Table1[[#This Row],[SỐ TÍN CHỈ]]*0,0)</f>
        <v>0</v>
      </c>
      <c r="V84" s="21">
        <f>IF(Table1[[#This Row],[ĐIỂM 10 ]]=10,10,IF(AND(Table1[[#This Row],[ĐIỂM 10 ]]&lt;10,Table1[[#This Row],[ĐIỂM 10 ]]&gt;=9),9,IF(AND(Table1[[#This Row],[ĐIỂM 10 ]]&lt;9,Table1[[#This Row],[ĐIỂM 10 ]]&gt;=8),8,0)))</f>
        <v>0</v>
      </c>
    </row>
    <row r="85" spans="1:22" ht="18" customHeight="1" x14ac:dyDescent="0.45">
      <c r="A85" s="8"/>
      <c r="B85" s="20"/>
      <c r="C85" s="5"/>
      <c r="D85" s="8"/>
      <c r="E85" s="8"/>
      <c r="F85" s="72">
        <v>84</v>
      </c>
      <c r="K85" s="82"/>
      <c r="M85" s="5">
        <f>IF(AND(LEN(Table1[[#This Row],[MÔN HỌC]])&gt;0,Table1[[#This Row],[SỐ TÍN CHỈ]]&gt;0,Table1[[#This Row],[ĐIỂM 10 ]]&gt;0),1,0)</f>
        <v>0</v>
      </c>
      <c r="N85" s="20">
        <f>IF(Table1[[#This Row],[ĐIỂM 10 ]]="",1,0)</f>
        <v>1</v>
      </c>
      <c r="O85" s="8">
        <f>IF(OR(Table1[[#This Row],[CHỮ]]="A",Table1[[#This Row],[CHỮ]]="A+"),Table1[[#This Row],[SỐ TÍN CHỈ]]*4,0)</f>
        <v>0</v>
      </c>
      <c r="P85" s="8">
        <f>IF(Table1[[#This Row],[CHỮ]]="B",Table1[[#This Row],[SỐ TÍN CHỈ]]*3,0)</f>
        <v>0</v>
      </c>
      <c r="Q85" s="8">
        <f>IF(Table1[[#This Row],[CHỮ]]="B+",Table1[[#This Row],[SỐ TÍN CHỈ]]*3.5,0)</f>
        <v>0</v>
      </c>
      <c r="R85" s="8">
        <f>IF(Table1[[#This Row],[CHỮ]]="C",Table1[[#This Row],[SỐ TÍN CHỈ]]*2,0)</f>
        <v>0</v>
      </c>
      <c r="S85" s="8">
        <f>IF(Table1[[#This Row],[CHỮ]]="C+",Table1[[#This Row],[SỐ TÍN CHỈ]]*2.5,0)</f>
        <v>0</v>
      </c>
      <c r="T85" s="8">
        <f>IF(Table1[[#This Row],[CHỮ]]="D",Table1[[#This Row],[SỐ TÍN CHỈ]]*1,0)</f>
        <v>0</v>
      </c>
      <c r="U85" s="8">
        <f>IF(Table1[[#This Row],[CHỮ]]="F",Table1[[#This Row],[SỐ TÍN CHỈ]]*0,0)</f>
        <v>0</v>
      </c>
      <c r="V85" s="21">
        <f>IF(Table1[[#This Row],[ĐIỂM 10 ]]=10,10,IF(AND(Table1[[#This Row],[ĐIỂM 10 ]]&lt;10,Table1[[#This Row],[ĐIỂM 10 ]]&gt;=9),9,IF(AND(Table1[[#This Row],[ĐIỂM 10 ]]&lt;9,Table1[[#This Row],[ĐIỂM 10 ]]&gt;=8),8,0)))</f>
        <v>0</v>
      </c>
    </row>
    <row r="86" spans="1:22" ht="18" customHeight="1" x14ac:dyDescent="0.45">
      <c r="A86" s="8"/>
      <c r="B86" s="20"/>
      <c r="C86" s="5"/>
      <c r="D86" s="8"/>
      <c r="E86" s="8"/>
      <c r="F86" s="72">
        <v>85</v>
      </c>
      <c r="K86" s="82"/>
      <c r="M86" s="5">
        <f>IF(AND(LEN(Table1[[#This Row],[MÔN HỌC]])&gt;0,Table1[[#This Row],[SỐ TÍN CHỈ]]&gt;0,Table1[[#This Row],[ĐIỂM 10 ]]&gt;0),1,0)</f>
        <v>0</v>
      </c>
      <c r="N86" s="20">
        <f>IF(Table1[[#This Row],[ĐIỂM 10 ]]="",1,0)</f>
        <v>1</v>
      </c>
      <c r="O86" s="8">
        <f>IF(OR(Table1[[#This Row],[CHỮ]]="A",Table1[[#This Row],[CHỮ]]="A+"),Table1[[#This Row],[SỐ TÍN CHỈ]]*4,0)</f>
        <v>0</v>
      </c>
      <c r="P86" s="8">
        <f>IF(Table1[[#This Row],[CHỮ]]="B",Table1[[#This Row],[SỐ TÍN CHỈ]]*3,0)</f>
        <v>0</v>
      </c>
      <c r="Q86" s="8">
        <f>IF(Table1[[#This Row],[CHỮ]]="B+",Table1[[#This Row],[SỐ TÍN CHỈ]]*3.5,0)</f>
        <v>0</v>
      </c>
      <c r="R86" s="8">
        <f>IF(Table1[[#This Row],[CHỮ]]="C",Table1[[#This Row],[SỐ TÍN CHỈ]]*2,0)</f>
        <v>0</v>
      </c>
      <c r="S86" s="8">
        <f>IF(Table1[[#This Row],[CHỮ]]="C+",Table1[[#This Row],[SỐ TÍN CHỈ]]*2.5,0)</f>
        <v>0</v>
      </c>
      <c r="T86" s="8">
        <f>IF(Table1[[#This Row],[CHỮ]]="D",Table1[[#This Row],[SỐ TÍN CHỈ]]*1,0)</f>
        <v>0</v>
      </c>
      <c r="U86" s="8">
        <f>IF(Table1[[#This Row],[CHỮ]]="F",Table1[[#This Row],[SỐ TÍN CHỈ]]*0,0)</f>
        <v>0</v>
      </c>
      <c r="V86" s="21">
        <f>IF(Table1[[#This Row],[ĐIỂM 10 ]]=10,10,IF(AND(Table1[[#This Row],[ĐIỂM 10 ]]&lt;10,Table1[[#This Row],[ĐIỂM 10 ]]&gt;=9),9,IF(AND(Table1[[#This Row],[ĐIỂM 10 ]]&lt;9,Table1[[#This Row],[ĐIỂM 10 ]]&gt;=8),8,0)))</f>
        <v>0</v>
      </c>
    </row>
    <row r="87" spans="1:22" ht="18" customHeight="1" x14ac:dyDescent="0.45">
      <c r="A87" s="8"/>
      <c r="B87" s="20"/>
      <c r="C87" s="5"/>
      <c r="D87" s="8"/>
      <c r="E87" s="8"/>
      <c r="F87" s="72">
        <v>86</v>
      </c>
      <c r="K87" s="82"/>
      <c r="M87" s="5">
        <f>IF(AND(LEN(Table1[[#This Row],[MÔN HỌC]])&gt;0,Table1[[#This Row],[SỐ TÍN CHỈ]]&gt;0,Table1[[#This Row],[ĐIỂM 10 ]]&gt;0),1,0)</f>
        <v>0</v>
      </c>
      <c r="N87" s="20">
        <f>IF(Table1[[#This Row],[ĐIỂM 10 ]]="",1,0)</f>
        <v>1</v>
      </c>
      <c r="O87" s="8">
        <f>IF(OR(Table1[[#This Row],[CHỮ]]="A",Table1[[#This Row],[CHỮ]]="A+"),Table1[[#This Row],[SỐ TÍN CHỈ]]*4,0)</f>
        <v>0</v>
      </c>
      <c r="P87" s="8">
        <f>IF(Table1[[#This Row],[CHỮ]]="B",Table1[[#This Row],[SỐ TÍN CHỈ]]*3,0)</f>
        <v>0</v>
      </c>
      <c r="Q87" s="8">
        <f>IF(Table1[[#This Row],[CHỮ]]="B+",Table1[[#This Row],[SỐ TÍN CHỈ]]*3.5,0)</f>
        <v>0</v>
      </c>
      <c r="R87" s="8">
        <f>IF(Table1[[#This Row],[CHỮ]]="C",Table1[[#This Row],[SỐ TÍN CHỈ]]*2,0)</f>
        <v>0</v>
      </c>
      <c r="S87" s="8">
        <f>IF(Table1[[#This Row],[CHỮ]]="C+",Table1[[#This Row],[SỐ TÍN CHỈ]]*2.5,0)</f>
        <v>0</v>
      </c>
      <c r="T87" s="8">
        <f>IF(Table1[[#This Row],[CHỮ]]="D",Table1[[#This Row],[SỐ TÍN CHỈ]]*1,0)</f>
        <v>0</v>
      </c>
      <c r="U87" s="8">
        <f>IF(Table1[[#This Row],[CHỮ]]="F",Table1[[#This Row],[SỐ TÍN CHỈ]]*0,0)</f>
        <v>0</v>
      </c>
      <c r="V87" s="21">
        <f>IF(Table1[[#This Row],[ĐIỂM 10 ]]=10,10,IF(AND(Table1[[#This Row],[ĐIỂM 10 ]]&lt;10,Table1[[#This Row],[ĐIỂM 10 ]]&gt;=9),9,IF(AND(Table1[[#This Row],[ĐIỂM 10 ]]&lt;9,Table1[[#This Row],[ĐIỂM 10 ]]&gt;=8),8,0)))</f>
        <v>0</v>
      </c>
    </row>
    <row r="88" spans="1:22" ht="18" customHeight="1" x14ac:dyDescent="0.45">
      <c r="A88" s="8"/>
      <c r="B88" s="20"/>
      <c r="C88" s="5"/>
      <c r="D88" s="8"/>
      <c r="E88" s="8"/>
      <c r="F88" s="72">
        <v>87</v>
      </c>
      <c r="K88" s="82"/>
      <c r="M88" s="5">
        <f>IF(AND(LEN(Table1[[#This Row],[MÔN HỌC]])&gt;0,Table1[[#This Row],[SỐ TÍN CHỈ]]&gt;0,Table1[[#This Row],[ĐIỂM 10 ]]&gt;0),1,0)</f>
        <v>0</v>
      </c>
      <c r="N88" s="20">
        <f>IF(Table1[[#This Row],[ĐIỂM 10 ]]="",1,0)</f>
        <v>1</v>
      </c>
      <c r="O88" s="8">
        <f>IF(OR(Table1[[#This Row],[CHỮ]]="A",Table1[[#This Row],[CHỮ]]="A+"),Table1[[#This Row],[SỐ TÍN CHỈ]]*4,0)</f>
        <v>0</v>
      </c>
      <c r="P88" s="8">
        <f>IF(Table1[[#This Row],[CHỮ]]="B",Table1[[#This Row],[SỐ TÍN CHỈ]]*3,0)</f>
        <v>0</v>
      </c>
      <c r="Q88" s="8">
        <f>IF(Table1[[#This Row],[CHỮ]]="B+",Table1[[#This Row],[SỐ TÍN CHỈ]]*3.5,0)</f>
        <v>0</v>
      </c>
      <c r="R88" s="8">
        <f>IF(Table1[[#This Row],[CHỮ]]="C",Table1[[#This Row],[SỐ TÍN CHỈ]]*2,0)</f>
        <v>0</v>
      </c>
      <c r="S88" s="8">
        <f>IF(Table1[[#This Row],[CHỮ]]="C+",Table1[[#This Row],[SỐ TÍN CHỈ]]*2.5,0)</f>
        <v>0</v>
      </c>
      <c r="T88" s="8">
        <f>IF(Table1[[#This Row],[CHỮ]]="D",Table1[[#This Row],[SỐ TÍN CHỈ]]*1,0)</f>
        <v>0</v>
      </c>
      <c r="U88" s="8">
        <f>IF(Table1[[#This Row],[CHỮ]]="F",Table1[[#This Row],[SỐ TÍN CHỈ]]*0,0)</f>
        <v>0</v>
      </c>
      <c r="V88" s="21">
        <f>IF(Table1[[#This Row],[ĐIỂM 10 ]]=10,10,IF(AND(Table1[[#This Row],[ĐIỂM 10 ]]&lt;10,Table1[[#This Row],[ĐIỂM 10 ]]&gt;=9),9,IF(AND(Table1[[#This Row],[ĐIỂM 10 ]]&lt;9,Table1[[#This Row],[ĐIỂM 10 ]]&gt;=8),8,0)))</f>
        <v>0</v>
      </c>
    </row>
    <row r="89" spans="1:22" ht="18" customHeight="1" x14ac:dyDescent="0.45">
      <c r="A89" s="8"/>
      <c r="B89" s="20"/>
      <c r="C89" s="5"/>
      <c r="D89" s="8"/>
      <c r="E89" s="8"/>
      <c r="F89" s="72">
        <v>88</v>
      </c>
      <c r="K89" s="82"/>
      <c r="M89" s="5">
        <f>IF(AND(LEN(Table1[[#This Row],[MÔN HỌC]])&gt;0,Table1[[#This Row],[SỐ TÍN CHỈ]]&gt;0,Table1[[#This Row],[ĐIỂM 10 ]]&gt;0),1,0)</f>
        <v>0</v>
      </c>
      <c r="N89" s="20">
        <f>IF(Table1[[#This Row],[ĐIỂM 10 ]]="",1,0)</f>
        <v>1</v>
      </c>
      <c r="O89" s="8">
        <f>IF(OR(Table1[[#This Row],[CHỮ]]="A",Table1[[#This Row],[CHỮ]]="A+"),Table1[[#This Row],[SỐ TÍN CHỈ]]*4,0)</f>
        <v>0</v>
      </c>
      <c r="P89" s="8">
        <f>IF(Table1[[#This Row],[CHỮ]]="B",Table1[[#This Row],[SỐ TÍN CHỈ]]*3,0)</f>
        <v>0</v>
      </c>
      <c r="Q89" s="8">
        <f>IF(Table1[[#This Row],[CHỮ]]="B+",Table1[[#This Row],[SỐ TÍN CHỈ]]*3.5,0)</f>
        <v>0</v>
      </c>
      <c r="R89" s="8">
        <f>IF(Table1[[#This Row],[CHỮ]]="C",Table1[[#This Row],[SỐ TÍN CHỈ]]*2,0)</f>
        <v>0</v>
      </c>
      <c r="S89" s="8">
        <f>IF(Table1[[#This Row],[CHỮ]]="C+",Table1[[#This Row],[SỐ TÍN CHỈ]]*2.5,0)</f>
        <v>0</v>
      </c>
      <c r="T89" s="8">
        <f>IF(Table1[[#This Row],[CHỮ]]="D",Table1[[#This Row],[SỐ TÍN CHỈ]]*1,0)</f>
        <v>0</v>
      </c>
      <c r="U89" s="8">
        <f>IF(Table1[[#This Row],[CHỮ]]="F",Table1[[#This Row],[SỐ TÍN CHỈ]]*0,0)</f>
        <v>0</v>
      </c>
      <c r="V89" s="21">
        <f>IF(Table1[[#This Row],[ĐIỂM 10 ]]=10,10,IF(AND(Table1[[#This Row],[ĐIỂM 10 ]]&lt;10,Table1[[#This Row],[ĐIỂM 10 ]]&gt;=9),9,IF(AND(Table1[[#This Row],[ĐIỂM 10 ]]&lt;9,Table1[[#This Row],[ĐIỂM 10 ]]&gt;=8),8,0)))</f>
        <v>0</v>
      </c>
    </row>
    <row r="90" spans="1:22" ht="18" customHeight="1" x14ac:dyDescent="0.45">
      <c r="A90" s="8"/>
      <c r="B90" s="20"/>
      <c r="C90" s="5"/>
      <c r="D90" s="8"/>
      <c r="E90" s="8"/>
      <c r="F90" s="72">
        <v>89</v>
      </c>
      <c r="K90" s="82"/>
      <c r="M90" s="5">
        <f>IF(AND(LEN(Table1[[#This Row],[MÔN HỌC]])&gt;0,Table1[[#This Row],[SỐ TÍN CHỈ]]&gt;0,Table1[[#This Row],[ĐIỂM 10 ]]&gt;0),1,0)</f>
        <v>0</v>
      </c>
      <c r="N90" s="20">
        <f>IF(Table1[[#This Row],[ĐIỂM 10 ]]="",1,0)</f>
        <v>1</v>
      </c>
      <c r="O90" s="8">
        <f>IF(OR(Table1[[#This Row],[CHỮ]]="A",Table1[[#This Row],[CHỮ]]="A+"),Table1[[#This Row],[SỐ TÍN CHỈ]]*4,0)</f>
        <v>0</v>
      </c>
      <c r="P90" s="8">
        <f>IF(Table1[[#This Row],[CHỮ]]="B",Table1[[#This Row],[SỐ TÍN CHỈ]]*3,0)</f>
        <v>0</v>
      </c>
      <c r="Q90" s="8">
        <f>IF(Table1[[#This Row],[CHỮ]]="B+",Table1[[#This Row],[SỐ TÍN CHỈ]]*3.5,0)</f>
        <v>0</v>
      </c>
      <c r="R90" s="8">
        <f>IF(Table1[[#This Row],[CHỮ]]="C",Table1[[#This Row],[SỐ TÍN CHỈ]]*2,0)</f>
        <v>0</v>
      </c>
      <c r="S90" s="8">
        <f>IF(Table1[[#This Row],[CHỮ]]="C+",Table1[[#This Row],[SỐ TÍN CHỈ]]*2.5,0)</f>
        <v>0</v>
      </c>
      <c r="T90" s="8">
        <f>IF(Table1[[#This Row],[CHỮ]]="D",Table1[[#This Row],[SỐ TÍN CHỈ]]*1,0)</f>
        <v>0</v>
      </c>
      <c r="U90" s="8">
        <f>IF(Table1[[#This Row],[CHỮ]]="F",Table1[[#This Row],[SỐ TÍN CHỈ]]*0,0)</f>
        <v>0</v>
      </c>
      <c r="V90" s="21">
        <f>IF(Table1[[#This Row],[ĐIỂM 10 ]]=10,10,IF(AND(Table1[[#This Row],[ĐIỂM 10 ]]&lt;10,Table1[[#This Row],[ĐIỂM 10 ]]&gt;=9),9,IF(AND(Table1[[#This Row],[ĐIỂM 10 ]]&lt;9,Table1[[#This Row],[ĐIỂM 10 ]]&gt;=8),8,0)))</f>
        <v>0</v>
      </c>
    </row>
    <row r="91" spans="1:22" ht="18" customHeight="1" x14ac:dyDescent="0.45">
      <c r="A91" s="8"/>
      <c r="B91" s="20"/>
      <c r="C91" s="5"/>
      <c r="D91" s="8"/>
      <c r="E91" s="8"/>
      <c r="F91" s="72">
        <v>90</v>
      </c>
      <c r="K91" s="82"/>
      <c r="M91" s="5">
        <f>IF(AND(LEN(Table1[[#This Row],[MÔN HỌC]])&gt;0,Table1[[#This Row],[SỐ TÍN CHỈ]]&gt;0,Table1[[#This Row],[ĐIỂM 10 ]]&gt;0),1,0)</f>
        <v>0</v>
      </c>
      <c r="N91" s="20">
        <f>IF(Table1[[#This Row],[ĐIỂM 10 ]]="",1,0)</f>
        <v>1</v>
      </c>
      <c r="O91" s="8">
        <f>IF(OR(Table1[[#This Row],[CHỮ]]="A",Table1[[#This Row],[CHỮ]]="A+"),Table1[[#This Row],[SỐ TÍN CHỈ]]*4,0)</f>
        <v>0</v>
      </c>
      <c r="P91" s="8">
        <f>IF(Table1[[#This Row],[CHỮ]]="B",Table1[[#This Row],[SỐ TÍN CHỈ]]*3,0)</f>
        <v>0</v>
      </c>
      <c r="Q91" s="8">
        <f>IF(Table1[[#This Row],[CHỮ]]="B+",Table1[[#This Row],[SỐ TÍN CHỈ]]*3.5,0)</f>
        <v>0</v>
      </c>
      <c r="R91" s="8">
        <f>IF(Table1[[#This Row],[CHỮ]]="C",Table1[[#This Row],[SỐ TÍN CHỈ]]*2,0)</f>
        <v>0</v>
      </c>
      <c r="S91" s="8">
        <f>IF(Table1[[#This Row],[CHỮ]]="C+",Table1[[#This Row],[SỐ TÍN CHỈ]]*2.5,0)</f>
        <v>0</v>
      </c>
      <c r="T91" s="8">
        <f>IF(Table1[[#This Row],[CHỮ]]="D",Table1[[#This Row],[SỐ TÍN CHỈ]]*1,0)</f>
        <v>0</v>
      </c>
      <c r="U91" s="8">
        <f>IF(Table1[[#This Row],[CHỮ]]="F",Table1[[#This Row],[SỐ TÍN CHỈ]]*0,0)</f>
        <v>0</v>
      </c>
      <c r="V91" s="21">
        <f>IF(Table1[[#This Row],[ĐIỂM 10 ]]=10,10,IF(AND(Table1[[#This Row],[ĐIỂM 10 ]]&lt;10,Table1[[#This Row],[ĐIỂM 10 ]]&gt;=9),9,IF(AND(Table1[[#This Row],[ĐIỂM 10 ]]&lt;9,Table1[[#This Row],[ĐIỂM 10 ]]&gt;=8),8,0)))</f>
        <v>0</v>
      </c>
    </row>
    <row r="92" spans="1:22" ht="18" customHeight="1" x14ac:dyDescent="0.45">
      <c r="A92" s="8"/>
      <c r="B92" s="20"/>
      <c r="C92" s="5"/>
      <c r="D92" s="8"/>
      <c r="E92" s="8"/>
      <c r="F92" s="72">
        <v>91</v>
      </c>
      <c r="K92" s="82"/>
      <c r="M92" s="5">
        <f>IF(AND(LEN(Table1[[#This Row],[MÔN HỌC]])&gt;0,Table1[[#This Row],[SỐ TÍN CHỈ]]&gt;0,Table1[[#This Row],[ĐIỂM 10 ]]&gt;0),1,0)</f>
        <v>0</v>
      </c>
      <c r="N92" s="20">
        <f>IF(Table1[[#This Row],[ĐIỂM 10 ]]="",1,0)</f>
        <v>1</v>
      </c>
      <c r="O92" s="8">
        <f>IF(OR(Table1[[#This Row],[CHỮ]]="A",Table1[[#This Row],[CHỮ]]="A+"),Table1[[#This Row],[SỐ TÍN CHỈ]]*4,0)</f>
        <v>0</v>
      </c>
      <c r="P92" s="8">
        <f>IF(Table1[[#This Row],[CHỮ]]="B",Table1[[#This Row],[SỐ TÍN CHỈ]]*3,0)</f>
        <v>0</v>
      </c>
      <c r="Q92" s="8">
        <f>IF(Table1[[#This Row],[CHỮ]]="B+",Table1[[#This Row],[SỐ TÍN CHỈ]]*3.5,0)</f>
        <v>0</v>
      </c>
      <c r="R92" s="8">
        <f>IF(Table1[[#This Row],[CHỮ]]="C",Table1[[#This Row],[SỐ TÍN CHỈ]]*2,0)</f>
        <v>0</v>
      </c>
      <c r="S92" s="8">
        <f>IF(Table1[[#This Row],[CHỮ]]="C+",Table1[[#This Row],[SỐ TÍN CHỈ]]*2.5,0)</f>
        <v>0</v>
      </c>
      <c r="T92" s="8">
        <f>IF(Table1[[#This Row],[CHỮ]]="D",Table1[[#This Row],[SỐ TÍN CHỈ]]*1,0)</f>
        <v>0</v>
      </c>
      <c r="U92" s="8">
        <f>IF(Table1[[#This Row],[CHỮ]]="F",Table1[[#This Row],[SỐ TÍN CHỈ]]*0,0)</f>
        <v>0</v>
      </c>
      <c r="V92" s="21">
        <f>IF(Table1[[#This Row],[ĐIỂM 10 ]]=10,10,IF(AND(Table1[[#This Row],[ĐIỂM 10 ]]&lt;10,Table1[[#This Row],[ĐIỂM 10 ]]&gt;=9),9,IF(AND(Table1[[#This Row],[ĐIỂM 10 ]]&lt;9,Table1[[#This Row],[ĐIỂM 10 ]]&gt;=8),8,0)))</f>
        <v>0</v>
      </c>
    </row>
    <row r="93" spans="1:22" ht="18" customHeight="1" x14ac:dyDescent="0.45">
      <c r="A93" s="8"/>
      <c r="B93" s="20"/>
      <c r="C93" s="5"/>
      <c r="D93" s="8"/>
      <c r="E93" s="8"/>
      <c r="F93" s="72">
        <v>92</v>
      </c>
      <c r="K93" s="82"/>
      <c r="M93" s="5">
        <f>IF(AND(LEN(Table1[[#This Row],[MÔN HỌC]])&gt;0,Table1[[#This Row],[SỐ TÍN CHỈ]]&gt;0,Table1[[#This Row],[ĐIỂM 10 ]]&gt;0),1,0)</f>
        <v>0</v>
      </c>
      <c r="N93" s="20">
        <f>IF(Table1[[#This Row],[ĐIỂM 10 ]]="",1,0)</f>
        <v>1</v>
      </c>
      <c r="O93" s="8">
        <f>IF(OR(Table1[[#This Row],[CHỮ]]="A",Table1[[#This Row],[CHỮ]]="A+"),Table1[[#This Row],[SỐ TÍN CHỈ]]*4,0)</f>
        <v>0</v>
      </c>
      <c r="P93" s="8">
        <f>IF(Table1[[#This Row],[CHỮ]]="B",Table1[[#This Row],[SỐ TÍN CHỈ]]*3,0)</f>
        <v>0</v>
      </c>
      <c r="Q93" s="8">
        <f>IF(Table1[[#This Row],[CHỮ]]="B+",Table1[[#This Row],[SỐ TÍN CHỈ]]*3.5,0)</f>
        <v>0</v>
      </c>
      <c r="R93" s="8">
        <f>IF(Table1[[#This Row],[CHỮ]]="C",Table1[[#This Row],[SỐ TÍN CHỈ]]*2,0)</f>
        <v>0</v>
      </c>
      <c r="S93" s="8">
        <f>IF(Table1[[#This Row],[CHỮ]]="C+",Table1[[#This Row],[SỐ TÍN CHỈ]]*2.5,0)</f>
        <v>0</v>
      </c>
      <c r="T93" s="8">
        <f>IF(Table1[[#This Row],[CHỮ]]="D",Table1[[#This Row],[SỐ TÍN CHỈ]]*1,0)</f>
        <v>0</v>
      </c>
      <c r="U93" s="8">
        <f>IF(Table1[[#This Row],[CHỮ]]="F",Table1[[#This Row],[SỐ TÍN CHỈ]]*0,0)</f>
        <v>0</v>
      </c>
      <c r="V93" s="21">
        <f>IF(Table1[[#This Row],[ĐIỂM 10 ]]=10,10,IF(AND(Table1[[#This Row],[ĐIỂM 10 ]]&lt;10,Table1[[#This Row],[ĐIỂM 10 ]]&gt;=9),9,IF(AND(Table1[[#This Row],[ĐIỂM 10 ]]&lt;9,Table1[[#This Row],[ĐIỂM 10 ]]&gt;=8),8,0)))</f>
        <v>0</v>
      </c>
    </row>
    <row r="94" spans="1:22" ht="18" customHeight="1" x14ac:dyDescent="0.45">
      <c r="A94" s="8"/>
      <c r="B94" s="20"/>
      <c r="C94" s="5"/>
      <c r="D94" s="8"/>
      <c r="E94" s="8"/>
      <c r="F94" s="72">
        <v>93</v>
      </c>
      <c r="K94" s="82"/>
      <c r="M94" s="5">
        <f>IF(AND(LEN(Table1[[#This Row],[MÔN HỌC]])&gt;0,Table1[[#This Row],[SỐ TÍN CHỈ]]&gt;0,Table1[[#This Row],[ĐIỂM 10 ]]&gt;0),1,0)</f>
        <v>0</v>
      </c>
      <c r="N94" s="20">
        <f>IF(Table1[[#This Row],[ĐIỂM 10 ]]="",1,0)</f>
        <v>1</v>
      </c>
      <c r="O94" s="8">
        <f>IF(OR(Table1[[#This Row],[CHỮ]]="A",Table1[[#This Row],[CHỮ]]="A+"),Table1[[#This Row],[SỐ TÍN CHỈ]]*4,0)</f>
        <v>0</v>
      </c>
      <c r="P94" s="8">
        <f>IF(Table1[[#This Row],[CHỮ]]="B",Table1[[#This Row],[SỐ TÍN CHỈ]]*3,0)</f>
        <v>0</v>
      </c>
      <c r="Q94" s="8">
        <f>IF(Table1[[#This Row],[CHỮ]]="B+",Table1[[#This Row],[SỐ TÍN CHỈ]]*3.5,0)</f>
        <v>0</v>
      </c>
      <c r="R94" s="8">
        <f>IF(Table1[[#This Row],[CHỮ]]="C",Table1[[#This Row],[SỐ TÍN CHỈ]]*2,0)</f>
        <v>0</v>
      </c>
      <c r="S94" s="8">
        <f>IF(Table1[[#This Row],[CHỮ]]="C+",Table1[[#This Row],[SỐ TÍN CHỈ]]*2.5,0)</f>
        <v>0</v>
      </c>
      <c r="T94" s="8">
        <f>IF(Table1[[#This Row],[CHỮ]]="D",Table1[[#This Row],[SỐ TÍN CHỈ]]*1,0)</f>
        <v>0</v>
      </c>
      <c r="U94" s="8">
        <f>IF(Table1[[#This Row],[CHỮ]]="F",Table1[[#This Row],[SỐ TÍN CHỈ]]*0,0)</f>
        <v>0</v>
      </c>
      <c r="V94" s="21">
        <f>IF(Table1[[#This Row],[ĐIỂM 10 ]]=10,10,IF(AND(Table1[[#This Row],[ĐIỂM 10 ]]&lt;10,Table1[[#This Row],[ĐIỂM 10 ]]&gt;=9),9,IF(AND(Table1[[#This Row],[ĐIỂM 10 ]]&lt;9,Table1[[#This Row],[ĐIỂM 10 ]]&gt;=8),8,0)))</f>
        <v>0</v>
      </c>
    </row>
    <row r="95" spans="1:22" ht="18" customHeight="1" x14ac:dyDescent="0.45">
      <c r="A95" s="8"/>
      <c r="B95" s="20"/>
      <c r="C95" s="5"/>
      <c r="D95" s="8"/>
      <c r="E95" s="8"/>
      <c r="F95" s="72">
        <v>94</v>
      </c>
      <c r="K95" s="82"/>
      <c r="M95" s="5">
        <f>IF(AND(LEN(Table1[[#This Row],[MÔN HỌC]])&gt;0,Table1[[#This Row],[SỐ TÍN CHỈ]]&gt;0,Table1[[#This Row],[ĐIỂM 10 ]]&gt;0),1,0)</f>
        <v>0</v>
      </c>
      <c r="N95" s="20">
        <f>IF(Table1[[#This Row],[ĐIỂM 10 ]]="",1,0)</f>
        <v>1</v>
      </c>
      <c r="O95" s="8">
        <f>IF(OR(Table1[[#This Row],[CHỮ]]="A",Table1[[#This Row],[CHỮ]]="A+"),Table1[[#This Row],[SỐ TÍN CHỈ]]*4,0)</f>
        <v>0</v>
      </c>
      <c r="P95" s="8">
        <f>IF(Table1[[#This Row],[CHỮ]]="B",Table1[[#This Row],[SỐ TÍN CHỈ]]*3,0)</f>
        <v>0</v>
      </c>
      <c r="Q95" s="8">
        <f>IF(Table1[[#This Row],[CHỮ]]="B+",Table1[[#This Row],[SỐ TÍN CHỈ]]*3.5,0)</f>
        <v>0</v>
      </c>
      <c r="R95" s="8">
        <f>IF(Table1[[#This Row],[CHỮ]]="C",Table1[[#This Row],[SỐ TÍN CHỈ]]*2,0)</f>
        <v>0</v>
      </c>
      <c r="S95" s="8">
        <f>IF(Table1[[#This Row],[CHỮ]]="C+",Table1[[#This Row],[SỐ TÍN CHỈ]]*2.5,0)</f>
        <v>0</v>
      </c>
      <c r="T95" s="8">
        <f>IF(Table1[[#This Row],[CHỮ]]="D",Table1[[#This Row],[SỐ TÍN CHỈ]]*1,0)</f>
        <v>0</v>
      </c>
      <c r="U95" s="8">
        <f>IF(Table1[[#This Row],[CHỮ]]="F",Table1[[#This Row],[SỐ TÍN CHỈ]]*0,0)</f>
        <v>0</v>
      </c>
      <c r="V95" s="21">
        <f>IF(Table1[[#This Row],[ĐIỂM 10 ]]=10,10,IF(AND(Table1[[#This Row],[ĐIỂM 10 ]]&lt;10,Table1[[#This Row],[ĐIỂM 10 ]]&gt;=9),9,IF(AND(Table1[[#This Row],[ĐIỂM 10 ]]&lt;9,Table1[[#This Row],[ĐIỂM 10 ]]&gt;=8),8,0)))</f>
        <v>0</v>
      </c>
    </row>
    <row r="96" spans="1:22" ht="18" customHeight="1" x14ac:dyDescent="0.45">
      <c r="A96" s="8"/>
      <c r="B96" s="20"/>
      <c r="C96" s="5"/>
      <c r="D96" s="8"/>
      <c r="E96" s="8"/>
      <c r="F96" s="72">
        <v>95</v>
      </c>
      <c r="K96" s="82"/>
      <c r="M96" s="5">
        <f>IF(AND(LEN(Table1[[#This Row],[MÔN HỌC]])&gt;0,Table1[[#This Row],[SỐ TÍN CHỈ]]&gt;0,Table1[[#This Row],[ĐIỂM 10 ]]&gt;0),1,0)</f>
        <v>0</v>
      </c>
      <c r="N96" s="20">
        <f>IF(Table1[[#This Row],[ĐIỂM 10 ]]="",1,0)</f>
        <v>1</v>
      </c>
      <c r="O96" s="8">
        <f>IF(OR(Table1[[#This Row],[CHỮ]]="A",Table1[[#This Row],[CHỮ]]="A+"),Table1[[#This Row],[SỐ TÍN CHỈ]]*4,0)</f>
        <v>0</v>
      </c>
      <c r="P96" s="8">
        <f>IF(Table1[[#This Row],[CHỮ]]="B",Table1[[#This Row],[SỐ TÍN CHỈ]]*3,0)</f>
        <v>0</v>
      </c>
      <c r="Q96" s="8">
        <f>IF(Table1[[#This Row],[CHỮ]]="B+",Table1[[#This Row],[SỐ TÍN CHỈ]]*3.5,0)</f>
        <v>0</v>
      </c>
      <c r="R96" s="8">
        <f>IF(Table1[[#This Row],[CHỮ]]="C",Table1[[#This Row],[SỐ TÍN CHỈ]]*2,0)</f>
        <v>0</v>
      </c>
      <c r="S96" s="8">
        <f>IF(Table1[[#This Row],[CHỮ]]="C+",Table1[[#This Row],[SỐ TÍN CHỈ]]*2.5,0)</f>
        <v>0</v>
      </c>
      <c r="T96" s="8">
        <f>IF(Table1[[#This Row],[CHỮ]]="D",Table1[[#This Row],[SỐ TÍN CHỈ]]*1,0)</f>
        <v>0</v>
      </c>
      <c r="U96" s="8">
        <f>IF(Table1[[#This Row],[CHỮ]]="F",Table1[[#This Row],[SỐ TÍN CHỈ]]*0,0)</f>
        <v>0</v>
      </c>
      <c r="V96" s="21">
        <f>IF(Table1[[#This Row],[ĐIỂM 10 ]]=10,10,IF(AND(Table1[[#This Row],[ĐIỂM 10 ]]&lt;10,Table1[[#This Row],[ĐIỂM 10 ]]&gt;=9),9,IF(AND(Table1[[#This Row],[ĐIỂM 10 ]]&lt;9,Table1[[#This Row],[ĐIỂM 10 ]]&gt;=8),8,0)))</f>
        <v>0</v>
      </c>
    </row>
    <row r="97" spans="1:22" ht="18" customHeight="1" x14ac:dyDescent="0.45">
      <c r="A97" s="8"/>
      <c r="B97" s="20"/>
      <c r="C97" s="5"/>
      <c r="D97" s="8"/>
      <c r="E97" s="8"/>
      <c r="F97" s="72">
        <v>96</v>
      </c>
      <c r="K97" s="82"/>
      <c r="M97" s="5">
        <f>IF(AND(LEN(Table1[[#This Row],[MÔN HỌC]])&gt;0,Table1[[#This Row],[SỐ TÍN CHỈ]]&gt;0,Table1[[#This Row],[ĐIỂM 10 ]]&gt;0),1,0)</f>
        <v>0</v>
      </c>
      <c r="N97" s="20">
        <f>IF(Table1[[#This Row],[ĐIỂM 10 ]]="",1,0)</f>
        <v>1</v>
      </c>
      <c r="O97" s="8">
        <f>IF(OR(Table1[[#This Row],[CHỮ]]="A",Table1[[#This Row],[CHỮ]]="A+"),Table1[[#This Row],[SỐ TÍN CHỈ]]*4,0)</f>
        <v>0</v>
      </c>
      <c r="P97" s="8">
        <f>IF(Table1[[#This Row],[CHỮ]]="B",Table1[[#This Row],[SỐ TÍN CHỈ]]*3,0)</f>
        <v>0</v>
      </c>
      <c r="Q97" s="8">
        <f>IF(Table1[[#This Row],[CHỮ]]="B+",Table1[[#This Row],[SỐ TÍN CHỈ]]*3.5,0)</f>
        <v>0</v>
      </c>
      <c r="R97" s="8">
        <f>IF(Table1[[#This Row],[CHỮ]]="C",Table1[[#This Row],[SỐ TÍN CHỈ]]*2,0)</f>
        <v>0</v>
      </c>
      <c r="S97" s="8">
        <f>IF(Table1[[#This Row],[CHỮ]]="C+",Table1[[#This Row],[SỐ TÍN CHỈ]]*2.5,0)</f>
        <v>0</v>
      </c>
      <c r="T97" s="8">
        <f>IF(Table1[[#This Row],[CHỮ]]="D",Table1[[#This Row],[SỐ TÍN CHỈ]]*1,0)</f>
        <v>0</v>
      </c>
      <c r="U97" s="8">
        <f>IF(Table1[[#This Row],[CHỮ]]="F",Table1[[#This Row],[SỐ TÍN CHỈ]]*0,0)</f>
        <v>0</v>
      </c>
      <c r="V97" s="21">
        <f>IF(Table1[[#This Row],[ĐIỂM 10 ]]=10,10,IF(AND(Table1[[#This Row],[ĐIỂM 10 ]]&lt;10,Table1[[#This Row],[ĐIỂM 10 ]]&gt;=9),9,IF(AND(Table1[[#This Row],[ĐIỂM 10 ]]&lt;9,Table1[[#This Row],[ĐIỂM 10 ]]&gt;=8),8,0)))</f>
        <v>0</v>
      </c>
    </row>
    <row r="98" spans="1:22" ht="18" customHeight="1" x14ac:dyDescent="0.45">
      <c r="A98" s="8"/>
      <c r="B98" s="20"/>
      <c r="C98" s="5"/>
      <c r="D98" s="8"/>
      <c r="E98" s="8"/>
      <c r="F98" s="72">
        <v>97</v>
      </c>
      <c r="K98" s="82"/>
      <c r="M98" s="5">
        <f>IF(AND(LEN(Table1[[#This Row],[MÔN HỌC]])&gt;0,Table1[[#This Row],[SỐ TÍN CHỈ]]&gt;0,Table1[[#This Row],[ĐIỂM 10 ]]&gt;0),1,0)</f>
        <v>0</v>
      </c>
      <c r="N98" s="20">
        <f>IF(Table1[[#This Row],[ĐIỂM 10 ]]="",1,0)</f>
        <v>1</v>
      </c>
      <c r="O98" s="8">
        <f>IF(OR(Table1[[#This Row],[CHỮ]]="A",Table1[[#This Row],[CHỮ]]="A+"),Table1[[#This Row],[SỐ TÍN CHỈ]]*4,0)</f>
        <v>0</v>
      </c>
      <c r="P98" s="8">
        <f>IF(Table1[[#This Row],[CHỮ]]="B",Table1[[#This Row],[SỐ TÍN CHỈ]]*3,0)</f>
        <v>0</v>
      </c>
      <c r="Q98" s="8">
        <f>IF(Table1[[#This Row],[CHỮ]]="B+",Table1[[#This Row],[SỐ TÍN CHỈ]]*3.5,0)</f>
        <v>0</v>
      </c>
      <c r="R98" s="8">
        <f>IF(Table1[[#This Row],[CHỮ]]="C",Table1[[#This Row],[SỐ TÍN CHỈ]]*2,0)</f>
        <v>0</v>
      </c>
      <c r="S98" s="8">
        <f>IF(Table1[[#This Row],[CHỮ]]="C+",Table1[[#This Row],[SỐ TÍN CHỈ]]*2.5,0)</f>
        <v>0</v>
      </c>
      <c r="T98" s="8">
        <f>IF(Table1[[#This Row],[CHỮ]]="D",Table1[[#This Row],[SỐ TÍN CHỈ]]*1,0)</f>
        <v>0</v>
      </c>
      <c r="U98" s="8">
        <f>IF(Table1[[#This Row],[CHỮ]]="F",Table1[[#This Row],[SỐ TÍN CHỈ]]*0,0)</f>
        <v>0</v>
      </c>
      <c r="V98" s="21">
        <f>IF(Table1[[#This Row],[ĐIỂM 10 ]]=10,10,IF(AND(Table1[[#This Row],[ĐIỂM 10 ]]&lt;10,Table1[[#This Row],[ĐIỂM 10 ]]&gt;=9),9,IF(AND(Table1[[#This Row],[ĐIỂM 10 ]]&lt;9,Table1[[#This Row],[ĐIỂM 10 ]]&gt;=8),8,0)))</f>
        <v>0</v>
      </c>
    </row>
    <row r="99" spans="1:22" ht="18" customHeight="1" x14ac:dyDescent="0.45">
      <c r="A99" s="8"/>
      <c r="B99" s="20"/>
      <c r="C99" s="5"/>
      <c r="D99" s="8"/>
      <c r="E99" s="8"/>
      <c r="F99" s="72">
        <v>98</v>
      </c>
      <c r="K99" s="82"/>
      <c r="M99" s="5">
        <f>IF(AND(LEN(Table1[[#This Row],[MÔN HỌC]])&gt;0,Table1[[#This Row],[SỐ TÍN CHỈ]]&gt;0,Table1[[#This Row],[ĐIỂM 10 ]]&gt;0),1,0)</f>
        <v>0</v>
      </c>
      <c r="N99" s="20">
        <f>IF(Table1[[#This Row],[ĐIỂM 10 ]]="",1,0)</f>
        <v>1</v>
      </c>
      <c r="O99" s="8">
        <f>IF(OR(Table1[[#This Row],[CHỮ]]="A",Table1[[#This Row],[CHỮ]]="A+"),Table1[[#This Row],[SỐ TÍN CHỈ]]*4,0)</f>
        <v>0</v>
      </c>
      <c r="P99" s="8">
        <f>IF(Table1[[#This Row],[CHỮ]]="B",Table1[[#This Row],[SỐ TÍN CHỈ]]*3,0)</f>
        <v>0</v>
      </c>
      <c r="Q99" s="8">
        <f>IF(Table1[[#This Row],[CHỮ]]="B+",Table1[[#This Row],[SỐ TÍN CHỈ]]*3.5,0)</f>
        <v>0</v>
      </c>
      <c r="R99" s="8">
        <f>IF(Table1[[#This Row],[CHỮ]]="C",Table1[[#This Row],[SỐ TÍN CHỈ]]*2,0)</f>
        <v>0</v>
      </c>
      <c r="S99" s="8">
        <f>IF(Table1[[#This Row],[CHỮ]]="C+",Table1[[#This Row],[SỐ TÍN CHỈ]]*2.5,0)</f>
        <v>0</v>
      </c>
      <c r="T99" s="8">
        <f>IF(Table1[[#This Row],[CHỮ]]="D",Table1[[#This Row],[SỐ TÍN CHỈ]]*1,0)</f>
        <v>0</v>
      </c>
      <c r="U99" s="8">
        <f>IF(Table1[[#This Row],[CHỮ]]="F",Table1[[#This Row],[SỐ TÍN CHỈ]]*0,0)</f>
        <v>0</v>
      </c>
      <c r="V99" s="21">
        <f>IF(Table1[[#This Row],[ĐIỂM 10 ]]=10,10,IF(AND(Table1[[#This Row],[ĐIỂM 10 ]]&lt;10,Table1[[#This Row],[ĐIỂM 10 ]]&gt;=9),9,IF(AND(Table1[[#This Row],[ĐIỂM 10 ]]&lt;9,Table1[[#This Row],[ĐIỂM 10 ]]&gt;=8),8,0)))</f>
        <v>0</v>
      </c>
    </row>
    <row r="100" spans="1:22" ht="18" customHeight="1" x14ac:dyDescent="0.45">
      <c r="A100" s="8"/>
      <c r="B100" s="20"/>
      <c r="C100" s="5"/>
      <c r="D100" s="8"/>
      <c r="E100" s="8"/>
      <c r="F100" s="72">
        <v>99</v>
      </c>
      <c r="K100" s="82"/>
      <c r="M100" s="5">
        <f>IF(AND(LEN(Table1[[#This Row],[MÔN HỌC]])&gt;0,Table1[[#This Row],[SỐ TÍN CHỈ]]&gt;0,Table1[[#This Row],[ĐIỂM 10 ]]&gt;0),1,0)</f>
        <v>0</v>
      </c>
      <c r="N100" s="20">
        <f>IF(Table1[[#This Row],[ĐIỂM 10 ]]="",1,0)</f>
        <v>1</v>
      </c>
      <c r="O100" s="8">
        <f>IF(OR(Table1[[#This Row],[CHỮ]]="A",Table1[[#This Row],[CHỮ]]="A+"),Table1[[#This Row],[SỐ TÍN CHỈ]]*4,0)</f>
        <v>0</v>
      </c>
      <c r="P100" s="8">
        <f>IF(Table1[[#This Row],[CHỮ]]="B",Table1[[#This Row],[SỐ TÍN CHỈ]]*3,0)</f>
        <v>0</v>
      </c>
      <c r="Q100" s="8">
        <f>IF(Table1[[#This Row],[CHỮ]]="B+",Table1[[#This Row],[SỐ TÍN CHỈ]]*3.5,0)</f>
        <v>0</v>
      </c>
      <c r="R100" s="8">
        <f>IF(Table1[[#This Row],[CHỮ]]="C",Table1[[#This Row],[SỐ TÍN CHỈ]]*2,0)</f>
        <v>0</v>
      </c>
      <c r="S100" s="8">
        <f>IF(Table1[[#This Row],[CHỮ]]="C+",Table1[[#This Row],[SỐ TÍN CHỈ]]*2.5,0)</f>
        <v>0</v>
      </c>
      <c r="T100" s="8">
        <f>IF(Table1[[#This Row],[CHỮ]]="D",Table1[[#This Row],[SỐ TÍN CHỈ]]*1,0)</f>
        <v>0</v>
      </c>
      <c r="U100" s="8">
        <f>IF(Table1[[#This Row],[CHỮ]]="F",Table1[[#This Row],[SỐ TÍN CHỈ]]*0,0)</f>
        <v>0</v>
      </c>
      <c r="V100" s="21">
        <f>IF(Table1[[#This Row],[ĐIỂM 10 ]]=10,10,IF(AND(Table1[[#This Row],[ĐIỂM 10 ]]&lt;10,Table1[[#This Row],[ĐIỂM 10 ]]&gt;=9),9,IF(AND(Table1[[#This Row],[ĐIỂM 10 ]]&lt;9,Table1[[#This Row],[ĐIỂM 10 ]]&gt;=8),8,0)))</f>
        <v>0</v>
      </c>
    </row>
    <row r="101" spans="1:22" ht="18" customHeight="1" x14ac:dyDescent="0.45">
      <c r="A101" s="8"/>
      <c r="B101" s="20"/>
      <c r="C101" s="5"/>
      <c r="D101" s="8"/>
      <c r="E101" s="8"/>
      <c r="F101" s="72">
        <v>100</v>
      </c>
      <c r="K101" s="82"/>
      <c r="M101" s="5">
        <f>IF(AND(LEN(Table1[[#This Row],[MÔN HỌC]])&gt;0,Table1[[#This Row],[SỐ TÍN CHỈ]]&gt;0,Table1[[#This Row],[ĐIỂM 10 ]]&gt;0),1,0)</f>
        <v>0</v>
      </c>
      <c r="N101" s="20">
        <f>IF(Table1[[#This Row],[ĐIỂM 10 ]]="",1,0)</f>
        <v>1</v>
      </c>
      <c r="O101" s="8">
        <f>IF(OR(Table1[[#This Row],[CHỮ]]="A",Table1[[#This Row],[CHỮ]]="A+"),Table1[[#This Row],[SỐ TÍN CHỈ]]*4,0)</f>
        <v>0</v>
      </c>
      <c r="P101" s="8">
        <f>IF(Table1[[#This Row],[CHỮ]]="B",Table1[[#This Row],[SỐ TÍN CHỈ]]*3,0)</f>
        <v>0</v>
      </c>
      <c r="Q101" s="8">
        <f>IF(Table1[[#This Row],[CHỮ]]="B+",Table1[[#This Row],[SỐ TÍN CHỈ]]*3.5,0)</f>
        <v>0</v>
      </c>
      <c r="R101" s="8">
        <f>IF(Table1[[#This Row],[CHỮ]]="C",Table1[[#This Row],[SỐ TÍN CHỈ]]*2,0)</f>
        <v>0</v>
      </c>
      <c r="S101" s="8">
        <f>IF(Table1[[#This Row],[CHỮ]]="C+",Table1[[#This Row],[SỐ TÍN CHỈ]]*2.5,0)</f>
        <v>0</v>
      </c>
      <c r="T101" s="8">
        <f>IF(Table1[[#This Row],[CHỮ]]="D",Table1[[#This Row],[SỐ TÍN CHỈ]]*1,0)</f>
        <v>0</v>
      </c>
      <c r="U101" s="8">
        <f>IF(Table1[[#This Row],[CHỮ]]="F",Table1[[#This Row],[SỐ TÍN CHỈ]]*0,0)</f>
        <v>0</v>
      </c>
      <c r="V101" s="21">
        <f>IF(Table1[[#This Row],[ĐIỂM 10 ]]=10,10,IF(AND(Table1[[#This Row],[ĐIỂM 10 ]]&lt;10,Table1[[#This Row],[ĐIỂM 10 ]]&gt;=9),9,IF(AND(Table1[[#This Row],[ĐIỂM 10 ]]&lt;9,Table1[[#This Row],[ĐIỂM 10 ]]&gt;=8),8,0)))</f>
        <v>0</v>
      </c>
    </row>
    <row r="102" spans="1:22" ht="18" customHeight="1" x14ac:dyDescent="0.45">
      <c r="F102" s="72">
        <v>101</v>
      </c>
      <c r="K102" s="82"/>
      <c r="M102" s="5">
        <f>IF(AND(LEN(Table1[[#This Row],[MÔN HỌC]])&gt;0,Table1[[#This Row],[SỐ TÍN CHỈ]]&gt;0,Table1[[#This Row],[ĐIỂM 10 ]]&gt;0),1,0)</f>
        <v>0</v>
      </c>
      <c r="N102" s="20">
        <f>IF(Table1[[#This Row],[ĐIỂM 10 ]]="",1,0)</f>
        <v>1</v>
      </c>
      <c r="O102" s="8">
        <f>IF(OR(Table1[[#This Row],[CHỮ]]="A",Table1[[#This Row],[CHỮ]]="A+"),Table1[[#This Row],[SỐ TÍN CHỈ]]*4,0)</f>
        <v>0</v>
      </c>
      <c r="P102" s="8">
        <f>IF(Table1[[#This Row],[CHỮ]]="B",Table1[[#This Row],[SỐ TÍN CHỈ]]*3,0)</f>
        <v>0</v>
      </c>
      <c r="Q102" s="8">
        <f>IF(Table1[[#This Row],[CHỮ]]="B+",Table1[[#This Row],[SỐ TÍN CHỈ]]*3.5,0)</f>
        <v>0</v>
      </c>
      <c r="R102" s="8">
        <f>IF(Table1[[#This Row],[CHỮ]]="C",Table1[[#This Row],[SỐ TÍN CHỈ]]*2,0)</f>
        <v>0</v>
      </c>
      <c r="S102" s="8">
        <f>IF(Table1[[#This Row],[CHỮ]]="C+",Table1[[#This Row],[SỐ TÍN CHỈ]]*2.5,0)</f>
        <v>0</v>
      </c>
      <c r="T102" s="8">
        <f>IF(Table1[[#This Row],[CHỮ]]="D",Table1[[#This Row],[SỐ TÍN CHỈ]]*1,0)</f>
        <v>0</v>
      </c>
      <c r="U102" s="8">
        <f>IF(Table1[[#This Row],[CHỮ]]="F",Table1[[#This Row],[SỐ TÍN CHỈ]]*0,0)</f>
        <v>0</v>
      </c>
      <c r="V102" s="21">
        <f>IF(Table1[[#This Row],[ĐIỂM 10 ]]=10,10,IF(AND(Table1[[#This Row],[ĐIỂM 10 ]]&lt;10,Table1[[#This Row],[ĐIỂM 10 ]]&gt;=9),9,IF(AND(Table1[[#This Row],[ĐIỂM 10 ]]&lt;9,Table1[[#This Row],[ĐIỂM 10 ]]&gt;=8),8,0)))</f>
        <v>0</v>
      </c>
    </row>
    <row r="103" spans="1:22" ht="18" customHeight="1" x14ac:dyDescent="0.45">
      <c r="F103" s="72">
        <v>102</v>
      </c>
      <c r="K103" s="82"/>
      <c r="M103" s="5">
        <f>IF(AND(LEN(Table1[[#This Row],[MÔN HỌC]])&gt;0,Table1[[#This Row],[SỐ TÍN CHỈ]]&gt;0,Table1[[#This Row],[ĐIỂM 10 ]]&gt;0),1,0)</f>
        <v>0</v>
      </c>
      <c r="N103" s="20">
        <f>IF(Table1[[#This Row],[ĐIỂM 10 ]]="",1,0)</f>
        <v>1</v>
      </c>
      <c r="O103" s="8">
        <f>IF(OR(Table1[[#This Row],[CHỮ]]="A",Table1[[#This Row],[CHỮ]]="A+"),Table1[[#This Row],[SỐ TÍN CHỈ]]*4,0)</f>
        <v>0</v>
      </c>
      <c r="P103" s="8">
        <f>IF(Table1[[#This Row],[CHỮ]]="B",Table1[[#This Row],[SỐ TÍN CHỈ]]*3,0)</f>
        <v>0</v>
      </c>
      <c r="Q103" s="8">
        <f>IF(Table1[[#This Row],[CHỮ]]="B+",Table1[[#This Row],[SỐ TÍN CHỈ]]*3.5,0)</f>
        <v>0</v>
      </c>
      <c r="R103" s="8">
        <f>IF(Table1[[#This Row],[CHỮ]]="C",Table1[[#This Row],[SỐ TÍN CHỈ]]*2,0)</f>
        <v>0</v>
      </c>
      <c r="S103" s="8">
        <f>IF(Table1[[#This Row],[CHỮ]]="C+",Table1[[#This Row],[SỐ TÍN CHỈ]]*2.5,0)</f>
        <v>0</v>
      </c>
      <c r="T103" s="8">
        <f>IF(Table1[[#This Row],[CHỮ]]="D",Table1[[#This Row],[SỐ TÍN CHỈ]]*1,0)</f>
        <v>0</v>
      </c>
      <c r="U103" s="8">
        <f>IF(Table1[[#This Row],[CHỮ]]="F",Table1[[#This Row],[SỐ TÍN CHỈ]]*0,0)</f>
        <v>0</v>
      </c>
      <c r="V103" s="21">
        <f>IF(Table1[[#This Row],[ĐIỂM 10 ]]=10,10,IF(AND(Table1[[#This Row],[ĐIỂM 10 ]]&lt;10,Table1[[#This Row],[ĐIỂM 10 ]]&gt;=9),9,IF(AND(Table1[[#This Row],[ĐIỂM 10 ]]&lt;9,Table1[[#This Row],[ĐIỂM 10 ]]&gt;=8),8,0)))</f>
        <v>0</v>
      </c>
    </row>
    <row r="104" spans="1:22" ht="18" customHeight="1" x14ac:dyDescent="0.45">
      <c r="F104" s="72">
        <v>103</v>
      </c>
      <c r="K104" s="82"/>
      <c r="M104" s="5">
        <f>IF(AND(LEN(Table1[[#This Row],[MÔN HỌC]])&gt;0,Table1[[#This Row],[SỐ TÍN CHỈ]]&gt;0,Table1[[#This Row],[ĐIỂM 10 ]]&gt;0),1,0)</f>
        <v>0</v>
      </c>
      <c r="N104" s="20">
        <f>IF(Table1[[#This Row],[ĐIỂM 10 ]]="",1,0)</f>
        <v>1</v>
      </c>
      <c r="O104" s="8">
        <f>IF(OR(Table1[[#This Row],[CHỮ]]="A",Table1[[#This Row],[CHỮ]]="A+"),Table1[[#This Row],[SỐ TÍN CHỈ]]*4,0)</f>
        <v>0</v>
      </c>
      <c r="P104" s="8">
        <f>IF(Table1[[#This Row],[CHỮ]]="B",Table1[[#This Row],[SỐ TÍN CHỈ]]*3,0)</f>
        <v>0</v>
      </c>
      <c r="Q104" s="8">
        <f>IF(Table1[[#This Row],[CHỮ]]="B+",Table1[[#This Row],[SỐ TÍN CHỈ]]*3.5,0)</f>
        <v>0</v>
      </c>
      <c r="R104" s="8">
        <f>IF(Table1[[#This Row],[CHỮ]]="C",Table1[[#This Row],[SỐ TÍN CHỈ]]*2,0)</f>
        <v>0</v>
      </c>
      <c r="S104" s="8">
        <f>IF(Table1[[#This Row],[CHỮ]]="C+",Table1[[#This Row],[SỐ TÍN CHỈ]]*2.5,0)</f>
        <v>0</v>
      </c>
      <c r="T104" s="8">
        <f>IF(Table1[[#This Row],[CHỮ]]="D",Table1[[#This Row],[SỐ TÍN CHỈ]]*1,0)</f>
        <v>0</v>
      </c>
      <c r="U104" s="8">
        <f>IF(Table1[[#This Row],[CHỮ]]="F",Table1[[#This Row],[SỐ TÍN CHỈ]]*0,0)</f>
        <v>0</v>
      </c>
      <c r="V104" s="21">
        <f>IF(Table1[[#This Row],[ĐIỂM 10 ]]=10,10,IF(AND(Table1[[#This Row],[ĐIỂM 10 ]]&lt;10,Table1[[#This Row],[ĐIỂM 10 ]]&gt;=9),9,IF(AND(Table1[[#This Row],[ĐIỂM 10 ]]&lt;9,Table1[[#This Row],[ĐIỂM 10 ]]&gt;=8),8,0)))</f>
        <v>0</v>
      </c>
    </row>
    <row r="105" spans="1:22" ht="18" customHeight="1" x14ac:dyDescent="0.45">
      <c r="F105" s="72">
        <v>104</v>
      </c>
      <c r="K105" s="82"/>
      <c r="M105" s="5">
        <f>IF(AND(LEN(Table1[[#This Row],[MÔN HỌC]])&gt;0,Table1[[#This Row],[SỐ TÍN CHỈ]]&gt;0,Table1[[#This Row],[ĐIỂM 10 ]]&gt;0),1,0)</f>
        <v>0</v>
      </c>
      <c r="N105" s="20">
        <f>IF(Table1[[#This Row],[ĐIỂM 10 ]]="",1,0)</f>
        <v>1</v>
      </c>
      <c r="O105" s="8">
        <f>IF(OR(Table1[[#This Row],[CHỮ]]="A",Table1[[#This Row],[CHỮ]]="A+"),Table1[[#This Row],[SỐ TÍN CHỈ]]*4,0)</f>
        <v>0</v>
      </c>
      <c r="P105" s="8">
        <f>IF(Table1[[#This Row],[CHỮ]]="B",Table1[[#This Row],[SỐ TÍN CHỈ]]*3,0)</f>
        <v>0</v>
      </c>
      <c r="Q105" s="8">
        <f>IF(Table1[[#This Row],[CHỮ]]="B+",Table1[[#This Row],[SỐ TÍN CHỈ]]*3.5,0)</f>
        <v>0</v>
      </c>
      <c r="R105" s="8">
        <f>IF(Table1[[#This Row],[CHỮ]]="C",Table1[[#This Row],[SỐ TÍN CHỈ]]*2,0)</f>
        <v>0</v>
      </c>
      <c r="S105" s="8">
        <f>IF(Table1[[#This Row],[CHỮ]]="C+",Table1[[#This Row],[SỐ TÍN CHỈ]]*2.5,0)</f>
        <v>0</v>
      </c>
      <c r="T105" s="8">
        <f>IF(Table1[[#This Row],[CHỮ]]="D",Table1[[#This Row],[SỐ TÍN CHỈ]]*1,0)</f>
        <v>0</v>
      </c>
      <c r="U105" s="8">
        <f>IF(Table1[[#This Row],[CHỮ]]="F",Table1[[#This Row],[SỐ TÍN CHỈ]]*0,0)</f>
        <v>0</v>
      </c>
      <c r="V105" s="21">
        <f>IF(Table1[[#This Row],[ĐIỂM 10 ]]=10,10,IF(AND(Table1[[#This Row],[ĐIỂM 10 ]]&lt;10,Table1[[#This Row],[ĐIỂM 10 ]]&gt;=9),9,IF(AND(Table1[[#This Row],[ĐIỂM 10 ]]&lt;9,Table1[[#This Row],[ĐIỂM 10 ]]&gt;=8),8,0)))</f>
        <v>0</v>
      </c>
    </row>
    <row r="106" spans="1:22" ht="18" customHeight="1" x14ac:dyDescent="0.45">
      <c r="F106" s="72">
        <v>105</v>
      </c>
      <c r="K106" s="82"/>
      <c r="M106" s="5">
        <f>IF(AND(LEN(Table1[[#This Row],[MÔN HỌC]])&gt;0,Table1[[#This Row],[SỐ TÍN CHỈ]]&gt;0,Table1[[#This Row],[ĐIỂM 10 ]]&gt;0),1,0)</f>
        <v>0</v>
      </c>
      <c r="N106" s="20">
        <f>IF(Table1[[#This Row],[ĐIỂM 10 ]]="",1,0)</f>
        <v>1</v>
      </c>
      <c r="O106" s="8">
        <f>IF(OR(Table1[[#This Row],[CHỮ]]="A",Table1[[#This Row],[CHỮ]]="A+"),Table1[[#This Row],[SỐ TÍN CHỈ]]*4,0)</f>
        <v>0</v>
      </c>
      <c r="P106" s="8">
        <f>IF(Table1[[#This Row],[CHỮ]]="B",Table1[[#This Row],[SỐ TÍN CHỈ]]*3,0)</f>
        <v>0</v>
      </c>
      <c r="Q106" s="8">
        <f>IF(Table1[[#This Row],[CHỮ]]="B+",Table1[[#This Row],[SỐ TÍN CHỈ]]*3.5,0)</f>
        <v>0</v>
      </c>
      <c r="R106" s="8">
        <f>IF(Table1[[#This Row],[CHỮ]]="C",Table1[[#This Row],[SỐ TÍN CHỈ]]*2,0)</f>
        <v>0</v>
      </c>
      <c r="S106" s="8">
        <f>IF(Table1[[#This Row],[CHỮ]]="C+",Table1[[#This Row],[SỐ TÍN CHỈ]]*2.5,0)</f>
        <v>0</v>
      </c>
      <c r="T106" s="8">
        <f>IF(Table1[[#This Row],[CHỮ]]="D",Table1[[#This Row],[SỐ TÍN CHỈ]]*1,0)</f>
        <v>0</v>
      </c>
      <c r="U106" s="8">
        <f>IF(Table1[[#This Row],[CHỮ]]="F",Table1[[#This Row],[SỐ TÍN CHỈ]]*0,0)</f>
        <v>0</v>
      </c>
      <c r="V106" s="21">
        <f>IF(Table1[[#This Row],[ĐIỂM 10 ]]=10,10,IF(AND(Table1[[#This Row],[ĐIỂM 10 ]]&lt;10,Table1[[#This Row],[ĐIỂM 10 ]]&gt;=9),9,IF(AND(Table1[[#This Row],[ĐIỂM 10 ]]&lt;9,Table1[[#This Row],[ĐIỂM 10 ]]&gt;=8),8,0)))</f>
        <v>0</v>
      </c>
    </row>
    <row r="107" spans="1:22" ht="18" customHeight="1" x14ac:dyDescent="0.45">
      <c r="F107" s="72">
        <v>106</v>
      </c>
      <c r="K107" s="82"/>
      <c r="M107" s="5">
        <f>IF(AND(LEN(Table1[[#This Row],[MÔN HỌC]])&gt;0,Table1[[#This Row],[SỐ TÍN CHỈ]]&gt;0,Table1[[#This Row],[ĐIỂM 10 ]]&gt;0),1,0)</f>
        <v>0</v>
      </c>
      <c r="N107" s="20">
        <f>IF(Table1[[#This Row],[ĐIỂM 10 ]]="",1,0)</f>
        <v>1</v>
      </c>
      <c r="O107" s="8">
        <f>IF(OR(Table1[[#This Row],[CHỮ]]="A",Table1[[#This Row],[CHỮ]]="A+"),Table1[[#This Row],[SỐ TÍN CHỈ]]*4,0)</f>
        <v>0</v>
      </c>
      <c r="P107" s="8">
        <f>IF(Table1[[#This Row],[CHỮ]]="B",Table1[[#This Row],[SỐ TÍN CHỈ]]*3,0)</f>
        <v>0</v>
      </c>
      <c r="Q107" s="8">
        <f>IF(Table1[[#This Row],[CHỮ]]="B+",Table1[[#This Row],[SỐ TÍN CHỈ]]*3.5,0)</f>
        <v>0</v>
      </c>
      <c r="R107" s="8">
        <f>IF(Table1[[#This Row],[CHỮ]]="C",Table1[[#This Row],[SỐ TÍN CHỈ]]*2,0)</f>
        <v>0</v>
      </c>
      <c r="S107" s="8">
        <f>IF(Table1[[#This Row],[CHỮ]]="C+",Table1[[#This Row],[SỐ TÍN CHỈ]]*2.5,0)</f>
        <v>0</v>
      </c>
      <c r="T107" s="8">
        <f>IF(Table1[[#This Row],[CHỮ]]="D",Table1[[#This Row],[SỐ TÍN CHỈ]]*1,0)</f>
        <v>0</v>
      </c>
      <c r="U107" s="8">
        <f>IF(Table1[[#This Row],[CHỮ]]="F",Table1[[#This Row],[SỐ TÍN CHỈ]]*0,0)</f>
        <v>0</v>
      </c>
      <c r="V107" s="21">
        <f>IF(Table1[[#This Row],[ĐIỂM 10 ]]=10,10,IF(AND(Table1[[#This Row],[ĐIỂM 10 ]]&lt;10,Table1[[#This Row],[ĐIỂM 10 ]]&gt;=9),9,IF(AND(Table1[[#This Row],[ĐIỂM 10 ]]&lt;9,Table1[[#This Row],[ĐIỂM 10 ]]&gt;=8),8,0)))</f>
        <v>0</v>
      </c>
    </row>
    <row r="108" spans="1:22" ht="18" customHeight="1" x14ac:dyDescent="0.45">
      <c r="F108" s="72">
        <v>107</v>
      </c>
      <c r="K108" s="82"/>
      <c r="M108" s="5">
        <f>IF(AND(LEN(Table1[[#This Row],[MÔN HỌC]])&gt;0,Table1[[#This Row],[SỐ TÍN CHỈ]]&gt;0,Table1[[#This Row],[ĐIỂM 10 ]]&gt;0),1,0)</f>
        <v>0</v>
      </c>
      <c r="N108" s="20">
        <f>IF(Table1[[#This Row],[ĐIỂM 10 ]]="",1,0)</f>
        <v>1</v>
      </c>
      <c r="O108" s="8">
        <f>IF(OR(Table1[[#This Row],[CHỮ]]="A",Table1[[#This Row],[CHỮ]]="A+"),Table1[[#This Row],[SỐ TÍN CHỈ]]*4,0)</f>
        <v>0</v>
      </c>
      <c r="P108" s="8">
        <f>IF(Table1[[#This Row],[CHỮ]]="B",Table1[[#This Row],[SỐ TÍN CHỈ]]*3,0)</f>
        <v>0</v>
      </c>
      <c r="Q108" s="8">
        <f>IF(Table1[[#This Row],[CHỮ]]="B+",Table1[[#This Row],[SỐ TÍN CHỈ]]*3.5,0)</f>
        <v>0</v>
      </c>
      <c r="R108" s="8">
        <f>IF(Table1[[#This Row],[CHỮ]]="C",Table1[[#This Row],[SỐ TÍN CHỈ]]*2,0)</f>
        <v>0</v>
      </c>
      <c r="S108" s="8">
        <f>IF(Table1[[#This Row],[CHỮ]]="C+",Table1[[#This Row],[SỐ TÍN CHỈ]]*2.5,0)</f>
        <v>0</v>
      </c>
      <c r="T108" s="8">
        <f>IF(Table1[[#This Row],[CHỮ]]="D",Table1[[#This Row],[SỐ TÍN CHỈ]]*1,0)</f>
        <v>0</v>
      </c>
      <c r="U108" s="8">
        <f>IF(Table1[[#This Row],[CHỮ]]="F",Table1[[#This Row],[SỐ TÍN CHỈ]]*0,0)</f>
        <v>0</v>
      </c>
      <c r="V108" s="21">
        <f>IF(Table1[[#This Row],[ĐIỂM 10 ]]=10,10,IF(AND(Table1[[#This Row],[ĐIỂM 10 ]]&lt;10,Table1[[#This Row],[ĐIỂM 10 ]]&gt;=9),9,IF(AND(Table1[[#This Row],[ĐIỂM 10 ]]&lt;9,Table1[[#This Row],[ĐIỂM 10 ]]&gt;=8),8,0)))</f>
        <v>0</v>
      </c>
    </row>
    <row r="109" spans="1:22" ht="18" customHeight="1" x14ac:dyDescent="0.45">
      <c r="F109" s="72">
        <v>108</v>
      </c>
      <c r="K109" s="82"/>
      <c r="M109" s="5">
        <f>IF(AND(LEN(Table1[[#This Row],[MÔN HỌC]])&gt;0,Table1[[#This Row],[SỐ TÍN CHỈ]]&gt;0,Table1[[#This Row],[ĐIỂM 10 ]]&gt;0),1,0)</f>
        <v>0</v>
      </c>
      <c r="N109" s="20">
        <f>IF(Table1[[#This Row],[ĐIỂM 10 ]]="",1,0)</f>
        <v>1</v>
      </c>
      <c r="O109" s="8">
        <f>IF(OR(Table1[[#This Row],[CHỮ]]="A",Table1[[#This Row],[CHỮ]]="A+"),Table1[[#This Row],[SỐ TÍN CHỈ]]*4,0)</f>
        <v>0</v>
      </c>
      <c r="P109" s="8">
        <f>IF(Table1[[#This Row],[CHỮ]]="B",Table1[[#This Row],[SỐ TÍN CHỈ]]*3,0)</f>
        <v>0</v>
      </c>
      <c r="Q109" s="8">
        <f>IF(Table1[[#This Row],[CHỮ]]="B+",Table1[[#This Row],[SỐ TÍN CHỈ]]*3.5,0)</f>
        <v>0</v>
      </c>
      <c r="R109" s="8">
        <f>IF(Table1[[#This Row],[CHỮ]]="C",Table1[[#This Row],[SỐ TÍN CHỈ]]*2,0)</f>
        <v>0</v>
      </c>
      <c r="S109" s="8">
        <f>IF(Table1[[#This Row],[CHỮ]]="C+",Table1[[#This Row],[SỐ TÍN CHỈ]]*2.5,0)</f>
        <v>0</v>
      </c>
      <c r="T109" s="8">
        <f>IF(Table1[[#This Row],[CHỮ]]="D",Table1[[#This Row],[SỐ TÍN CHỈ]]*1,0)</f>
        <v>0</v>
      </c>
      <c r="U109" s="8">
        <f>IF(Table1[[#This Row],[CHỮ]]="F",Table1[[#This Row],[SỐ TÍN CHỈ]]*0,0)</f>
        <v>0</v>
      </c>
      <c r="V109" s="21">
        <f>IF(Table1[[#This Row],[ĐIỂM 10 ]]=10,10,IF(AND(Table1[[#This Row],[ĐIỂM 10 ]]&lt;10,Table1[[#This Row],[ĐIỂM 10 ]]&gt;=9),9,IF(AND(Table1[[#This Row],[ĐIỂM 10 ]]&lt;9,Table1[[#This Row],[ĐIỂM 10 ]]&gt;=8),8,0)))</f>
        <v>0</v>
      </c>
    </row>
    <row r="110" spans="1:22" ht="18" customHeight="1" x14ac:dyDescent="0.45">
      <c r="F110" s="72">
        <v>109</v>
      </c>
      <c r="K110" s="82"/>
      <c r="M110" s="5">
        <f>IF(AND(LEN(Table1[[#This Row],[MÔN HỌC]])&gt;0,Table1[[#This Row],[SỐ TÍN CHỈ]]&gt;0,Table1[[#This Row],[ĐIỂM 10 ]]&gt;0),1,0)</f>
        <v>0</v>
      </c>
      <c r="N110" s="20">
        <f>IF(Table1[[#This Row],[ĐIỂM 10 ]]="",1,0)</f>
        <v>1</v>
      </c>
      <c r="O110" s="8">
        <f>IF(OR(Table1[[#This Row],[CHỮ]]="A",Table1[[#This Row],[CHỮ]]="A+"),Table1[[#This Row],[SỐ TÍN CHỈ]]*4,0)</f>
        <v>0</v>
      </c>
      <c r="P110" s="8">
        <f>IF(Table1[[#This Row],[CHỮ]]="B",Table1[[#This Row],[SỐ TÍN CHỈ]]*3,0)</f>
        <v>0</v>
      </c>
      <c r="Q110" s="8">
        <f>IF(Table1[[#This Row],[CHỮ]]="B+",Table1[[#This Row],[SỐ TÍN CHỈ]]*3.5,0)</f>
        <v>0</v>
      </c>
      <c r="R110" s="8">
        <f>IF(Table1[[#This Row],[CHỮ]]="C",Table1[[#This Row],[SỐ TÍN CHỈ]]*2,0)</f>
        <v>0</v>
      </c>
      <c r="S110" s="8">
        <f>IF(Table1[[#This Row],[CHỮ]]="C+",Table1[[#This Row],[SỐ TÍN CHỈ]]*2.5,0)</f>
        <v>0</v>
      </c>
      <c r="T110" s="8">
        <f>IF(Table1[[#This Row],[CHỮ]]="D",Table1[[#This Row],[SỐ TÍN CHỈ]]*1,0)</f>
        <v>0</v>
      </c>
      <c r="U110" s="8">
        <f>IF(Table1[[#This Row],[CHỮ]]="F",Table1[[#This Row],[SỐ TÍN CHỈ]]*0,0)</f>
        <v>0</v>
      </c>
      <c r="V110" s="21">
        <f>IF(Table1[[#This Row],[ĐIỂM 10 ]]=10,10,IF(AND(Table1[[#This Row],[ĐIỂM 10 ]]&lt;10,Table1[[#This Row],[ĐIỂM 10 ]]&gt;=9),9,IF(AND(Table1[[#This Row],[ĐIỂM 10 ]]&lt;9,Table1[[#This Row],[ĐIỂM 10 ]]&gt;=8),8,0)))</f>
        <v>0</v>
      </c>
    </row>
    <row r="111" spans="1:22" ht="18" customHeight="1" x14ac:dyDescent="0.45">
      <c r="F111" s="72">
        <v>110</v>
      </c>
      <c r="K111" s="82"/>
      <c r="M111" s="5">
        <f>IF(AND(LEN(Table1[[#This Row],[MÔN HỌC]])&gt;0,Table1[[#This Row],[SỐ TÍN CHỈ]]&gt;0,Table1[[#This Row],[ĐIỂM 10 ]]&gt;0),1,0)</f>
        <v>0</v>
      </c>
      <c r="N111" s="20">
        <f>IF(Table1[[#This Row],[ĐIỂM 10 ]]="",1,0)</f>
        <v>1</v>
      </c>
      <c r="O111" s="8">
        <f>IF(OR(Table1[[#This Row],[CHỮ]]="A",Table1[[#This Row],[CHỮ]]="A+"),Table1[[#This Row],[SỐ TÍN CHỈ]]*4,0)</f>
        <v>0</v>
      </c>
      <c r="P111" s="8">
        <f>IF(Table1[[#This Row],[CHỮ]]="B",Table1[[#This Row],[SỐ TÍN CHỈ]]*3,0)</f>
        <v>0</v>
      </c>
      <c r="Q111" s="8">
        <f>IF(Table1[[#This Row],[CHỮ]]="B+",Table1[[#This Row],[SỐ TÍN CHỈ]]*3.5,0)</f>
        <v>0</v>
      </c>
      <c r="R111" s="8">
        <f>IF(Table1[[#This Row],[CHỮ]]="C",Table1[[#This Row],[SỐ TÍN CHỈ]]*2,0)</f>
        <v>0</v>
      </c>
      <c r="S111" s="8">
        <f>IF(Table1[[#This Row],[CHỮ]]="C+",Table1[[#This Row],[SỐ TÍN CHỈ]]*2.5,0)</f>
        <v>0</v>
      </c>
      <c r="T111" s="8">
        <f>IF(Table1[[#This Row],[CHỮ]]="D",Table1[[#This Row],[SỐ TÍN CHỈ]]*1,0)</f>
        <v>0</v>
      </c>
      <c r="U111" s="8">
        <f>IF(Table1[[#This Row],[CHỮ]]="F",Table1[[#This Row],[SỐ TÍN CHỈ]]*0,0)</f>
        <v>0</v>
      </c>
      <c r="V111" s="21">
        <f>IF(Table1[[#This Row],[ĐIỂM 10 ]]=10,10,IF(AND(Table1[[#This Row],[ĐIỂM 10 ]]&lt;10,Table1[[#This Row],[ĐIỂM 10 ]]&gt;=9),9,IF(AND(Table1[[#This Row],[ĐIỂM 10 ]]&lt;9,Table1[[#This Row],[ĐIỂM 10 ]]&gt;=8),8,0)))</f>
        <v>0</v>
      </c>
    </row>
    <row r="112" spans="1:22" ht="18" customHeight="1" x14ac:dyDescent="0.45">
      <c r="F112" s="72">
        <v>111</v>
      </c>
      <c r="K112" s="82"/>
      <c r="M112" s="5">
        <f>IF(AND(LEN(Table1[[#This Row],[MÔN HỌC]])&gt;0,Table1[[#This Row],[SỐ TÍN CHỈ]]&gt;0,Table1[[#This Row],[ĐIỂM 10 ]]&gt;0),1,0)</f>
        <v>0</v>
      </c>
      <c r="N112" s="20">
        <f>IF(Table1[[#This Row],[ĐIỂM 10 ]]="",1,0)</f>
        <v>1</v>
      </c>
      <c r="O112" s="8">
        <f>IF(OR(Table1[[#This Row],[CHỮ]]="A",Table1[[#This Row],[CHỮ]]="A+"),Table1[[#This Row],[SỐ TÍN CHỈ]]*4,0)</f>
        <v>0</v>
      </c>
      <c r="P112" s="8">
        <f>IF(Table1[[#This Row],[CHỮ]]="B",Table1[[#This Row],[SỐ TÍN CHỈ]]*3,0)</f>
        <v>0</v>
      </c>
      <c r="Q112" s="8">
        <f>IF(Table1[[#This Row],[CHỮ]]="B+",Table1[[#This Row],[SỐ TÍN CHỈ]]*3.5,0)</f>
        <v>0</v>
      </c>
      <c r="R112" s="8">
        <f>IF(Table1[[#This Row],[CHỮ]]="C",Table1[[#This Row],[SỐ TÍN CHỈ]]*2,0)</f>
        <v>0</v>
      </c>
      <c r="S112" s="8">
        <f>IF(Table1[[#This Row],[CHỮ]]="C+",Table1[[#This Row],[SỐ TÍN CHỈ]]*2.5,0)</f>
        <v>0</v>
      </c>
      <c r="T112" s="8">
        <f>IF(Table1[[#This Row],[CHỮ]]="D",Table1[[#This Row],[SỐ TÍN CHỈ]]*1,0)</f>
        <v>0</v>
      </c>
      <c r="U112" s="8">
        <f>IF(Table1[[#This Row],[CHỮ]]="F",Table1[[#This Row],[SỐ TÍN CHỈ]]*0,0)</f>
        <v>0</v>
      </c>
      <c r="V112" s="21">
        <f>IF(Table1[[#This Row],[ĐIỂM 10 ]]=10,10,IF(AND(Table1[[#This Row],[ĐIỂM 10 ]]&lt;10,Table1[[#This Row],[ĐIỂM 10 ]]&gt;=9),9,IF(AND(Table1[[#This Row],[ĐIỂM 10 ]]&lt;9,Table1[[#This Row],[ĐIỂM 10 ]]&gt;=8),8,0)))</f>
        <v>0</v>
      </c>
    </row>
    <row r="113" spans="6:22" ht="18" customHeight="1" x14ac:dyDescent="0.45">
      <c r="F113" s="72">
        <v>112</v>
      </c>
      <c r="K113" s="82"/>
      <c r="M113" s="5">
        <f>IF(AND(LEN(Table1[[#This Row],[MÔN HỌC]])&gt;0,Table1[[#This Row],[SỐ TÍN CHỈ]]&gt;0,Table1[[#This Row],[ĐIỂM 10 ]]&gt;0),1,0)</f>
        <v>0</v>
      </c>
      <c r="N113" s="20">
        <f>IF(Table1[[#This Row],[ĐIỂM 10 ]]="",1,0)</f>
        <v>1</v>
      </c>
      <c r="O113" s="8">
        <f>IF(OR(Table1[[#This Row],[CHỮ]]="A",Table1[[#This Row],[CHỮ]]="A+"),Table1[[#This Row],[SỐ TÍN CHỈ]]*4,0)</f>
        <v>0</v>
      </c>
      <c r="P113" s="8">
        <f>IF(Table1[[#This Row],[CHỮ]]="B",Table1[[#This Row],[SỐ TÍN CHỈ]]*3,0)</f>
        <v>0</v>
      </c>
      <c r="Q113" s="8">
        <f>IF(Table1[[#This Row],[CHỮ]]="B+",Table1[[#This Row],[SỐ TÍN CHỈ]]*3.5,0)</f>
        <v>0</v>
      </c>
      <c r="R113" s="8">
        <f>IF(Table1[[#This Row],[CHỮ]]="C",Table1[[#This Row],[SỐ TÍN CHỈ]]*2,0)</f>
        <v>0</v>
      </c>
      <c r="S113" s="8">
        <f>IF(Table1[[#This Row],[CHỮ]]="C+",Table1[[#This Row],[SỐ TÍN CHỈ]]*2.5,0)</f>
        <v>0</v>
      </c>
      <c r="T113" s="8">
        <f>IF(Table1[[#This Row],[CHỮ]]="D",Table1[[#This Row],[SỐ TÍN CHỈ]]*1,0)</f>
        <v>0</v>
      </c>
      <c r="U113" s="8">
        <f>IF(Table1[[#This Row],[CHỮ]]="F",Table1[[#This Row],[SỐ TÍN CHỈ]]*0,0)</f>
        <v>0</v>
      </c>
      <c r="V113" s="21">
        <f>IF(Table1[[#This Row],[ĐIỂM 10 ]]=10,10,IF(AND(Table1[[#This Row],[ĐIỂM 10 ]]&lt;10,Table1[[#This Row],[ĐIỂM 10 ]]&gt;=9),9,IF(AND(Table1[[#This Row],[ĐIỂM 10 ]]&lt;9,Table1[[#This Row],[ĐIỂM 10 ]]&gt;=8),8,0)))</f>
        <v>0</v>
      </c>
    </row>
    <row r="114" spans="6:22" ht="18" customHeight="1" x14ac:dyDescent="0.45">
      <c r="F114" s="72">
        <v>113</v>
      </c>
      <c r="K114" s="82"/>
      <c r="M114" s="5">
        <f>IF(AND(LEN(Table1[[#This Row],[MÔN HỌC]])&gt;0,Table1[[#This Row],[SỐ TÍN CHỈ]]&gt;0,Table1[[#This Row],[ĐIỂM 10 ]]&gt;0),1,0)</f>
        <v>0</v>
      </c>
      <c r="N114" s="20">
        <f>IF(Table1[[#This Row],[ĐIỂM 10 ]]="",1,0)</f>
        <v>1</v>
      </c>
      <c r="O114" s="8">
        <f>IF(OR(Table1[[#This Row],[CHỮ]]="A",Table1[[#This Row],[CHỮ]]="A+"),Table1[[#This Row],[SỐ TÍN CHỈ]]*4,0)</f>
        <v>0</v>
      </c>
      <c r="P114" s="8">
        <f>IF(Table1[[#This Row],[CHỮ]]="B",Table1[[#This Row],[SỐ TÍN CHỈ]]*3,0)</f>
        <v>0</v>
      </c>
      <c r="Q114" s="8">
        <f>IF(Table1[[#This Row],[CHỮ]]="B+",Table1[[#This Row],[SỐ TÍN CHỈ]]*3.5,0)</f>
        <v>0</v>
      </c>
      <c r="R114" s="8">
        <f>IF(Table1[[#This Row],[CHỮ]]="C",Table1[[#This Row],[SỐ TÍN CHỈ]]*2,0)</f>
        <v>0</v>
      </c>
      <c r="S114" s="8">
        <f>IF(Table1[[#This Row],[CHỮ]]="C+",Table1[[#This Row],[SỐ TÍN CHỈ]]*2.5,0)</f>
        <v>0</v>
      </c>
      <c r="T114" s="8">
        <f>IF(Table1[[#This Row],[CHỮ]]="D",Table1[[#This Row],[SỐ TÍN CHỈ]]*1,0)</f>
        <v>0</v>
      </c>
      <c r="U114" s="8">
        <f>IF(Table1[[#This Row],[CHỮ]]="F",Table1[[#This Row],[SỐ TÍN CHỈ]]*0,0)</f>
        <v>0</v>
      </c>
      <c r="V114" s="21">
        <f>IF(Table1[[#This Row],[ĐIỂM 10 ]]=10,10,IF(AND(Table1[[#This Row],[ĐIỂM 10 ]]&lt;10,Table1[[#This Row],[ĐIỂM 10 ]]&gt;=9),9,IF(AND(Table1[[#This Row],[ĐIỂM 10 ]]&lt;9,Table1[[#This Row],[ĐIỂM 10 ]]&gt;=8),8,0)))</f>
        <v>0</v>
      </c>
    </row>
    <row r="115" spans="6:22" ht="18" customHeight="1" x14ac:dyDescent="0.45">
      <c r="F115" s="72">
        <v>114</v>
      </c>
      <c r="K115" s="82"/>
      <c r="M115" s="5">
        <f>IF(AND(LEN(Table1[[#This Row],[MÔN HỌC]])&gt;0,Table1[[#This Row],[SỐ TÍN CHỈ]]&gt;0,Table1[[#This Row],[ĐIỂM 10 ]]&gt;0),1,0)</f>
        <v>0</v>
      </c>
      <c r="N115" s="20">
        <f>IF(Table1[[#This Row],[ĐIỂM 10 ]]="",1,0)</f>
        <v>1</v>
      </c>
      <c r="O115" s="8">
        <f>IF(OR(Table1[[#This Row],[CHỮ]]="A",Table1[[#This Row],[CHỮ]]="A+"),Table1[[#This Row],[SỐ TÍN CHỈ]]*4,0)</f>
        <v>0</v>
      </c>
      <c r="P115" s="8">
        <f>IF(Table1[[#This Row],[CHỮ]]="B",Table1[[#This Row],[SỐ TÍN CHỈ]]*3,0)</f>
        <v>0</v>
      </c>
      <c r="Q115" s="8">
        <f>IF(Table1[[#This Row],[CHỮ]]="B+",Table1[[#This Row],[SỐ TÍN CHỈ]]*3.5,0)</f>
        <v>0</v>
      </c>
      <c r="R115" s="8">
        <f>IF(Table1[[#This Row],[CHỮ]]="C",Table1[[#This Row],[SỐ TÍN CHỈ]]*2,0)</f>
        <v>0</v>
      </c>
      <c r="S115" s="8">
        <f>IF(Table1[[#This Row],[CHỮ]]="C+",Table1[[#This Row],[SỐ TÍN CHỈ]]*2.5,0)</f>
        <v>0</v>
      </c>
      <c r="T115" s="8">
        <f>IF(Table1[[#This Row],[CHỮ]]="D",Table1[[#This Row],[SỐ TÍN CHỈ]]*1,0)</f>
        <v>0</v>
      </c>
      <c r="U115" s="8">
        <f>IF(Table1[[#This Row],[CHỮ]]="F",Table1[[#This Row],[SỐ TÍN CHỈ]]*0,0)</f>
        <v>0</v>
      </c>
      <c r="V115" s="21">
        <f>IF(Table1[[#This Row],[ĐIỂM 10 ]]=10,10,IF(AND(Table1[[#This Row],[ĐIỂM 10 ]]&lt;10,Table1[[#This Row],[ĐIỂM 10 ]]&gt;=9),9,IF(AND(Table1[[#This Row],[ĐIỂM 10 ]]&lt;9,Table1[[#This Row],[ĐIỂM 10 ]]&gt;=8),8,0)))</f>
        <v>0</v>
      </c>
    </row>
    <row r="116" spans="6:22" ht="18" customHeight="1" x14ac:dyDescent="0.45">
      <c r="F116" s="72">
        <v>115</v>
      </c>
      <c r="K116" s="82"/>
      <c r="M116" s="5">
        <f>IF(AND(LEN(Table1[[#This Row],[MÔN HỌC]])&gt;0,Table1[[#This Row],[SỐ TÍN CHỈ]]&gt;0,Table1[[#This Row],[ĐIỂM 10 ]]&gt;0),1,0)</f>
        <v>0</v>
      </c>
      <c r="N116" s="20">
        <f>IF(Table1[[#This Row],[ĐIỂM 10 ]]="",1,0)</f>
        <v>1</v>
      </c>
      <c r="O116" s="8">
        <f>IF(OR(Table1[[#This Row],[CHỮ]]="A",Table1[[#This Row],[CHỮ]]="A+"),Table1[[#This Row],[SỐ TÍN CHỈ]]*4,0)</f>
        <v>0</v>
      </c>
      <c r="P116" s="8">
        <f>IF(Table1[[#This Row],[CHỮ]]="B",Table1[[#This Row],[SỐ TÍN CHỈ]]*3,0)</f>
        <v>0</v>
      </c>
      <c r="Q116" s="8">
        <f>IF(Table1[[#This Row],[CHỮ]]="B+",Table1[[#This Row],[SỐ TÍN CHỈ]]*3.5,0)</f>
        <v>0</v>
      </c>
      <c r="R116" s="8">
        <f>IF(Table1[[#This Row],[CHỮ]]="C",Table1[[#This Row],[SỐ TÍN CHỈ]]*2,0)</f>
        <v>0</v>
      </c>
      <c r="S116" s="8">
        <f>IF(Table1[[#This Row],[CHỮ]]="C+",Table1[[#This Row],[SỐ TÍN CHỈ]]*2.5,0)</f>
        <v>0</v>
      </c>
      <c r="T116" s="8">
        <f>IF(Table1[[#This Row],[CHỮ]]="D",Table1[[#This Row],[SỐ TÍN CHỈ]]*1,0)</f>
        <v>0</v>
      </c>
      <c r="U116" s="8">
        <f>IF(Table1[[#This Row],[CHỮ]]="F",Table1[[#This Row],[SỐ TÍN CHỈ]]*0,0)</f>
        <v>0</v>
      </c>
      <c r="V116" s="21">
        <f>IF(Table1[[#This Row],[ĐIỂM 10 ]]=10,10,IF(AND(Table1[[#This Row],[ĐIỂM 10 ]]&lt;10,Table1[[#This Row],[ĐIỂM 10 ]]&gt;=9),9,IF(AND(Table1[[#This Row],[ĐIỂM 10 ]]&lt;9,Table1[[#This Row],[ĐIỂM 10 ]]&gt;=8),8,0)))</f>
        <v>0</v>
      </c>
    </row>
    <row r="117" spans="6:22" ht="18" customHeight="1" x14ac:dyDescent="0.45">
      <c r="F117" s="72">
        <v>116</v>
      </c>
      <c r="K117" s="82"/>
      <c r="M117" s="5">
        <f>IF(AND(LEN(Table1[[#This Row],[MÔN HỌC]])&gt;0,Table1[[#This Row],[SỐ TÍN CHỈ]]&gt;0,Table1[[#This Row],[ĐIỂM 10 ]]&gt;0),1,0)</f>
        <v>0</v>
      </c>
      <c r="N117" s="20">
        <f>IF(Table1[[#This Row],[ĐIỂM 10 ]]="",1,0)</f>
        <v>1</v>
      </c>
      <c r="O117" s="8">
        <f>IF(OR(Table1[[#This Row],[CHỮ]]="A",Table1[[#This Row],[CHỮ]]="A+"),Table1[[#This Row],[SỐ TÍN CHỈ]]*4,0)</f>
        <v>0</v>
      </c>
      <c r="P117" s="8">
        <f>IF(Table1[[#This Row],[CHỮ]]="B",Table1[[#This Row],[SỐ TÍN CHỈ]]*3,0)</f>
        <v>0</v>
      </c>
      <c r="Q117" s="8">
        <f>IF(Table1[[#This Row],[CHỮ]]="B+",Table1[[#This Row],[SỐ TÍN CHỈ]]*3.5,0)</f>
        <v>0</v>
      </c>
      <c r="R117" s="8">
        <f>IF(Table1[[#This Row],[CHỮ]]="C",Table1[[#This Row],[SỐ TÍN CHỈ]]*2,0)</f>
        <v>0</v>
      </c>
      <c r="S117" s="8">
        <f>IF(Table1[[#This Row],[CHỮ]]="C+",Table1[[#This Row],[SỐ TÍN CHỈ]]*2.5,0)</f>
        <v>0</v>
      </c>
      <c r="T117" s="8">
        <f>IF(Table1[[#This Row],[CHỮ]]="D",Table1[[#This Row],[SỐ TÍN CHỈ]]*1,0)</f>
        <v>0</v>
      </c>
      <c r="U117" s="8">
        <f>IF(Table1[[#This Row],[CHỮ]]="F",Table1[[#This Row],[SỐ TÍN CHỈ]]*0,0)</f>
        <v>0</v>
      </c>
      <c r="V117" s="21">
        <f>IF(Table1[[#This Row],[ĐIỂM 10 ]]=10,10,IF(AND(Table1[[#This Row],[ĐIỂM 10 ]]&lt;10,Table1[[#This Row],[ĐIỂM 10 ]]&gt;=9),9,IF(AND(Table1[[#This Row],[ĐIỂM 10 ]]&lt;9,Table1[[#This Row],[ĐIỂM 10 ]]&gt;=8),8,0)))</f>
        <v>0</v>
      </c>
    </row>
    <row r="118" spans="6:22" ht="18" customHeight="1" x14ac:dyDescent="0.45">
      <c r="F118" s="72">
        <v>117</v>
      </c>
      <c r="K118" s="82"/>
      <c r="M118" s="5">
        <f>IF(AND(LEN(Table1[[#This Row],[MÔN HỌC]])&gt;0,Table1[[#This Row],[SỐ TÍN CHỈ]]&gt;0,Table1[[#This Row],[ĐIỂM 10 ]]&gt;0),1,0)</f>
        <v>0</v>
      </c>
      <c r="N118" s="20">
        <f>IF(Table1[[#This Row],[ĐIỂM 10 ]]="",1,0)</f>
        <v>1</v>
      </c>
      <c r="O118" s="8">
        <f>IF(OR(Table1[[#This Row],[CHỮ]]="A",Table1[[#This Row],[CHỮ]]="A+"),Table1[[#This Row],[SỐ TÍN CHỈ]]*4,0)</f>
        <v>0</v>
      </c>
      <c r="P118" s="8">
        <f>IF(Table1[[#This Row],[CHỮ]]="B",Table1[[#This Row],[SỐ TÍN CHỈ]]*3,0)</f>
        <v>0</v>
      </c>
      <c r="Q118" s="8">
        <f>IF(Table1[[#This Row],[CHỮ]]="B+",Table1[[#This Row],[SỐ TÍN CHỈ]]*3.5,0)</f>
        <v>0</v>
      </c>
      <c r="R118" s="8">
        <f>IF(Table1[[#This Row],[CHỮ]]="C",Table1[[#This Row],[SỐ TÍN CHỈ]]*2,0)</f>
        <v>0</v>
      </c>
      <c r="S118" s="8">
        <f>IF(Table1[[#This Row],[CHỮ]]="C+",Table1[[#This Row],[SỐ TÍN CHỈ]]*2.5,0)</f>
        <v>0</v>
      </c>
      <c r="T118" s="8">
        <f>IF(Table1[[#This Row],[CHỮ]]="D",Table1[[#This Row],[SỐ TÍN CHỈ]]*1,0)</f>
        <v>0</v>
      </c>
      <c r="U118" s="8">
        <f>IF(Table1[[#This Row],[CHỮ]]="F",Table1[[#This Row],[SỐ TÍN CHỈ]]*0,0)</f>
        <v>0</v>
      </c>
      <c r="V118" s="21">
        <f>IF(Table1[[#This Row],[ĐIỂM 10 ]]=10,10,IF(AND(Table1[[#This Row],[ĐIỂM 10 ]]&lt;10,Table1[[#This Row],[ĐIỂM 10 ]]&gt;=9),9,IF(AND(Table1[[#This Row],[ĐIỂM 10 ]]&lt;9,Table1[[#This Row],[ĐIỂM 10 ]]&gt;=8),8,0)))</f>
        <v>0</v>
      </c>
    </row>
    <row r="119" spans="6:22" ht="18" customHeight="1" x14ac:dyDescent="0.45">
      <c r="F119" s="72">
        <v>118</v>
      </c>
      <c r="K119" s="82"/>
      <c r="M119" s="5">
        <f>IF(AND(LEN(Table1[[#This Row],[MÔN HỌC]])&gt;0,Table1[[#This Row],[SỐ TÍN CHỈ]]&gt;0,Table1[[#This Row],[ĐIỂM 10 ]]&gt;0),1,0)</f>
        <v>0</v>
      </c>
      <c r="N119" s="20">
        <f>IF(Table1[[#This Row],[ĐIỂM 10 ]]="",1,0)</f>
        <v>1</v>
      </c>
      <c r="O119" s="8">
        <f>IF(OR(Table1[[#This Row],[CHỮ]]="A",Table1[[#This Row],[CHỮ]]="A+"),Table1[[#This Row],[SỐ TÍN CHỈ]]*4,0)</f>
        <v>0</v>
      </c>
      <c r="P119" s="8">
        <f>IF(Table1[[#This Row],[CHỮ]]="B",Table1[[#This Row],[SỐ TÍN CHỈ]]*3,0)</f>
        <v>0</v>
      </c>
      <c r="Q119" s="8">
        <f>IF(Table1[[#This Row],[CHỮ]]="B+",Table1[[#This Row],[SỐ TÍN CHỈ]]*3.5,0)</f>
        <v>0</v>
      </c>
      <c r="R119" s="8">
        <f>IF(Table1[[#This Row],[CHỮ]]="C",Table1[[#This Row],[SỐ TÍN CHỈ]]*2,0)</f>
        <v>0</v>
      </c>
      <c r="S119" s="8">
        <f>IF(Table1[[#This Row],[CHỮ]]="C+",Table1[[#This Row],[SỐ TÍN CHỈ]]*2.5,0)</f>
        <v>0</v>
      </c>
      <c r="T119" s="8">
        <f>IF(Table1[[#This Row],[CHỮ]]="D",Table1[[#This Row],[SỐ TÍN CHỈ]]*1,0)</f>
        <v>0</v>
      </c>
      <c r="U119" s="8">
        <f>IF(Table1[[#This Row],[CHỮ]]="F",Table1[[#This Row],[SỐ TÍN CHỈ]]*0,0)</f>
        <v>0</v>
      </c>
      <c r="V119" s="21">
        <f>IF(Table1[[#This Row],[ĐIỂM 10 ]]=10,10,IF(AND(Table1[[#This Row],[ĐIỂM 10 ]]&lt;10,Table1[[#This Row],[ĐIỂM 10 ]]&gt;=9),9,IF(AND(Table1[[#This Row],[ĐIỂM 10 ]]&lt;9,Table1[[#This Row],[ĐIỂM 10 ]]&gt;=8),8,0)))</f>
        <v>0</v>
      </c>
    </row>
    <row r="120" spans="6:22" ht="18" customHeight="1" x14ac:dyDescent="0.45">
      <c r="F120" s="72">
        <v>119</v>
      </c>
      <c r="K120" s="82"/>
      <c r="M120" s="5">
        <f>IF(AND(LEN(Table1[[#This Row],[MÔN HỌC]])&gt;0,Table1[[#This Row],[SỐ TÍN CHỈ]]&gt;0,Table1[[#This Row],[ĐIỂM 10 ]]&gt;0),1,0)</f>
        <v>0</v>
      </c>
      <c r="N120" s="20">
        <f>IF(Table1[[#This Row],[ĐIỂM 10 ]]="",1,0)</f>
        <v>1</v>
      </c>
      <c r="O120" s="8">
        <f>IF(OR(Table1[[#This Row],[CHỮ]]="A",Table1[[#This Row],[CHỮ]]="A+"),Table1[[#This Row],[SỐ TÍN CHỈ]]*4,0)</f>
        <v>0</v>
      </c>
      <c r="P120" s="8">
        <f>IF(Table1[[#This Row],[CHỮ]]="B",Table1[[#This Row],[SỐ TÍN CHỈ]]*3,0)</f>
        <v>0</v>
      </c>
      <c r="Q120" s="8">
        <f>IF(Table1[[#This Row],[CHỮ]]="B+",Table1[[#This Row],[SỐ TÍN CHỈ]]*3.5,0)</f>
        <v>0</v>
      </c>
      <c r="R120" s="8">
        <f>IF(Table1[[#This Row],[CHỮ]]="C",Table1[[#This Row],[SỐ TÍN CHỈ]]*2,0)</f>
        <v>0</v>
      </c>
      <c r="S120" s="8">
        <f>IF(Table1[[#This Row],[CHỮ]]="C+",Table1[[#This Row],[SỐ TÍN CHỈ]]*2.5,0)</f>
        <v>0</v>
      </c>
      <c r="T120" s="8">
        <f>IF(Table1[[#This Row],[CHỮ]]="D",Table1[[#This Row],[SỐ TÍN CHỈ]]*1,0)</f>
        <v>0</v>
      </c>
      <c r="U120" s="8">
        <f>IF(Table1[[#This Row],[CHỮ]]="F",Table1[[#This Row],[SỐ TÍN CHỈ]]*0,0)</f>
        <v>0</v>
      </c>
      <c r="V120" s="21">
        <f>IF(Table1[[#This Row],[ĐIỂM 10 ]]=10,10,IF(AND(Table1[[#This Row],[ĐIỂM 10 ]]&lt;10,Table1[[#This Row],[ĐIỂM 10 ]]&gt;=9),9,IF(AND(Table1[[#This Row],[ĐIỂM 10 ]]&lt;9,Table1[[#This Row],[ĐIỂM 10 ]]&gt;=8),8,0)))</f>
        <v>0</v>
      </c>
    </row>
    <row r="121" spans="6:22" ht="18" customHeight="1" x14ac:dyDescent="0.45">
      <c r="F121" s="72">
        <v>120</v>
      </c>
      <c r="K121" s="82"/>
      <c r="M121" s="5">
        <f>IF(AND(LEN(Table1[[#This Row],[MÔN HỌC]])&gt;0,Table1[[#This Row],[SỐ TÍN CHỈ]]&gt;0,Table1[[#This Row],[ĐIỂM 10 ]]&gt;0),1,0)</f>
        <v>0</v>
      </c>
      <c r="N121" s="20">
        <f>IF(Table1[[#This Row],[ĐIỂM 10 ]]="",1,0)</f>
        <v>1</v>
      </c>
      <c r="O121" s="8">
        <f>IF(OR(Table1[[#This Row],[CHỮ]]="A",Table1[[#This Row],[CHỮ]]="A+"),Table1[[#This Row],[SỐ TÍN CHỈ]]*4,0)</f>
        <v>0</v>
      </c>
      <c r="P121" s="8">
        <f>IF(Table1[[#This Row],[CHỮ]]="B",Table1[[#This Row],[SỐ TÍN CHỈ]]*3,0)</f>
        <v>0</v>
      </c>
      <c r="Q121" s="8">
        <f>IF(Table1[[#This Row],[CHỮ]]="B+",Table1[[#This Row],[SỐ TÍN CHỈ]]*3.5,0)</f>
        <v>0</v>
      </c>
      <c r="R121" s="8">
        <f>IF(Table1[[#This Row],[CHỮ]]="C",Table1[[#This Row],[SỐ TÍN CHỈ]]*2,0)</f>
        <v>0</v>
      </c>
      <c r="S121" s="8">
        <f>IF(Table1[[#This Row],[CHỮ]]="C+",Table1[[#This Row],[SỐ TÍN CHỈ]]*2.5,0)</f>
        <v>0</v>
      </c>
      <c r="T121" s="8">
        <f>IF(Table1[[#This Row],[CHỮ]]="D",Table1[[#This Row],[SỐ TÍN CHỈ]]*1,0)</f>
        <v>0</v>
      </c>
      <c r="U121" s="8">
        <f>IF(Table1[[#This Row],[CHỮ]]="F",Table1[[#This Row],[SỐ TÍN CHỈ]]*0,0)</f>
        <v>0</v>
      </c>
      <c r="V121" s="21">
        <f>IF(Table1[[#This Row],[ĐIỂM 10 ]]=10,10,IF(AND(Table1[[#This Row],[ĐIỂM 10 ]]&lt;10,Table1[[#This Row],[ĐIỂM 10 ]]&gt;=9),9,IF(AND(Table1[[#This Row],[ĐIỂM 10 ]]&lt;9,Table1[[#This Row],[ĐIỂM 10 ]]&gt;=8),8,0)))</f>
        <v>0</v>
      </c>
    </row>
    <row r="122" spans="6:22" ht="18" customHeight="1" x14ac:dyDescent="0.45">
      <c r="F122" s="72">
        <v>121</v>
      </c>
      <c r="K122" s="82"/>
      <c r="M122" s="5">
        <f>IF(AND(LEN(Table1[[#This Row],[MÔN HỌC]])&gt;0,Table1[[#This Row],[SỐ TÍN CHỈ]]&gt;0,Table1[[#This Row],[ĐIỂM 10 ]]&gt;0),1,0)</f>
        <v>0</v>
      </c>
      <c r="N122" s="20">
        <f>IF(Table1[[#This Row],[ĐIỂM 10 ]]="",1,0)</f>
        <v>1</v>
      </c>
      <c r="O122" s="8">
        <f>IF(OR(Table1[[#This Row],[CHỮ]]="A",Table1[[#This Row],[CHỮ]]="A+"),Table1[[#This Row],[SỐ TÍN CHỈ]]*4,0)</f>
        <v>0</v>
      </c>
      <c r="P122" s="8">
        <f>IF(Table1[[#This Row],[CHỮ]]="B",Table1[[#This Row],[SỐ TÍN CHỈ]]*3,0)</f>
        <v>0</v>
      </c>
      <c r="Q122" s="8">
        <f>IF(Table1[[#This Row],[CHỮ]]="B+",Table1[[#This Row],[SỐ TÍN CHỈ]]*3.5,0)</f>
        <v>0</v>
      </c>
      <c r="R122" s="8">
        <f>IF(Table1[[#This Row],[CHỮ]]="C",Table1[[#This Row],[SỐ TÍN CHỈ]]*2,0)</f>
        <v>0</v>
      </c>
      <c r="S122" s="8">
        <f>IF(Table1[[#This Row],[CHỮ]]="C+",Table1[[#This Row],[SỐ TÍN CHỈ]]*2.5,0)</f>
        <v>0</v>
      </c>
      <c r="T122" s="8">
        <f>IF(Table1[[#This Row],[CHỮ]]="D",Table1[[#This Row],[SỐ TÍN CHỈ]]*1,0)</f>
        <v>0</v>
      </c>
      <c r="U122" s="8">
        <f>IF(Table1[[#This Row],[CHỮ]]="F",Table1[[#This Row],[SỐ TÍN CHỈ]]*0,0)</f>
        <v>0</v>
      </c>
      <c r="V122" s="21">
        <f>IF(Table1[[#This Row],[ĐIỂM 10 ]]=10,10,IF(AND(Table1[[#This Row],[ĐIỂM 10 ]]&lt;10,Table1[[#This Row],[ĐIỂM 10 ]]&gt;=9),9,IF(AND(Table1[[#This Row],[ĐIỂM 10 ]]&lt;9,Table1[[#This Row],[ĐIỂM 10 ]]&gt;=8),8,0)))</f>
        <v>0</v>
      </c>
    </row>
    <row r="123" spans="6:22" ht="18" customHeight="1" x14ac:dyDescent="0.45">
      <c r="F123" s="72">
        <v>122</v>
      </c>
      <c r="K123" s="82"/>
      <c r="M123" s="5">
        <f>IF(AND(LEN(Table1[[#This Row],[MÔN HỌC]])&gt;0,Table1[[#This Row],[SỐ TÍN CHỈ]]&gt;0,Table1[[#This Row],[ĐIỂM 10 ]]&gt;0),1,0)</f>
        <v>0</v>
      </c>
      <c r="N123" s="20">
        <f>IF(Table1[[#This Row],[ĐIỂM 10 ]]="",1,0)</f>
        <v>1</v>
      </c>
      <c r="O123" s="8">
        <f>IF(OR(Table1[[#This Row],[CHỮ]]="A",Table1[[#This Row],[CHỮ]]="A+"),Table1[[#This Row],[SỐ TÍN CHỈ]]*4,0)</f>
        <v>0</v>
      </c>
      <c r="P123" s="8">
        <f>IF(Table1[[#This Row],[CHỮ]]="B",Table1[[#This Row],[SỐ TÍN CHỈ]]*3,0)</f>
        <v>0</v>
      </c>
      <c r="Q123" s="8">
        <f>IF(Table1[[#This Row],[CHỮ]]="B+",Table1[[#This Row],[SỐ TÍN CHỈ]]*3.5,0)</f>
        <v>0</v>
      </c>
      <c r="R123" s="8">
        <f>IF(Table1[[#This Row],[CHỮ]]="C",Table1[[#This Row],[SỐ TÍN CHỈ]]*2,0)</f>
        <v>0</v>
      </c>
      <c r="S123" s="8">
        <f>IF(Table1[[#This Row],[CHỮ]]="C+",Table1[[#This Row],[SỐ TÍN CHỈ]]*2.5,0)</f>
        <v>0</v>
      </c>
      <c r="T123" s="8">
        <f>IF(Table1[[#This Row],[CHỮ]]="D",Table1[[#This Row],[SỐ TÍN CHỈ]]*1,0)</f>
        <v>0</v>
      </c>
      <c r="U123" s="8">
        <f>IF(Table1[[#This Row],[CHỮ]]="F",Table1[[#This Row],[SỐ TÍN CHỈ]]*0,0)</f>
        <v>0</v>
      </c>
      <c r="V123" s="21">
        <f>IF(Table1[[#This Row],[ĐIỂM 10 ]]=10,10,IF(AND(Table1[[#This Row],[ĐIỂM 10 ]]&lt;10,Table1[[#This Row],[ĐIỂM 10 ]]&gt;=9),9,IF(AND(Table1[[#This Row],[ĐIỂM 10 ]]&lt;9,Table1[[#This Row],[ĐIỂM 10 ]]&gt;=8),8,0)))</f>
        <v>0</v>
      </c>
    </row>
    <row r="124" spans="6:22" ht="18" customHeight="1" x14ac:dyDescent="0.45">
      <c r="F124" s="72">
        <v>123</v>
      </c>
      <c r="K124" s="82"/>
      <c r="M124" s="5">
        <f>IF(AND(LEN(Table1[[#This Row],[MÔN HỌC]])&gt;0,Table1[[#This Row],[SỐ TÍN CHỈ]]&gt;0,Table1[[#This Row],[ĐIỂM 10 ]]&gt;0),1,0)</f>
        <v>0</v>
      </c>
      <c r="N124" s="20">
        <f>IF(Table1[[#This Row],[ĐIỂM 10 ]]="",1,0)</f>
        <v>1</v>
      </c>
      <c r="O124" s="8">
        <f>IF(OR(Table1[[#This Row],[CHỮ]]="A",Table1[[#This Row],[CHỮ]]="A+"),Table1[[#This Row],[SỐ TÍN CHỈ]]*4,0)</f>
        <v>0</v>
      </c>
      <c r="P124" s="8">
        <f>IF(Table1[[#This Row],[CHỮ]]="B",Table1[[#This Row],[SỐ TÍN CHỈ]]*3,0)</f>
        <v>0</v>
      </c>
      <c r="Q124" s="8">
        <f>IF(Table1[[#This Row],[CHỮ]]="B+",Table1[[#This Row],[SỐ TÍN CHỈ]]*3.5,0)</f>
        <v>0</v>
      </c>
      <c r="R124" s="8">
        <f>IF(Table1[[#This Row],[CHỮ]]="C",Table1[[#This Row],[SỐ TÍN CHỈ]]*2,0)</f>
        <v>0</v>
      </c>
      <c r="S124" s="8">
        <f>IF(Table1[[#This Row],[CHỮ]]="C+",Table1[[#This Row],[SỐ TÍN CHỈ]]*2.5,0)</f>
        <v>0</v>
      </c>
      <c r="T124" s="8">
        <f>IF(Table1[[#This Row],[CHỮ]]="D",Table1[[#This Row],[SỐ TÍN CHỈ]]*1,0)</f>
        <v>0</v>
      </c>
      <c r="U124" s="8">
        <f>IF(Table1[[#This Row],[CHỮ]]="F",Table1[[#This Row],[SỐ TÍN CHỈ]]*0,0)</f>
        <v>0</v>
      </c>
      <c r="V124" s="21">
        <f>IF(Table1[[#This Row],[ĐIỂM 10 ]]=10,10,IF(AND(Table1[[#This Row],[ĐIỂM 10 ]]&lt;10,Table1[[#This Row],[ĐIỂM 10 ]]&gt;=9),9,IF(AND(Table1[[#This Row],[ĐIỂM 10 ]]&lt;9,Table1[[#This Row],[ĐIỂM 10 ]]&gt;=8),8,0)))</f>
        <v>0</v>
      </c>
    </row>
    <row r="125" spans="6:22" ht="18" customHeight="1" x14ac:dyDescent="0.45">
      <c r="F125" s="72">
        <v>124</v>
      </c>
      <c r="K125" s="82"/>
      <c r="M125" s="5">
        <f>IF(AND(LEN(Table1[[#This Row],[MÔN HỌC]])&gt;0,Table1[[#This Row],[SỐ TÍN CHỈ]]&gt;0,Table1[[#This Row],[ĐIỂM 10 ]]&gt;0),1,0)</f>
        <v>0</v>
      </c>
      <c r="N125" s="20">
        <f>IF(Table1[[#This Row],[ĐIỂM 10 ]]="",1,0)</f>
        <v>1</v>
      </c>
      <c r="O125" s="8">
        <f>IF(OR(Table1[[#This Row],[CHỮ]]="A",Table1[[#This Row],[CHỮ]]="A+"),Table1[[#This Row],[SỐ TÍN CHỈ]]*4,0)</f>
        <v>0</v>
      </c>
      <c r="P125" s="8">
        <f>IF(Table1[[#This Row],[CHỮ]]="B",Table1[[#This Row],[SỐ TÍN CHỈ]]*3,0)</f>
        <v>0</v>
      </c>
      <c r="Q125" s="8">
        <f>IF(Table1[[#This Row],[CHỮ]]="B+",Table1[[#This Row],[SỐ TÍN CHỈ]]*3.5,0)</f>
        <v>0</v>
      </c>
      <c r="R125" s="8">
        <f>IF(Table1[[#This Row],[CHỮ]]="C",Table1[[#This Row],[SỐ TÍN CHỈ]]*2,0)</f>
        <v>0</v>
      </c>
      <c r="S125" s="8">
        <f>IF(Table1[[#This Row],[CHỮ]]="C+",Table1[[#This Row],[SỐ TÍN CHỈ]]*2.5,0)</f>
        <v>0</v>
      </c>
      <c r="T125" s="8">
        <f>IF(Table1[[#This Row],[CHỮ]]="D",Table1[[#This Row],[SỐ TÍN CHỈ]]*1,0)</f>
        <v>0</v>
      </c>
      <c r="U125" s="8">
        <f>IF(Table1[[#This Row],[CHỮ]]="F",Table1[[#This Row],[SỐ TÍN CHỈ]]*0,0)</f>
        <v>0</v>
      </c>
      <c r="V125" s="21">
        <f>IF(Table1[[#This Row],[ĐIỂM 10 ]]=10,10,IF(AND(Table1[[#This Row],[ĐIỂM 10 ]]&lt;10,Table1[[#This Row],[ĐIỂM 10 ]]&gt;=9),9,IF(AND(Table1[[#This Row],[ĐIỂM 10 ]]&lt;9,Table1[[#This Row],[ĐIỂM 10 ]]&gt;=8),8,0)))</f>
        <v>0</v>
      </c>
    </row>
    <row r="126" spans="6:22" ht="18" customHeight="1" x14ac:dyDescent="0.45">
      <c r="F126" s="72">
        <v>125</v>
      </c>
      <c r="K126" s="82"/>
      <c r="M126" s="5">
        <f>IF(AND(LEN(Table1[[#This Row],[MÔN HỌC]])&gt;0,Table1[[#This Row],[SỐ TÍN CHỈ]]&gt;0,Table1[[#This Row],[ĐIỂM 10 ]]&gt;0),1,0)</f>
        <v>0</v>
      </c>
      <c r="N126" s="20">
        <f>IF(Table1[[#This Row],[ĐIỂM 10 ]]="",1,0)</f>
        <v>1</v>
      </c>
      <c r="O126" s="8">
        <f>IF(OR(Table1[[#This Row],[CHỮ]]="A",Table1[[#This Row],[CHỮ]]="A+"),Table1[[#This Row],[SỐ TÍN CHỈ]]*4,0)</f>
        <v>0</v>
      </c>
      <c r="P126" s="8">
        <f>IF(Table1[[#This Row],[CHỮ]]="B",Table1[[#This Row],[SỐ TÍN CHỈ]]*3,0)</f>
        <v>0</v>
      </c>
      <c r="Q126" s="8">
        <f>IF(Table1[[#This Row],[CHỮ]]="B+",Table1[[#This Row],[SỐ TÍN CHỈ]]*3.5,0)</f>
        <v>0</v>
      </c>
      <c r="R126" s="8">
        <f>IF(Table1[[#This Row],[CHỮ]]="C",Table1[[#This Row],[SỐ TÍN CHỈ]]*2,0)</f>
        <v>0</v>
      </c>
      <c r="S126" s="8">
        <f>IF(Table1[[#This Row],[CHỮ]]="C+",Table1[[#This Row],[SỐ TÍN CHỈ]]*2.5,0)</f>
        <v>0</v>
      </c>
      <c r="T126" s="8">
        <f>IF(Table1[[#This Row],[CHỮ]]="D",Table1[[#This Row],[SỐ TÍN CHỈ]]*1,0)</f>
        <v>0</v>
      </c>
      <c r="U126" s="8">
        <f>IF(Table1[[#This Row],[CHỮ]]="F",Table1[[#This Row],[SỐ TÍN CHỈ]]*0,0)</f>
        <v>0</v>
      </c>
      <c r="V126" s="21">
        <f>IF(Table1[[#This Row],[ĐIỂM 10 ]]=10,10,IF(AND(Table1[[#This Row],[ĐIỂM 10 ]]&lt;10,Table1[[#This Row],[ĐIỂM 10 ]]&gt;=9),9,IF(AND(Table1[[#This Row],[ĐIỂM 10 ]]&lt;9,Table1[[#This Row],[ĐIỂM 10 ]]&gt;=8),8,0)))</f>
        <v>0</v>
      </c>
    </row>
    <row r="127" spans="6:22" ht="18" customHeight="1" x14ac:dyDescent="0.45">
      <c r="F127" s="72">
        <v>126</v>
      </c>
      <c r="K127" s="82"/>
      <c r="M127" s="5">
        <f>IF(AND(LEN(Table1[[#This Row],[MÔN HỌC]])&gt;0,Table1[[#This Row],[SỐ TÍN CHỈ]]&gt;0,Table1[[#This Row],[ĐIỂM 10 ]]&gt;0),1,0)</f>
        <v>0</v>
      </c>
      <c r="N127" s="20">
        <f>IF(Table1[[#This Row],[ĐIỂM 10 ]]="",1,0)</f>
        <v>1</v>
      </c>
      <c r="O127" s="8">
        <f>IF(OR(Table1[[#This Row],[CHỮ]]="A",Table1[[#This Row],[CHỮ]]="A+"),Table1[[#This Row],[SỐ TÍN CHỈ]]*4,0)</f>
        <v>0</v>
      </c>
      <c r="P127" s="8">
        <f>IF(Table1[[#This Row],[CHỮ]]="B",Table1[[#This Row],[SỐ TÍN CHỈ]]*3,0)</f>
        <v>0</v>
      </c>
      <c r="Q127" s="8">
        <f>IF(Table1[[#This Row],[CHỮ]]="B+",Table1[[#This Row],[SỐ TÍN CHỈ]]*3.5,0)</f>
        <v>0</v>
      </c>
      <c r="R127" s="8">
        <f>IF(Table1[[#This Row],[CHỮ]]="C",Table1[[#This Row],[SỐ TÍN CHỈ]]*2,0)</f>
        <v>0</v>
      </c>
      <c r="S127" s="8">
        <f>IF(Table1[[#This Row],[CHỮ]]="C+",Table1[[#This Row],[SỐ TÍN CHỈ]]*2.5,0)</f>
        <v>0</v>
      </c>
      <c r="T127" s="8">
        <f>IF(Table1[[#This Row],[CHỮ]]="D",Table1[[#This Row],[SỐ TÍN CHỈ]]*1,0)</f>
        <v>0</v>
      </c>
      <c r="U127" s="8">
        <f>IF(Table1[[#This Row],[CHỮ]]="F",Table1[[#This Row],[SỐ TÍN CHỈ]]*0,0)</f>
        <v>0</v>
      </c>
      <c r="V127" s="21">
        <f>IF(Table1[[#This Row],[ĐIỂM 10 ]]=10,10,IF(AND(Table1[[#This Row],[ĐIỂM 10 ]]&lt;10,Table1[[#This Row],[ĐIỂM 10 ]]&gt;=9),9,IF(AND(Table1[[#This Row],[ĐIỂM 10 ]]&lt;9,Table1[[#This Row],[ĐIỂM 10 ]]&gt;=8),8,0)))</f>
        <v>0</v>
      </c>
    </row>
    <row r="128" spans="6:22" ht="18" customHeight="1" x14ac:dyDescent="0.45">
      <c r="F128" s="72">
        <v>127</v>
      </c>
      <c r="K128" s="82"/>
      <c r="M128" s="5">
        <f>IF(AND(LEN(Table1[[#This Row],[MÔN HỌC]])&gt;0,Table1[[#This Row],[SỐ TÍN CHỈ]]&gt;0,Table1[[#This Row],[ĐIỂM 10 ]]&gt;0),1,0)</f>
        <v>0</v>
      </c>
      <c r="N128" s="20">
        <f>IF(Table1[[#This Row],[ĐIỂM 10 ]]="",1,0)</f>
        <v>1</v>
      </c>
      <c r="O128" s="8">
        <f>IF(OR(Table1[[#This Row],[CHỮ]]="A",Table1[[#This Row],[CHỮ]]="A+"),Table1[[#This Row],[SỐ TÍN CHỈ]]*4,0)</f>
        <v>0</v>
      </c>
      <c r="P128" s="8">
        <f>IF(Table1[[#This Row],[CHỮ]]="B",Table1[[#This Row],[SỐ TÍN CHỈ]]*3,0)</f>
        <v>0</v>
      </c>
      <c r="Q128" s="8">
        <f>IF(Table1[[#This Row],[CHỮ]]="B+",Table1[[#This Row],[SỐ TÍN CHỈ]]*3.5,0)</f>
        <v>0</v>
      </c>
      <c r="R128" s="8">
        <f>IF(Table1[[#This Row],[CHỮ]]="C",Table1[[#This Row],[SỐ TÍN CHỈ]]*2,0)</f>
        <v>0</v>
      </c>
      <c r="S128" s="8">
        <f>IF(Table1[[#This Row],[CHỮ]]="C+",Table1[[#This Row],[SỐ TÍN CHỈ]]*2.5,0)</f>
        <v>0</v>
      </c>
      <c r="T128" s="8">
        <f>IF(Table1[[#This Row],[CHỮ]]="D",Table1[[#This Row],[SỐ TÍN CHỈ]]*1,0)</f>
        <v>0</v>
      </c>
      <c r="U128" s="8">
        <f>IF(Table1[[#This Row],[CHỮ]]="F",Table1[[#This Row],[SỐ TÍN CHỈ]]*0,0)</f>
        <v>0</v>
      </c>
      <c r="V128" s="21">
        <f>IF(Table1[[#This Row],[ĐIỂM 10 ]]=10,10,IF(AND(Table1[[#This Row],[ĐIỂM 10 ]]&lt;10,Table1[[#This Row],[ĐIỂM 10 ]]&gt;=9),9,IF(AND(Table1[[#This Row],[ĐIỂM 10 ]]&lt;9,Table1[[#This Row],[ĐIỂM 10 ]]&gt;=8),8,0)))</f>
        <v>0</v>
      </c>
    </row>
    <row r="129" spans="6:22" ht="18" customHeight="1" x14ac:dyDescent="0.45">
      <c r="F129" s="72">
        <v>128</v>
      </c>
      <c r="K129" s="82"/>
      <c r="M129" s="5">
        <f>IF(AND(LEN(Table1[[#This Row],[MÔN HỌC]])&gt;0,Table1[[#This Row],[SỐ TÍN CHỈ]]&gt;0,Table1[[#This Row],[ĐIỂM 10 ]]&gt;0),1,0)</f>
        <v>0</v>
      </c>
      <c r="N129" s="20">
        <f>IF(Table1[[#This Row],[ĐIỂM 10 ]]="",1,0)</f>
        <v>1</v>
      </c>
      <c r="O129" s="8">
        <f>IF(OR(Table1[[#This Row],[CHỮ]]="A",Table1[[#This Row],[CHỮ]]="A+"),Table1[[#This Row],[SỐ TÍN CHỈ]]*4,0)</f>
        <v>0</v>
      </c>
      <c r="P129" s="8">
        <f>IF(Table1[[#This Row],[CHỮ]]="B",Table1[[#This Row],[SỐ TÍN CHỈ]]*3,0)</f>
        <v>0</v>
      </c>
      <c r="Q129" s="8">
        <f>IF(Table1[[#This Row],[CHỮ]]="B+",Table1[[#This Row],[SỐ TÍN CHỈ]]*3.5,0)</f>
        <v>0</v>
      </c>
      <c r="R129" s="8">
        <f>IF(Table1[[#This Row],[CHỮ]]="C",Table1[[#This Row],[SỐ TÍN CHỈ]]*2,0)</f>
        <v>0</v>
      </c>
      <c r="S129" s="8">
        <f>IF(Table1[[#This Row],[CHỮ]]="C+",Table1[[#This Row],[SỐ TÍN CHỈ]]*2.5,0)</f>
        <v>0</v>
      </c>
      <c r="T129" s="8">
        <f>IF(Table1[[#This Row],[CHỮ]]="D",Table1[[#This Row],[SỐ TÍN CHỈ]]*1,0)</f>
        <v>0</v>
      </c>
      <c r="U129" s="8">
        <f>IF(Table1[[#This Row],[CHỮ]]="F",Table1[[#This Row],[SỐ TÍN CHỈ]]*0,0)</f>
        <v>0</v>
      </c>
      <c r="V129" s="21">
        <f>IF(Table1[[#This Row],[ĐIỂM 10 ]]=10,10,IF(AND(Table1[[#This Row],[ĐIỂM 10 ]]&lt;10,Table1[[#This Row],[ĐIỂM 10 ]]&gt;=9),9,IF(AND(Table1[[#This Row],[ĐIỂM 10 ]]&lt;9,Table1[[#This Row],[ĐIỂM 10 ]]&gt;=8),8,0)))</f>
        <v>0</v>
      </c>
    </row>
    <row r="130" spans="6:22" ht="18" customHeight="1" x14ac:dyDescent="0.45">
      <c r="F130" s="72">
        <v>129</v>
      </c>
      <c r="K130" s="82"/>
      <c r="M130" s="5">
        <f>IF(AND(LEN(Table1[[#This Row],[MÔN HỌC]])&gt;0,Table1[[#This Row],[SỐ TÍN CHỈ]]&gt;0,Table1[[#This Row],[ĐIỂM 10 ]]&gt;0),1,0)</f>
        <v>0</v>
      </c>
      <c r="N130" s="20">
        <f>IF(Table1[[#This Row],[ĐIỂM 10 ]]="",1,0)</f>
        <v>1</v>
      </c>
      <c r="O130" s="8">
        <f>IF(OR(Table1[[#This Row],[CHỮ]]="A",Table1[[#This Row],[CHỮ]]="A+"),Table1[[#This Row],[SỐ TÍN CHỈ]]*4,0)</f>
        <v>0</v>
      </c>
      <c r="P130" s="8">
        <f>IF(Table1[[#This Row],[CHỮ]]="B",Table1[[#This Row],[SỐ TÍN CHỈ]]*3,0)</f>
        <v>0</v>
      </c>
      <c r="Q130" s="8">
        <f>IF(Table1[[#This Row],[CHỮ]]="B+",Table1[[#This Row],[SỐ TÍN CHỈ]]*3.5,0)</f>
        <v>0</v>
      </c>
      <c r="R130" s="8">
        <f>IF(Table1[[#This Row],[CHỮ]]="C",Table1[[#This Row],[SỐ TÍN CHỈ]]*2,0)</f>
        <v>0</v>
      </c>
      <c r="S130" s="8">
        <f>IF(Table1[[#This Row],[CHỮ]]="C+",Table1[[#This Row],[SỐ TÍN CHỈ]]*2.5,0)</f>
        <v>0</v>
      </c>
      <c r="T130" s="8">
        <f>IF(Table1[[#This Row],[CHỮ]]="D",Table1[[#This Row],[SỐ TÍN CHỈ]]*1,0)</f>
        <v>0</v>
      </c>
      <c r="U130" s="8">
        <f>IF(Table1[[#This Row],[CHỮ]]="F",Table1[[#This Row],[SỐ TÍN CHỈ]]*0,0)</f>
        <v>0</v>
      </c>
      <c r="V130" s="21">
        <f>IF(Table1[[#This Row],[ĐIỂM 10 ]]=10,10,IF(AND(Table1[[#This Row],[ĐIỂM 10 ]]&lt;10,Table1[[#This Row],[ĐIỂM 10 ]]&gt;=9),9,IF(AND(Table1[[#This Row],[ĐIỂM 10 ]]&lt;9,Table1[[#This Row],[ĐIỂM 10 ]]&gt;=8),8,0)))</f>
        <v>0</v>
      </c>
    </row>
    <row r="131" spans="6:22" ht="18" customHeight="1" x14ac:dyDescent="0.45">
      <c r="F131" s="72">
        <v>130</v>
      </c>
      <c r="K131" s="82"/>
      <c r="M131" s="5">
        <f>IF(AND(LEN(Table1[[#This Row],[MÔN HỌC]])&gt;0,Table1[[#This Row],[SỐ TÍN CHỈ]]&gt;0,Table1[[#This Row],[ĐIỂM 10 ]]&gt;0),1,0)</f>
        <v>0</v>
      </c>
      <c r="N131" s="20">
        <f>IF(Table1[[#This Row],[ĐIỂM 10 ]]="",1,0)</f>
        <v>1</v>
      </c>
      <c r="O131" s="8">
        <f>IF(OR(Table1[[#This Row],[CHỮ]]="A",Table1[[#This Row],[CHỮ]]="A+"),Table1[[#This Row],[SỐ TÍN CHỈ]]*4,0)</f>
        <v>0</v>
      </c>
      <c r="P131" s="8">
        <f>IF(Table1[[#This Row],[CHỮ]]="B",Table1[[#This Row],[SỐ TÍN CHỈ]]*3,0)</f>
        <v>0</v>
      </c>
      <c r="Q131" s="8">
        <f>IF(Table1[[#This Row],[CHỮ]]="B+",Table1[[#This Row],[SỐ TÍN CHỈ]]*3.5,0)</f>
        <v>0</v>
      </c>
      <c r="R131" s="8">
        <f>IF(Table1[[#This Row],[CHỮ]]="C",Table1[[#This Row],[SỐ TÍN CHỈ]]*2,0)</f>
        <v>0</v>
      </c>
      <c r="S131" s="8">
        <f>IF(Table1[[#This Row],[CHỮ]]="C+",Table1[[#This Row],[SỐ TÍN CHỈ]]*2.5,0)</f>
        <v>0</v>
      </c>
      <c r="T131" s="8">
        <f>IF(Table1[[#This Row],[CHỮ]]="D",Table1[[#This Row],[SỐ TÍN CHỈ]]*1,0)</f>
        <v>0</v>
      </c>
      <c r="U131" s="8">
        <f>IF(Table1[[#This Row],[CHỮ]]="F",Table1[[#This Row],[SỐ TÍN CHỈ]]*0,0)</f>
        <v>0</v>
      </c>
      <c r="V131" s="21">
        <f>IF(Table1[[#This Row],[ĐIỂM 10 ]]=10,10,IF(AND(Table1[[#This Row],[ĐIỂM 10 ]]&lt;10,Table1[[#This Row],[ĐIỂM 10 ]]&gt;=9),9,IF(AND(Table1[[#This Row],[ĐIỂM 10 ]]&lt;9,Table1[[#This Row],[ĐIỂM 10 ]]&gt;=8),8,0)))</f>
        <v>0</v>
      </c>
    </row>
    <row r="132" spans="6:22" ht="18" customHeight="1" x14ac:dyDescent="0.45">
      <c r="F132" s="72">
        <v>131</v>
      </c>
      <c r="K132" s="82"/>
      <c r="M132" s="5">
        <f>IF(AND(LEN(Table1[[#This Row],[MÔN HỌC]])&gt;0,Table1[[#This Row],[SỐ TÍN CHỈ]]&gt;0,Table1[[#This Row],[ĐIỂM 10 ]]&gt;0),1,0)</f>
        <v>0</v>
      </c>
      <c r="N132" s="20">
        <f>IF(Table1[[#This Row],[ĐIỂM 10 ]]="",1,0)</f>
        <v>1</v>
      </c>
      <c r="O132" s="8">
        <f>IF(OR(Table1[[#This Row],[CHỮ]]="A",Table1[[#This Row],[CHỮ]]="A+"),Table1[[#This Row],[SỐ TÍN CHỈ]]*4,0)</f>
        <v>0</v>
      </c>
      <c r="P132" s="8">
        <f>IF(Table1[[#This Row],[CHỮ]]="B",Table1[[#This Row],[SỐ TÍN CHỈ]]*3,0)</f>
        <v>0</v>
      </c>
      <c r="Q132" s="8">
        <f>IF(Table1[[#This Row],[CHỮ]]="B+",Table1[[#This Row],[SỐ TÍN CHỈ]]*3.5,0)</f>
        <v>0</v>
      </c>
      <c r="R132" s="8">
        <f>IF(Table1[[#This Row],[CHỮ]]="C",Table1[[#This Row],[SỐ TÍN CHỈ]]*2,0)</f>
        <v>0</v>
      </c>
      <c r="S132" s="8">
        <f>IF(Table1[[#This Row],[CHỮ]]="C+",Table1[[#This Row],[SỐ TÍN CHỈ]]*2.5,0)</f>
        <v>0</v>
      </c>
      <c r="T132" s="8">
        <f>IF(Table1[[#This Row],[CHỮ]]="D",Table1[[#This Row],[SỐ TÍN CHỈ]]*1,0)</f>
        <v>0</v>
      </c>
      <c r="U132" s="8">
        <f>IF(Table1[[#This Row],[CHỮ]]="F",Table1[[#This Row],[SỐ TÍN CHỈ]]*0,0)</f>
        <v>0</v>
      </c>
      <c r="V132" s="21">
        <f>IF(Table1[[#This Row],[ĐIỂM 10 ]]=10,10,IF(AND(Table1[[#This Row],[ĐIỂM 10 ]]&lt;10,Table1[[#This Row],[ĐIỂM 10 ]]&gt;=9),9,IF(AND(Table1[[#This Row],[ĐIỂM 10 ]]&lt;9,Table1[[#This Row],[ĐIỂM 10 ]]&gt;=8),8,0)))</f>
        <v>0</v>
      </c>
    </row>
    <row r="133" spans="6:22" ht="18" customHeight="1" x14ac:dyDescent="0.45">
      <c r="F133" s="72">
        <v>132</v>
      </c>
      <c r="K133" s="82"/>
      <c r="M133" s="5">
        <f>IF(AND(LEN(Table1[[#This Row],[MÔN HỌC]])&gt;0,Table1[[#This Row],[SỐ TÍN CHỈ]]&gt;0,Table1[[#This Row],[ĐIỂM 10 ]]&gt;0),1,0)</f>
        <v>0</v>
      </c>
      <c r="N133" s="20">
        <f>IF(Table1[[#This Row],[ĐIỂM 10 ]]="",1,0)</f>
        <v>1</v>
      </c>
      <c r="O133" s="8">
        <f>IF(OR(Table1[[#This Row],[CHỮ]]="A",Table1[[#This Row],[CHỮ]]="A+"),Table1[[#This Row],[SỐ TÍN CHỈ]]*4,0)</f>
        <v>0</v>
      </c>
      <c r="P133" s="8">
        <f>IF(Table1[[#This Row],[CHỮ]]="B",Table1[[#This Row],[SỐ TÍN CHỈ]]*3,0)</f>
        <v>0</v>
      </c>
      <c r="Q133" s="8">
        <f>IF(Table1[[#This Row],[CHỮ]]="B+",Table1[[#This Row],[SỐ TÍN CHỈ]]*3.5,0)</f>
        <v>0</v>
      </c>
      <c r="R133" s="8">
        <f>IF(Table1[[#This Row],[CHỮ]]="C",Table1[[#This Row],[SỐ TÍN CHỈ]]*2,0)</f>
        <v>0</v>
      </c>
      <c r="S133" s="8">
        <f>IF(Table1[[#This Row],[CHỮ]]="C+",Table1[[#This Row],[SỐ TÍN CHỈ]]*2.5,0)</f>
        <v>0</v>
      </c>
      <c r="T133" s="8">
        <f>IF(Table1[[#This Row],[CHỮ]]="D",Table1[[#This Row],[SỐ TÍN CHỈ]]*1,0)</f>
        <v>0</v>
      </c>
      <c r="U133" s="8">
        <f>IF(Table1[[#This Row],[CHỮ]]="F",Table1[[#This Row],[SỐ TÍN CHỈ]]*0,0)</f>
        <v>0</v>
      </c>
      <c r="V133" s="21">
        <f>IF(Table1[[#This Row],[ĐIỂM 10 ]]=10,10,IF(AND(Table1[[#This Row],[ĐIỂM 10 ]]&lt;10,Table1[[#This Row],[ĐIỂM 10 ]]&gt;=9),9,IF(AND(Table1[[#This Row],[ĐIỂM 10 ]]&lt;9,Table1[[#This Row],[ĐIỂM 10 ]]&gt;=8),8,0)))</f>
        <v>0</v>
      </c>
    </row>
    <row r="134" spans="6:22" ht="18" customHeight="1" x14ac:dyDescent="0.45">
      <c r="F134" s="72">
        <v>133</v>
      </c>
      <c r="K134" s="82"/>
      <c r="M134" s="5">
        <f>IF(AND(LEN(Table1[[#This Row],[MÔN HỌC]])&gt;0,Table1[[#This Row],[SỐ TÍN CHỈ]]&gt;0,Table1[[#This Row],[ĐIỂM 10 ]]&gt;0),1,0)</f>
        <v>0</v>
      </c>
      <c r="N134" s="20">
        <f>IF(Table1[[#This Row],[ĐIỂM 10 ]]="",1,0)</f>
        <v>1</v>
      </c>
      <c r="O134" s="8">
        <f>IF(OR(Table1[[#This Row],[CHỮ]]="A",Table1[[#This Row],[CHỮ]]="A+"),Table1[[#This Row],[SỐ TÍN CHỈ]]*4,0)</f>
        <v>0</v>
      </c>
      <c r="P134" s="8">
        <f>IF(Table1[[#This Row],[CHỮ]]="B",Table1[[#This Row],[SỐ TÍN CHỈ]]*3,0)</f>
        <v>0</v>
      </c>
      <c r="Q134" s="8">
        <f>IF(Table1[[#This Row],[CHỮ]]="B+",Table1[[#This Row],[SỐ TÍN CHỈ]]*3.5,0)</f>
        <v>0</v>
      </c>
      <c r="R134" s="8">
        <f>IF(Table1[[#This Row],[CHỮ]]="C",Table1[[#This Row],[SỐ TÍN CHỈ]]*2,0)</f>
        <v>0</v>
      </c>
      <c r="S134" s="8">
        <f>IF(Table1[[#This Row],[CHỮ]]="C+",Table1[[#This Row],[SỐ TÍN CHỈ]]*2.5,0)</f>
        <v>0</v>
      </c>
      <c r="T134" s="8">
        <f>IF(Table1[[#This Row],[CHỮ]]="D",Table1[[#This Row],[SỐ TÍN CHỈ]]*1,0)</f>
        <v>0</v>
      </c>
      <c r="U134" s="8">
        <f>IF(Table1[[#This Row],[CHỮ]]="F",Table1[[#This Row],[SỐ TÍN CHỈ]]*0,0)</f>
        <v>0</v>
      </c>
      <c r="V134" s="21">
        <f>IF(Table1[[#This Row],[ĐIỂM 10 ]]=10,10,IF(AND(Table1[[#This Row],[ĐIỂM 10 ]]&lt;10,Table1[[#This Row],[ĐIỂM 10 ]]&gt;=9),9,IF(AND(Table1[[#This Row],[ĐIỂM 10 ]]&lt;9,Table1[[#This Row],[ĐIỂM 10 ]]&gt;=8),8,0)))</f>
        <v>0</v>
      </c>
    </row>
    <row r="135" spans="6:22" ht="18" customHeight="1" x14ac:dyDescent="0.45">
      <c r="F135" s="72">
        <v>134</v>
      </c>
      <c r="K135" s="82"/>
      <c r="M135" s="5">
        <f>IF(AND(LEN(Table1[[#This Row],[MÔN HỌC]])&gt;0,Table1[[#This Row],[SỐ TÍN CHỈ]]&gt;0,Table1[[#This Row],[ĐIỂM 10 ]]&gt;0),1,0)</f>
        <v>0</v>
      </c>
      <c r="N135" s="20">
        <f>IF(Table1[[#This Row],[ĐIỂM 10 ]]="",1,0)</f>
        <v>1</v>
      </c>
      <c r="O135" s="8">
        <f>IF(OR(Table1[[#This Row],[CHỮ]]="A",Table1[[#This Row],[CHỮ]]="A+"),Table1[[#This Row],[SỐ TÍN CHỈ]]*4,0)</f>
        <v>0</v>
      </c>
      <c r="P135" s="8">
        <f>IF(Table1[[#This Row],[CHỮ]]="B",Table1[[#This Row],[SỐ TÍN CHỈ]]*3,0)</f>
        <v>0</v>
      </c>
      <c r="Q135" s="8">
        <f>IF(Table1[[#This Row],[CHỮ]]="B+",Table1[[#This Row],[SỐ TÍN CHỈ]]*3.5,0)</f>
        <v>0</v>
      </c>
      <c r="R135" s="8">
        <f>IF(Table1[[#This Row],[CHỮ]]="C",Table1[[#This Row],[SỐ TÍN CHỈ]]*2,0)</f>
        <v>0</v>
      </c>
      <c r="S135" s="8">
        <f>IF(Table1[[#This Row],[CHỮ]]="C+",Table1[[#This Row],[SỐ TÍN CHỈ]]*2.5,0)</f>
        <v>0</v>
      </c>
      <c r="T135" s="8">
        <f>IF(Table1[[#This Row],[CHỮ]]="D",Table1[[#This Row],[SỐ TÍN CHỈ]]*1,0)</f>
        <v>0</v>
      </c>
      <c r="U135" s="8">
        <f>IF(Table1[[#This Row],[CHỮ]]="F",Table1[[#This Row],[SỐ TÍN CHỈ]]*0,0)</f>
        <v>0</v>
      </c>
      <c r="V135" s="21">
        <f>IF(Table1[[#This Row],[ĐIỂM 10 ]]=10,10,IF(AND(Table1[[#This Row],[ĐIỂM 10 ]]&lt;10,Table1[[#This Row],[ĐIỂM 10 ]]&gt;=9),9,IF(AND(Table1[[#This Row],[ĐIỂM 10 ]]&lt;9,Table1[[#This Row],[ĐIỂM 10 ]]&gt;=8),8,0)))</f>
        <v>0</v>
      </c>
    </row>
    <row r="136" spans="6:22" ht="18" customHeight="1" x14ac:dyDescent="0.45">
      <c r="F136" s="72">
        <v>135</v>
      </c>
      <c r="K136" s="82"/>
      <c r="M136" s="5">
        <f>IF(AND(LEN(Table1[[#This Row],[MÔN HỌC]])&gt;0,Table1[[#This Row],[SỐ TÍN CHỈ]]&gt;0,Table1[[#This Row],[ĐIỂM 10 ]]&gt;0),1,0)</f>
        <v>0</v>
      </c>
      <c r="N136" s="20">
        <f>IF(Table1[[#This Row],[ĐIỂM 10 ]]="",1,0)</f>
        <v>1</v>
      </c>
      <c r="O136" s="8">
        <f>IF(OR(Table1[[#This Row],[CHỮ]]="A",Table1[[#This Row],[CHỮ]]="A+"),Table1[[#This Row],[SỐ TÍN CHỈ]]*4,0)</f>
        <v>0</v>
      </c>
      <c r="P136" s="8">
        <f>IF(Table1[[#This Row],[CHỮ]]="B",Table1[[#This Row],[SỐ TÍN CHỈ]]*3,0)</f>
        <v>0</v>
      </c>
      <c r="Q136" s="8">
        <f>IF(Table1[[#This Row],[CHỮ]]="B+",Table1[[#This Row],[SỐ TÍN CHỈ]]*3.5,0)</f>
        <v>0</v>
      </c>
      <c r="R136" s="8">
        <f>IF(Table1[[#This Row],[CHỮ]]="C",Table1[[#This Row],[SỐ TÍN CHỈ]]*2,0)</f>
        <v>0</v>
      </c>
      <c r="S136" s="8">
        <f>IF(Table1[[#This Row],[CHỮ]]="C+",Table1[[#This Row],[SỐ TÍN CHỈ]]*2.5,0)</f>
        <v>0</v>
      </c>
      <c r="T136" s="8">
        <f>IF(Table1[[#This Row],[CHỮ]]="D",Table1[[#This Row],[SỐ TÍN CHỈ]]*1,0)</f>
        <v>0</v>
      </c>
      <c r="U136" s="8">
        <f>IF(Table1[[#This Row],[CHỮ]]="F",Table1[[#This Row],[SỐ TÍN CHỈ]]*0,0)</f>
        <v>0</v>
      </c>
      <c r="V136" s="21">
        <f>IF(Table1[[#This Row],[ĐIỂM 10 ]]=10,10,IF(AND(Table1[[#This Row],[ĐIỂM 10 ]]&lt;10,Table1[[#This Row],[ĐIỂM 10 ]]&gt;=9),9,IF(AND(Table1[[#This Row],[ĐIỂM 10 ]]&lt;9,Table1[[#This Row],[ĐIỂM 10 ]]&gt;=8),8,0)))</f>
        <v>0</v>
      </c>
    </row>
    <row r="137" spans="6:22" ht="18" customHeight="1" x14ac:dyDescent="0.45">
      <c r="F137" s="72">
        <v>136</v>
      </c>
      <c r="K137" s="82"/>
      <c r="M137" s="5">
        <f>IF(AND(LEN(Table1[[#This Row],[MÔN HỌC]])&gt;0,Table1[[#This Row],[SỐ TÍN CHỈ]]&gt;0,Table1[[#This Row],[ĐIỂM 10 ]]&gt;0),1,0)</f>
        <v>0</v>
      </c>
      <c r="N137" s="20">
        <f>IF(Table1[[#This Row],[ĐIỂM 10 ]]="",1,0)</f>
        <v>1</v>
      </c>
      <c r="O137" s="8">
        <f>IF(OR(Table1[[#This Row],[CHỮ]]="A",Table1[[#This Row],[CHỮ]]="A+"),Table1[[#This Row],[SỐ TÍN CHỈ]]*4,0)</f>
        <v>0</v>
      </c>
      <c r="P137" s="8">
        <f>IF(Table1[[#This Row],[CHỮ]]="B",Table1[[#This Row],[SỐ TÍN CHỈ]]*3,0)</f>
        <v>0</v>
      </c>
      <c r="Q137" s="8">
        <f>IF(Table1[[#This Row],[CHỮ]]="B+",Table1[[#This Row],[SỐ TÍN CHỈ]]*3.5,0)</f>
        <v>0</v>
      </c>
      <c r="R137" s="8">
        <f>IF(Table1[[#This Row],[CHỮ]]="C",Table1[[#This Row],[SỐ TÍN CHỈ]]*2,0)</f>
        <v>0</v>
      </c>
      <c r="S137" s="8">
        <f>IF(Table1[[#This Row],[CHỮ]]="C+",Table1[[#This Row],[SỐ TÍN CHỈ]]*2.5,0)</f>
        <v>0</v>
      </c>
      <c r="T137" s="8">
        <f>IF(Table1[[#This Row],[CHỮ]]="D",Table1[[#This Row],[SỐ TÍN CHỈ]]*1,0)</f>
        <v>0</v>
      </c>
      <c r="U137" s="8">
        <f>IF(Table1[[#This Row],[CHỮ]]="F",Table1[[#This Row],[SỐ TÍN CHỈ]]*0,0)</f>
        <v>0</v>
      </c>
      <c r="V137" s="21">
        <f>IF(Table1[[#This Row],[ĐIỂM 10 ]]=10,10,IF(AND(Table1[[#This Row],[ĐIỂM 10 ]]&lt;10,Table1[[#This Row],[ĐIỂM 10 ]]&gt;=9),9,IF(AND(Table1[[#This Row],[ĐIỂM 10 ]]&lt;9,Table1[[#This Row],[ĐIỂM 10 ]]&gt;=8),8,0)))</f>
        <v>0</v>
      </c>
    </row>
    <row r="138" spans="6:22" ht="18" customHeight="1" x14ac:dyDescent="0.45">
      <c r="F138" s="72">
        <v>137</v>
      </c>
      <c r="K138" s="82"/>
      <c r="M138" s="5">
        <f>IF(AND(LEN(Table1[[#This Row],[MÔN HỌC]])&gt;0,Table1[[#This Row],[SỐ TÍN CHỈ]]&gt;0,Table1[[#This Row],[ĐIỂM 10 ]]&gt;0),1,0)</f>
        <v>0</v>
      </c>
      <c r="N138" s="20">
        <f>IF(Table1[[#This Row],[ĐIỂM 10 ]]="",1,0)</f>
        <v>1</v>
      </c>
      <c r="O138" s="8">
        <f>IF(OR(Table1[[#This Row],[CHỮ]]="A",Table1[[#This Row],[CHỮ]]="A+"),Table1[[#This Row],[SỐ TÍN CHỈ]]*4,0)</f>
        <v>0</v>
      </c>
      <c r="P138" s="8">
        <f>IF(Table1[[#This Row],[CHỮ]]="B",Table1[[#This Row],[SỐ TÍN CHỈ]]*3,0)</f>
        <v>0</v>
      </c>
      <c r="Q138" s="8">
        <f>IF(Table1[[#This Row],[CHỮ]]="B+",Table1[[#This Row],[SỐ TÍN CHỈ]]*3.5,0)</f>
        <v>0</v>
      </c>
      <c r="R138" s="8">
        <f>IF(Table1[[#This Row],[CHỮ]]="C",Table1[[#This Row],[SỐ TÍN CHỈ]]*2,0)</f>
        <v>0</v>
      </c>
      <c r="S138" s="8">
        <f>IF(Table1[[#This Row],[CHỮ]]="C+",Table1[[#This Row],[SỐ TÍN CHỈ]]*2.5,0)</f>
        <v>0</v>
      </c>
      <c r="T138" s="8">
        <f>IF(Table1[[#This Row],[CHỮ]]="D",Table1[[#This Row],[SỐ TÍN CHỈ]]*1,0)</f>
        <v>0</v>
      </c>
      <c r="U138" s="8">
        <f>IF(Table1[[#This Row],[CHỮ]]="F",Table1[[#This Row],[SỐ TÍN CHỈ]]*0,0)</f>
        <v>0</v>
      </c>
      <c r="V138" s="21">
        <f>IF(Table1[[#This Row],[ĐIỂM 10 ]]=10,10,IF(AND(Table1[[#This Row],[ĐIỂM 10 ]]&lt;10,Table1[[#This Row],[ĐIỂM 10 ]]&gt;=9),9,IF(AND(Table1[[#This Row],[ĐIỂM 10 ]]&lt;9,Table1[[#This Row],[ĐIỂM 10 ]]&gt;=8),8,0)))</f>
        <v>0</v>
      </c>
    </row>
    <row r="139" spans="6:22" ht="18" customHeight="1" x14ac:dyDescent="0.45">
      <c r="F139" s="72">
        <v>138</v>
      </c>
      <c r="K139" s="82"/>
      <c r="M139" s="5">
        <f>IF(AND(LEN(Table1[[#This Row],[MÔN HỌC]])&gt;0,Table1[[#This Row],[SỐ TÍN CHỈ]]&gt;0,Table1[[#This Row],[ĐIỂM 10 ]]&gt;0),1,0)</f>
        <v>0</v>
      </c>
      <c r="N139" s="20">
        <f>IF(Table1[[#This Row],[ĐIỂM 10 ]]="",1,0)</f>
        <v>1</v>
      </c>
      <c r="O139" s="8">
        <f>IF(OR(Table1[[#This Row],[CHỮ]]="A",Table1[[#This Row],[CHỮ]]="A+"),Table1[[#This Row],[SỐ TÍN CHỈ]]*4,0)</f>
        <v>0</v>
      </c>
      <c r="P139" s="8">
        <f>IF(Table1[[#This Row],[CHỮ]]="B",Table1[[#This Row],[SỐ TÍN CHỈ]]*3,0)</f>
        <v>0</v>
      </c>
      <c r="Q139" s="8">
        <f>IF(Table1[[#This Row],[CHỮ]]="B+",Table1[[#This Row],[SỐ TÍN CHỈ]]*3.5,0)</f>
        <v>0</v>
      </c>
      <c r="R139" s="8">
        <f>IF(Table1[[#This Row],[CHỮ]]="C",Table1[[#This Row],[SỐ TÍN CHỈ]]*2,0)</f>
        <v>0</v>
      </c>
      <c r="S139" s="8">
        <f>IF(Table1[[#This Row],[CHỮ]]="C+",Table1[[#This Row],[SỐ TÍN CHỈ]]*2.5,0)</f>
        <v>0</v>
      </c>
      <c r="T139" s="8">
        <f>IF(Table1[[#This Row],[CHỮ]]="D",Table1[[#This Row],[SỐ TÍN CHỈ]]*1,0)</f>
        <v>0</v>
      </c>
      <c r="U139" s="8">
        <f>IF(Table1[[#This Row],[CHỮ]]="F",Table1[[#This Row],[SỐ TÍN CHỈ]]*0,0)</f>
        <v>0</v>
      </c>
      <c r="V139" s="21">
        <f>IF(Table1[[#This Row],[ĐIỂM 10 ]]=10,10,IF(AND(Table1[[#This Row],[ĐIỂM 10 ]]&lt;10,Table1[[#This Row],[ĐIỂM 10 ]]&gt;=9),9,IF(AND(Table1[[#This Row],[ĐIỂM 10 ]]&lt;9,Table1[[#This Row],[ĐIỂM 10 ]]&gt;=8),8,0)))</f>
        <v>0</v>
      </c>
    </row>
    <row r="140" spans="6:22" ht="18" customHeight="1" x14ac:dyDescent="0.45">
      <c r="F140" s="72">
        <v>139</v>
      </c>
      <c r="K140" s="82"/>
      <c r="M140" s="5">
        <f>IF(AND(LEN(Table1[[#This Row],[MÔN HỌC]])&gt;0,Table1[[#This Row],[SỐ TÍN CHỈ]]&gt;0,Table1[[#This Row],[ĐIỂM 10 ]]&gt;0),1,0)</f>
        <v>0</v>
      </c>
      <c r="N140" s="20">
        <f>IF(Table1[[#This Row],[ĐIỂM 10 ]]="",1,0)</f>
        <v>1</v>
      </c>
      <c r="O140" s="8">
        <f>IF(OR(Table1[[#This Row],[CHỮ]]="A",Table1[[#This Row],[CHỮ]]="A+"),Table1[[#This Row],[SỐ TÍN CHỈ]]*4,0)</f>
        <v>0</v>
      </c>
      <c r="P140" s="8">
        <f>IF(Table1[[#This Row],[CHỮ]]="B",Table1[[#This Row],[SỐ TÍN CHỈ]]*3,0)</f>
        <v>0</v>
      </c>
      <c r="Q140" s="8">
        <f>IF(Table1[[#This Row],[CHỮ]]="B+",Table1[[#This Row],[SỐ TÍN CHỈ]]*3.5,0)</f>
        <v>0</v>
      </c>
      <c r="R140" s="8">
        <f>IF(Table1[[#This Row],[CHỮ]]="C",Table1[[#This Row],[SỐ TÍN CHỈ]]*2,0)</f>
        <v>0</v>
      </c>
      <c r="S140" s="8">
        <f>IF(Table1[[#This Row],[CHỮ]]="C+",Table1[[#This Row],[SỐ TÍN CHỈ]]*2.5,0)</f>
        <v>0</v>
      </c>
      <c r="T140" s="8">
        <f>IF(Table1[[#This Row],[CHỮ]]="D",Table1[[#This Row],[SỐ TÍN CHỈ]]*1,0)</f>
        <v>0</v>
      </c>
      <c r="U140" s="8">
        <f>IF(Table1[[#This Row],[CHỮ]]="F",Table1[[#This Row],[SỐ TÍN CHỈ]]*0,0)</f>
        <v>0</v>
      </c>
      <c r="V140" s="21">
        <f>IF(Table1[[#This Row],[ĐIỂM 10 ]]=10,10,IF(AND(Table1[[#This Row],[ĐIỂM 10 ]]&lt;10,Table1[[#This Row],[ĐIỂM 10 ]]&gt;=9),9,IF(AND(Table1[[#This Row],[ĐIỂM 10 ]]&lt;9,Table1[[#This Row],[ĐIỂM 10 ]]&gt;=8),8,0)))</f>
        <v>0</v>
      </c>
    </row>
    <row r="141" spans="6:22" ht="18" customHeight="1" x14ac:dyDescent="0.45">
      <c r="F141" s="72">
        <v>140</v>
      </c>
      <c r="K141" s="82"/>
      <c r="M141" s="5">
        <f>IF(AND(LEN(Table1[[#This Row],[MÔN HỌC]])&gt;0,Table1[[#This Row],[SỐ TÍN CHỈ]]&gt;0,Table1[[#This Row],[ĐIỂM 10 ]]&gt;0),1,0)</f>
        <v>0</v>
      </c>
      <c r="N141" s="20">
        <f>IF(Table1[[#This Row],[ĐIỂM 10 ]]="",1,0)</f>
        <v>1</v>
      </c>
      <c r="O141" s="8">
        <f>IF(OR(Table1[[#This Row],[CHỮ]]="A",Table1[[#This Row],[CHỮ]]="A+"),Table1[[#This Row],[SỐ TÍN CHỈ]]*4,0)</f>
        <v>0</v>
      </c>
      <c r="P141" s="8">
        <f>IF(Table1[[#This Row],[CHỮ]]="B",Table1[[#This Row],[SỐ TÍN CHỈ]]*3,0)</f>
        <v>0</v>
      </c>
      <c r="Q141" s="8">
        <f>IF(Table1[[#This Row],[CHỮ]]="B+",Table1[[#This Row],[SỐ TÍN CHỈ]]*3.5,0)</f>
        <v>0</v>
      </c>
      <c r="R141" s="8">
        <f>IF(Table1[[#This Row],[CHỮ]]="C",Table1[[#This Row],[SỐ TÍN CHỈ]]*2,0)</f>
        <v>0</v>
      </c>
      <c r="S141" s="8">
        <f>IF(Table1[[#This Row],[CHỮ]]="C+",Table1[[#This Row],[SỐ TÍN CHỈ]]*2.5,0)</f>
        <v>0</v>
      </c>
      <c r="T141" s="8">
        <f>IF(Table1[[#This Row],[CHỮ]]="D",Table1[[#This Row],[SỐ TÍN CHỈ]]*1,0)</f>
        <v>0</v>
      </c>
      <c r="U141" s="8">
        <f>IF(Table1[[#This Row],[CHỮ]]="F",Table1[[#This Row],[SỐ TÍN CHỈ]]*0,0)</f>
        <v>0</v>
      </c>
      <c r="V141" s="21">
        <f>IF(Table1[[#This Row],[ĐIỂM 10 ]]=10,10,IF(AND(Table1[[#This Row],[ĐIỂM 10 ]]&lt;10,Table1[[#This Row],[ĐIỂM 10 ]]&gt;=9),9,IF(AND(Table1[[#This Row],[ĐIỂM 10 ]]&lt;9,Table1[[#This Row],[ĐIỂM 10 ]]&gt;=8),8,0)))</f>
        <v>0</v>
      </c>
    </row>
    <row r="142" spans="6:22" ht="18" customHeight="1" x14ac:dyDescent="0.45">
      <c r="F142" s="72">
        <v>141</v>
      </c>
      <c r="K142" s="82"/>
      <c r="M142" s="5">
        <f>IF(AND(LEN(Table1[[#This Row],[MÔN HỌC]])&gt;0,Table1[[#This Row],[SỐ TÍN CHỈ]]&gt;0,Table1[[#This Row],[ĐIỂM 10 ]]&gt;0),1,0)</f>
        <v>0</v>
      </c>
      <c r="N142" s="20">
        <f>IF(Table1[[#This Row],[ĐIỂM 10 ]]="",1,0)</f>
        <v>1</v>
      </c>
      <c r="O142" s="8">
        <f>IF(OR(Table1[[#This Row],[CHỮ]]="A",Table1[[#This Row],[CHỮ]]="A+"),Table1[[#This Row],[SỐ TÍN CHỈ]]*4,0)</f>
        <v>0</v>
      </c>
      <c r="P142" s="8">
        <f>IF(Table1[[#This Row],[CHỮ]]="B",Table1[[#This Row],[SỐ TÍN CHỈ]]*3,0)</f>
        <v>0</v>
      </c>
      <c r="Q142" s="8">
        <f>IF(Table1[[#This Row],[CHỮ]]="B+",Table1[[#This Row],[SỐ TÍN CHỈ]]*3.5,0)</f>
        <v>0</v>
      </c>
      <c r="R142" s="8">
        <f>IF(Table1[[#This Row],[CHỮ]]="C",Table1[[#This Row],[SỐ TÍN CHỈ]]*2,0)</f>
        <v>0</v>
      </c>
      <c r="S142" s="8">
        <f>IF(Table1[[#This Row],[CHỮ]]="C+",Table1[[#This Row],[SỐ TÍN CHỈ]]*2.5,0)</f>
        <v>0</v>
      </c>
      <c r="T142" s="8">
        <f>IF(Table1[[#This Row],[CHỮ]]="D",Table1[[#This Row],[SỐ TÍN CHỈ]]*1,0)</f>
        <v>0</v>
      </c>
      <c r="U142" s="8">
        <f>IF(Table1[[#This Row],[CHỮ]]="F",Table1[[#This Row],[SỐ TÍN CHỈ]]*0,0)</f>
        <v>0</v>
      </c>
      <c r="V142" s="21">
        <f>IF(Table1[[#This Row],[ĐIỂM 10 ]]=10,10,IF(AND(Table1[[#This Row],[ĐIỂM 10 ]]&lt;10,Table1[[#This Row],[ĐIỂM 10 ]]&gt;=9),9,IF(AND(Table1[[#This Row],[ĐIỂM 10 ]]&lt;9,Table1[[#This Row],[ĐIỂM 10 ]]&gt;=8),8,0)))</f>
        <v>0</v>
      </c>
    </row>
    <row r="143" spans="6:22" ht="18" customHeight="1" x14ac:dyDescent="0.45">
      <c r="F143" s="72">
        <v>142</v>
      </c>
      <c r="K143" s="82"/>
      <c r="M143" s="5">
        <f>IF(AND(LEN(Table1[[#This Row],[MÔN HỌC]])&gt;0,Table1[[#This Row],[SỐ TÍN CHỈ]]&gt;0,Table1[[#This Row],[ĐIỂM 10 ]]&gt;0),1,0)</f>
        <v>0</v>
      </c>
      <c r="N143" s="20">
        <f>IF(Table1[[#This Row],[ĐIỂM 10 ]]="",1,0)</f>
        <v>1</v>
      </c>
      <c r="O143" s="8">
        <f>IF(OR(Table1[[#This Row],[CHỮ]]="A",Table1[[#This Row],[CHỮ]]="A+"),Table1[[#This Row],[SỐ TÍN CHỈ]]*4,0)</f>
        <v>0</v>
      </c>
      <c r="P143" s="8">
        <f>IF(Table1[[#This Row],[CHỮ]]="B",Table1[[#This Row],[SỐ TÍN CHỈ]]*3,0)</f>
        <v>0</v>
      </c>
      <c r="Q143" s="8">
        <f>IF(Table1[[#This Row],[CHỮ]]="B+",Table1[[#This Row],[SỐ TÍN CHỈ]]*3.5,0)</f>
        <v>0</v>
      </c>
      <c r="R143" s="8">
        <f>IF(Table1[[#This Row],[CHỮ]]="C",Table1[[#This Row],[SỐ TÍN CHỈ]]*2,0)</f>
        <v>0</v>
      </c>
      <c r="S143" s="8">
        <f>IF(Table1[[#This Row],[CHỮ]]="C+",Table1[[#This Row],[SỐ TÍN CHỈ]]*2.5,0)</f>
        <v>0</v>
      </c>
      <c r="T143" s="8">
        <f>IF(Table1[[#This Row],[CHỮ]]="D",Table1[[#This Row],[SỐ TÍN CHỈ]]*1,0)</f>
        <v>0</v>
      </c>
      <c r="U143" s="8">
        <f>IF(Table1[[#This Row],[CHỮ]]="F",Table1[[#This Row],[SỐ TÍN CHỈ]]*0,0)</f>
        <v>0</v>
      </c>
      <c r="V143" s="21">
        <f>IF(Table1[[#This Row],[ĐIỂM 10 ]]=10,10,IF(AND(Table1[[#This Row],[ĐIỂM 10 ]]&lt;10,Table1[[#This Row],[ĐIỂM 10 ]]&gt;=9),9,IF(AND(Table1[[#This Row],[ĐIỂM 10 ]]&lt;9,Table1[[#This Row],[ĐIỂM 10 ]]&gt;=8),8,0)))</f>
        <v>0</v>
      </c>
    </row>
    <row r="144" spans="6:22" ht="18" customHeight="1" x14ac:dyDescent="0.45">
      <c r="F144" s="72">
        <v>143</v>
      </c>
      <c r="K144" s="82"/>
      <c r="M144" s="5">
        <f>IF(AND(LEN(Table1[[#This Row],[MÔN HỌC]])&gt;0,Table1[[#This Row],[SỐ TÍN CHỈ]]&gt;0,Table1[[#This Row],[ĐIỂM 10 ]]&gt;0),1,0)</f>
        <v>0</v>
      </c>
      <c r="N144" s="20">
        <f>IF(Table1[[#This Row],[ĐIỂM 10 ]]="",1,0)</f>
        <v>1</v>
      </c>
      <c r="O144" s="8">
        <f>IF(OR(Table1[[#This Row],[CHỮ]]="A",Table1[[#This Row],[CHỮ]]="A+"),Table1[[#This Row],[SỐ TÍN CHỈ]]*4,0)</f>
        <v>0</v>
      </c>
      <c r="P144" s="8">
        <f>IF(Table1[[#This Row],[CHỮ]]="B",Table1[[#This Row],[SỐ TÍN CHỈ]]*3,0)</f>
        <v>0</v>
      </c>
      <c r="Q144" s="8">
        <f>IF(Table1[[#This Row],[CHỮ]]="B+",Table1[[#This Row],[SỐ TÍN CHỈ]]*3.5,0)</f>
        <v>0</v>
      </c>
      <c r="R144" s="8">
        <f>IF(Table1[[#This Row],[CHỮ]]="C",Table1[[#This Row],[SỐ TÍN CHỈ]]*2,0)</f>
        <v>0</v>
      </c>
      <c r="S144" s="8">
        <f>IF(Table1[[#This Row],[CHỮ]]="C+",Table1[[#This Row],[SỐ TÍN CHỈ]]*2.5,0)</f>
        <v>0</v>
      </c>
      <c r="T144" s="8">
        <f>IF(Table1[[#This Row],[CHỮ]]="D",Table1[[#This Row],[SỐ TÍN CHỈ]]*1,0)</f>
        <v>0</v>
      </c>
      <c r="U144" s="8">
        <f>IF(Table1[[#This Row],[CHỮ]]="F",Table1[[#This Row],[SỐ TÍN CHỈ]]*0,0)</f>
        <v>0</v>
      </c>
      <c r="V144" s="21">
        <f>IF(Table1[[#This Row],[ĐIỂM 10 ]]=10,10,IF(AND(Table1[[#This Row],[ĐIỂM 10 ]]&lt;10,Table1[[#This Row],[ĐIỂM 10 ]]&gt;=9),9,IF(AND(Table1[[#This Row],[ĐIỂM 10 ]]&lt;9,Table1[[#This Row],[ĐIỂM 10 ]]&gt;=8),8,0)))</f>
        <v>0</v>
      </c>
    </row>
    <row r="145" spans="6:22" ht="18" customHeight="1" x14ac:dyDescent="0.45">
      <c r="F145" s="72">
        <v>144</v>
      </c>
      <c r="K145" s="82"/>
      <c r="M145" s="5">
        <f>IF(AND(LEN(Table1[[#This Row],[MÔN HỌC]])&gt;0,Table1[[#This Row],[SỐ TÍN CHỈ]]&gt;0,Table1[[#This Row],[ĐIỂM 10 ]]&gt;0),1,0)</f>
        <v>0</v>
      </c>
      <c r="N145" s="20">
        <f>IF(Table1[[#This Row],[ĐIỂM 10 ]]="",1,0)</f>
        <v>1</v>
      </c>
      <c r="O145" s="8">
        <f>IF(OR(Table1[[#This Row],[CHỮ]]="A",Table1[[#This Row],[CHỮ]]="A+"),Table1[[#This Row],[SỐ TÍN CHỈ]]*4,0)</f>
        <v>0</v>
      </c>
      <c r="P145" s="8">
        <f>IF(Table1[[#This Row],[CHỮ]]="B",Table1[[#This Row],[SỐ TÍN CHỈ]]*3,0)</f>
        <v>0</v>
      </c>
      <c r="Q145" s="8">
        <f>IF(Table1[[#This Row],[CHỮ]]="B+",Table1[[#This Row],[SỐ TÍN CHỈ]]*3.5,0)</f>
        <v>0</v>
      </c>
      <c r="R145" s="8">
        <f>IF(Table1[[#This Row],[CHỮ]]="C",Table1[[#This Row],[SỐ TÍN CHỈ]]*2,0)</f>
        <v>0</v>
      </c>
      <c r="S145" s="8">
        <f>IF(Table1[[#This Row],[CHỮ]]="C+",Table1[[#This Row],[SỐ TÍN CHỈ]]*2.5,0)</f>
        <v>0</v>
      </c>
      <c r="T145" s="8">
        <f>IF(Table1[[#This Row],[CHỮ]]="D",Table1[[#This Row],[SỐ TÍN CHỈ]]*1,0)</f>
        <v>0</v>
      </c>
      <c r="U145" s="8">
        <f>IF(Table1[[#This Row],[CHỮ]]="F",Table1[[#This Row],[SỐ TÍN CHỈ]]*0,0)</f>
        <v>0</v>
      </c>
      <c r="V145" s="21">
        <f>IF(Table1[[#This Row],[ĐIỂM 10 ]]=10,10,IF(AND(Table1[[#This Row],[ĐIỂM 10 ]]&lt;10,Table1[[#This Row],[ĐIỂM 10 ]]&gt;=9),9,IF(AND(Table1[[#This Row],[ĐIỂM 10 ]]&lt;9,Table1[[#This Row],[ĐIỂM 10 ]]&gt;=8),8,0)))</f>
        <v>0</v>
      </c>
    </row>
    <row r="146" spans="6:22" ht="18" customHeight="1" x14ac:dyDescent="0.45">
      <c r="F146" s="72">
        <v>145</v>
      </c>
      <c r="K146" s="82"/>
      <c r="M146" s="5">
        <f>IF(AND(LEN(Table1[[#This Row],[MÔN HỌC]])&gt;0,Table1[[#This Row],[SỐ TÍN CHỈ]]&gt;0,Table1[[#This Row],[ĐIỂM 10 ]]&gt;0),1,0)</f>
        <v>0</v>
      </c>
      <c r="N146" s="20">
        <f>IF(Table1[[#This Row],[ĐIỂM 10 ]]="",1,0)</f>
        <v>1</v>
      </c>
      <c r="O146" s="8">
        <f>IF(OR(Table1[[#This Row],[CHỮ]]="A",Table1[[#This Row],[CHỮ]]="A+"),Table1[[#This Row],[SỐ TÍN CHỈ]]*4,0)</f>
        <v>0</v>
      </c>
      <c r="P146" s="8">
        <f>IF(Table1[[#This Row],[CHỮ]]="B",Table1[[#This Row],[SỐ TÍN CHỈ]]*3,0)</f>
        <v>0</v>
      </c>
      <c r="Q146" s="8">
        <f>IF(Table1[[#This Row],[CHỮ]]="B+",Table1[[#This Row],[SỐ TÍN CHỈ]]*3.5,0)</f>
        <v>0</v>
      </c>
      <c r="R146" s="8">
        <f>IF(Table1[[#This Row],[CHỮ]]="C",Table1[[#This Row],[SỐ TÍN CHỈ]]*2,0)</f>
        <v>0</v>
      </c>
      <c r="S146" s="8">
        <f>IF(Table1[[#This Row],[CHỮ]]="C+",Table1[[#This Row],[SỐ TÍN CHỈ]]*2.5,0)</f>
        <v>0</v>
      </c>
      <c r="T146" s="8">
        <f>IF(Table1[[#This Row],[CHỮ]]="D",Table1[[#This Row],[SỐ TÍN CHỈ]]*1,0)</f>
        <v>0</v>
      </c>
      <c r="U146" s="8">
        <f>IF(Table1[[#This Row],[CHỮ]]="F",Table1[[#This Row],[SỐ TÍN CHỈ]]*0,0)</f>
        <v>0</v>
      </c>
      <c r="V146" s="21">
        <f>IF(Table1[[#This Row],[ĐIỂM 10 ]]=10,10,IF(AND(Table1[[#This Row],[ĐIỂM 10 ]]&lt;10,Table1[[#This Row],[ĐIỂM 10 ]]&gt;=9),9,IF(AND(Table1[[#This Row],[ĐIỂM 10 ]]&lt;9,Table1[[#This Row],[ĐIỂM 10 ]]&gt;=8),8,0)))</f>
        <v>0</v>
      </c>
    </row>
    <row r="147" spans="6:22" ht="18" customHeight="1" x14ac:dyDescent="0.45">
      <c r="F147" s="72">
        <v>146</v>
      </c>
      <c r="K147" s="82"/>
      <c r="M147" s="5">
        <f>IF(AND(LEN(Table1[[#This Row],[MÔN HỌC]])&gt;0,Table1[[#This Row],[SỐ TÍN CHỈ]]&gt;0,Table1[[#This Row],[ĐIỂM 10 ]]&gt;0),1,0)</f>
        <v>0</v>
      </c>
      <c r="N147" s="20">
        <f>IF(Table1[[#This Row],[ĐIỂM 10 ]]="",1,0)</f>
        <v>1</v>
      </c>
      <c r="O147" s="8">
        <f>IF(OR(Table1[[#This Row],[CHỮ]]="A",Table1[[#This Row],[CHỮ]]="A+"),Table1[[#This Row],[SỐ TÍN CHỈ]]*4,0)</f>
        <v>0</v>
      </c>
      <c r="P147" s="8">
        <f>IF(Table1[[#This Row],[CHỮ]]="B",Table1[[#This Row],[SỐ TÍN CHỈ]]*3,0)</f>
        <v>0</v>
      </c>
      <c r="Q147" s="8">
        <f>IF(Table1[[#This Row],[CHỮ]]="B+",Table1[[#This Row],[SỐ TÍN CHỈ]]*3.5,0)</f>
        <v>0</v>
      </c>
      <c r="R147" s="8">
        <f>IF(Table1[[#This Row],[CHỮ]]="C",Table1[[#This Row],[SỐ TÍN CHỈ]]*2,0)</f>
        <v>0</v>
      </c>
      <c r="S147" s="8">
        <f>IF(Table1[[#This Row],[CHỮ]]="C+",Table1[[#This Row],[SỐ TÍN CHỈ]]*2.5,0)</f>
        <v>0</v>
      </c>
      <c r="T147" s="8">
        <f>IF(Table1[[#This Row],[CHỮ]]="D",Table1[[#This Row],[SỐ TÍN CHỈ]]*1,0)</f>
        <v>0</v>
      </c>
      <c r="U147" s="8">
        <f>IF(Table1[[#This Row],[CHỮ]]="F",Table1[[#This Row],[SỐ TÍN CHỈ]]*0,0)</f>
        <v>0</v>
      </c>
      <c r="V147" s="21">
        <f>IF(Table1[[#This Row],[ĐIỂM 10 ]]=10,10,IF(AND(Table1[[#This Row],[ĐIỂM 10 ]]&lt;10,Table1[[#This Row],[ĐIỂM 10 ]]&gt;=9),9,IF(AND(Table1[[#This Row],[ĐIỂM 10 ]]&lt;9,Table1[[#This Row],[ĐIỂM 10 ]]&gt;=8),8,0)))</f>
        <v>0</v>
      </c>
    </row>
    <row r="148" spans="6:22" ht="18" customHeight="1" x14ac:dyDescent="0.45">
      <c r="F148" s="72">
        <v>147</v>
      </c>
      <c r="K148" s="82"/>
      <c r="M148" s="5">
        <f>IF(AND(LEN(Table1[[#This Row],[MÔN HỌC]])&gt;0,Table1[[#This Row],[SỐ TÍN CHỈ]]&gt;0,Table1[[#This Row],[ĐIỂM 10 ]]&gt;0),1,0)</f>
        <v>0</v>
      </c>
      <c r="N148" s="20">
        <f>IF(Table1[[#This Row],[ĐIỂM 10 ]]="",1,0)</f>
        <v>1</v>
      </c>
      <c r="O148" s="8">
        <f>IF(OR(Table1[[#This Row],[CHỮ]]="A",Table1[[#This Row],[CHỮ]]="A+"),Table1[[#This Row],[SỐ TÍN CHỈ]]*4,0)</f>
        <v>0</v>
      </c>
      <c r="P148" s="8">
        <f>IF(Table1[[#This Row],[CHỮ]]="B",Table1[[#This Row],[SỐ TÍN CHỈ]]*3,0)</f>
        <v>0</v>
      </c>
      <c r="Q148" s="8">
        <f>IF(Table1[[#This Row],[CHỮ]]="B+",Table1[[#This Row],[SỐ TÍN CHỈ]]*3.5,0)</f>
        <v>0</v>
      </c>
      <c r="R148" s="8">
        <f>IF(Table1[[#This Row],[CHỮ]]="C",Table1[[#This Row],[SỐ TÍN CHỈ]]*2,0)</f>
        <v>0</v>
      </c>
      <c r="S148" s="8">
        <f>IF(Table1[[#This Row],[CHỮ]]="C+",Table1[[#This Row],[SỐ TÍN CHỈ]]*2.5,0)</f>
        <v>0</v>
      </c>
      <c r="T148" s="8">
        <f>IF(Table1[[#This Row],[CHỮ]]="D",Table1[[#This Row],[SỐ TÍN CHỈ]]*1,0)</f>
        <v>0</v>
      </c>
      <c r="U148" s="8">
        <f>IF(Table1[[#This Row],[CHỮ]]="F",Table1[[#This Row],[SỐ TÍN CHỈ]]*0,0)</f>
        <v>0</v>
      </c>
      <c r="V148" s="21">
        <f>IF(Table1[[#This Row],[ĐIỂM 10 ]]=10,10,IF(AND(Table1[[#This Row],[ĐIỂM 10 ]]&lt;10,Table1[[#This Row],[ĐIỂM 10 ]]&gt;=9),9,IF(AND(Table1[[#This Row],[ĐIỂM 10 ]]&lt;9,Table1[[#This Row],[ĐIỂM 10 ]]&gt;=8),8,0)))</f>
        <v>0</v>
      </c>
    </row>
    <row r="149" spans="6:22" ht="18" customHeight="1" x14ac:dyDescent="0.45">
      <c r="F149" s="72">
        <v>148</v>
      </c>
      <c r="K149" s="82"/>
      <c r="M149" s="5">
        <f>IF(AND(LEN(Table1[[#This Row],[MÔN HỌC]])&gt;0,Table1[[#This Row],[SỐ TÍN CHỈ]]&gt;0,Table1[[#This Row],[ĐIỂM 10 ]]&gt;0),1,0)</f>
        <v>0</v>
      </c>
      <c r="N149" s="20">
        <f>IF(Table1[[#This Row],[ĐIỂM 10 ]]="",1,0)</f>
        <v>1</v>
      </c>
      <c r="O149" s="8">
        <f>IF(OR(Table1[[#This Row],[CHỮ]]="A",Table1[[#This Row],[CHỮ]]="A+"),Table1[[#This Row],[SỐ TÍN CHỈ]]*4,0)</f>
        <v>0</v>
      </c>
      <c r="P149" s="8">
        <f>IF(Table1[[#This Row],[CHỮ]]="B",Table1[[#This Row],[SỐ TÍN CHỈ]]*3,0)</f>
        <v>0</v>
      </c>
      <c r="Q149" s="8">
        <f>IF(Table1[[#This Row],[CHỮ]]="B+",Table1[[#This Row],[SỐ TÍN CHỈ]]*3.5,0)</f>
        <v>0</v>
      </c>
      <c r="R149" s="8">
        <f>IF(Table1[[#This Row],[CHỮ]]="C",Table1[[#This Row],[SỐ TÍN CHỈ]]*2,0)</f>
        <v>0</v>
      </c>
      <c r="S149" s="8">
        <f>IF(Table1[[#This Row],[CHỮ]]="C+",Table1[[#This Row],[SỐ TÍN CHỈ]]*2.5,0)</f>
        <v>0</v>
      </c>
      <c r="T149" s="8">
        <f>IF(Table1[[#This Row],[CHỮ]]="D",Table1[[#This Row],[SỐ TÍN CHỈ]]*1,0)</f>
        <v>0</v>
      </c>
      <c r="U149" s="8">
        <f>IF(Table1[[#This Row],[CHỮ]]="F",Table1[[#This Row],[SỐ TÍN CHỈ]]*0,0)</f>
        <v>0</v>
      </c>
      <c r="V149" s="21">
        <f>IF(Table1[[#This Row],[ĐIỂM 10 ]]=10,10,IF(AND(Table1[[#This Row],[ĐIỂM 10 ]]&lt;10,Table1[[#This Row],[ĐIỂM 10 ]]&gt;=9),9,IF(AND(Table1[[#This Row],[ĐIỂM 10 ]]&lt;9,Table1[[#This Row],[ĐIỂM 10 ]]&gt;=8),8,0)))</f>
        <v>0</v>
      </c>
    </row>
    <row r="150" spans="6:22" ht="18" customHeight="1" x14ac:dyDescent="0.45">
      <c r="F150" s="72">
        <v>149</v>
      </c>
      <c r="K150" s="82"/>
      <c r="M150" s="5">
        <f>IF(AND(LEN(Table1[[#This Row],[MÔN HỌC]])&gt;0,Table1[[#This Row],[SỐ TÍN CHỈ]]&gt;0,Table1[[#This Row],[ĐIỂM 10 ]]&gt;0),1,0)</f>
        <v>0</v>
      </c>
      <c r="N150" s="20">
        <f>IF(Table1[[#This Row],[ĐIỂM 10 ]]="",1,0)</f>
        <v>1</v>
      </c>
      <c r="O150" s="8">
        <f>IF(OR(Table1[[#This Row],[CHỮ]]="A",Table1[[#This Row],[CHỮ]]="A+"),Table1[[#This Row],[SỐ TÍN CHỈ]]*4,0)</f>
        <v>0</v>
      </c>
      <c r="P150" s="8">
        <f>IF(Table1[[#This Row],[CHỮ]]="B",Table1[[#This Row],[SỐ TÍN CHỈ]]*3,0)</f>
        <v>0</v>
      </c>
      <c r="Q150" s="8">
        <f>IF(Table1[[#This Row],[CHỮ]]="B+",Table1[[#This Row],[SỐ TÍN CHỈ]]*3.5,0)</f>
        <v>0</v>
      </c>
      <c r="R150" s="8">
        <f>IF(Table1[[#This Row],[CHỮ]]="C",Table1[[#This Row],[SỐ TÍN CHỈ]]*2,0)</f>
        <v>0</v>
      </c>
      <c r="S150" s="8">
        <f>IF(Table1[[#This Row],[CHỮ]]="C+",Table1[[#This Row],[SỐ TÍN CHỈ]]*2.5,0)</f>
        <v>0</v>
      </c>
      <c r="T150" s="8">
        <f>IF(Table1[[#This Row],[CHỮ]]="D",Table1[[#This Row],[SỐ TÍN CHỈ]]*1,0)</f>
        <v>0</v>
      </c>
      <c r="U150" s="8">
        <f>IF(Table1[[#This Row],[CHỮ]]="F",Table1[[#This Row],[SỐ TÍN CHỈ]]*0,0)</f>
        <v>0</v>
      </c>
      <c r="V150" s="21">
        <f>IF(Table1[[#This Row],[ĐIỂM 10 ]]=10,10,IF(AND(Table1[[#This Row],[ĐIỂM 10 ]]&lt;10,Table1[[#This Row],[ĐIỂM 10 ]]&gt;=9),9,IF(AND(Table1[[#This Row],[ĐIỂM 10 ]]&lt;9,Table1[[#This Row],[ĐIỂM 10 ]]&gt;=8),8,0)))</f>
        <v>0</v>
      </c>
    </row>
    <row r="151" spans="6:22" ht="18" customHeight="1" x14ac:dyDescent="0.45">
      <c r="F151" s="72">
        <v>150</v>
      </c>
      <c r="K151" s="82"/>
      <c r="M151" s="5">
        <f>IF(AND(LEN(Table1[[#This Row],[MÔN HỌC]])&gt;0,Table1[[#This Row],[SỐ TÍN CHỈ]]&gt;0,Table1[[#This Row],[ĐIỂM 10 ]]&gt;0),1,0)</f>
        <v>0</v>
      </c>
      <c r="N151" s="20">
        <f>IF(Table1[[#This Row],[ĐIỂM 10 ]]="",1,0)</f>
        <v>1</v>
      </c>
      <c r="O151" s="8">
        <f>IF(OR(Table1[[#This Row],[CHỮ]]="A",Table1[[#This Row],[CHỮ]]="A+"),Table1[[#This Row],[SỐ TÍN CHỈ]]*4,0)</f>
        <v>0</v>
      </c>
      <c r="P151" s="8">
        <f>IF(Table1[[#This Row],[CHỮ]]="B",Table1[[#This Row],[SỐ TÍN CHỈ]]*3,0)</f>
        <v>0</v>
      </c>
      <c r="Q151" s="8">
        <f>IF(Table1[[#This Row],[CHỮ]]="B+",Table1[[#This Row],[SỐ TÍN CHỈ]]*3.5,0)</f>
        <v>0</v>
      </c>
      <c r="R151" s="8">
        <f>IF(Table1[[#This Row],[CHỮ]]="C",Table1[[#This Row],[SỐ TÍN CHỈ]]*2,0)</f>
        <v>0</v>
      </c>
      <c r="S151" s="8">
        <f>IF(Table1[[#This Row],[CHỮ]]="C+",Table1[[#This Row],[SỐ TÍN CHỈ]]*2.5,0)</f>
        <v>0</v>
      </c>
      <c r="T151" s="8">
        <f>IF(Table1[[#This Row],[CHỮ]]="D",Table1[[#This Row],[SỐ TÍN CHỈ]]*1,0)</f>
        <v>0</v>
      </c>
      <c r="U151" s="8">
        <f>IF(Table1[[#This Row],[CHỮ]]="F",Table1[[#This Row],[SỐ TÍN CHỈ]]*0,0)</f>
        <v>0</v>
      </c>
      <c r="V151" s="21">
        <f>IF(Table1[[#This Row],[ĐIỂM 10 ]]=10,10,IF(AND(Table1[[#This Row],[ĐIỂM 10 ]]&lt;10,Table1[[#This Row],[ĐIỂM 10 ]]&gt;=9),9,IF(AND(Table1[[#This Row],[ĐIỂM 10 ]]&lt;9,Table1[[#This Row],[ĐIỂM 10 ]]&gt;=8),8,0)))</f>
        <v>0</v>
      </c>
    </row>
  </sheetData>
  <sheetProtection algorithmName="SHA-512" hashValue="7yW+/1g0ctWv+buyS5Un2iuupO1Fw5hymAlCDwvZ4uG5Xgycpq/zeP4goR7qyeTnDaPdqcM2nBO2ApSC3QhUow==" saltValue="Ro9PPWhzfB0lYcKMGFb57A==" spinCount="100000" sheet="1" objects="1" scenarios="1" selectLockedCells="1" sort="0" autoFilter="0"/>
  <dataConsolidate/>
  <mergeCells count="2">
    <mergeCell ref="B1:E1"/>
    <mergeCell ref="A3:E3"/>
  </mergeCells>
  <conditionalFormatting sqref="J169:J1048576">
    <cfRule type="colorScale" priority="24">
      <colorScale>
        <cfvo type="min"/>
        <cfvo type="percentile" val="50"/>
        <cfvo type="max"/>
        <color rgb="FFF8696B"/>
        <color rgb="FFFFEB84"/>
        <color rgb="FF63BE7B"/>
      </colorScale>
    </cfRule>
  </conditionalFormatting>
  <conditionalFormatting sqref="J3:J1048576">
    <cfRule type="colorScale" priority="20">
      <colorScale>
        <cfvo type="min"/>
        <cfvo type="num" val="2"/>
        <cfvo type="max"/>
        <color rgb="FFF8696B"/>
        <color rgb="FFFFEB84"/>
        <color rgb="FF63BE7B"/>
      </colorScale>
    </cfRule>
  </conditionalFormatting>
  <conditionalFormatting sqref="J2:J1048576">
    <cfRule type="colorScale" priority="3">
      <colorScale>
        <cfvo type="min"/>
        <cfvo type="max"/>
        <color rgb="FFFF7128"/>
        <color rgb="FF00B050"/>
      </colorScale>
    </cfRule>
  </conditionalFormatting>
  <conditionalFormatting sqref="J2:J94">
    <cfRule type="colorScale" priority="2">
      <colorScale>
        <cfvo type="min"/>
        <cfvo type="percentile" val="50"/>
        <cfvo type="max"/>
        <color rgb="FFF8696B"/>
        <color rgb="FFFFEB84"/>
        <color rgb="FF63BE7B"/>
      </colorScale>
    </cfRule>
  </conditionalFormatting>
  <conditionalFormatting sqref="I2:I151">
    <cfRule type="dataBar" priority="1">
      <dataBar>
        <cfvo type="min"/>
        <cfvo type="max"/>
        <color rgb="FFFFB628"/>
      </dataBar>
      <extLst>
        <ext xmlns:x14="http://schemas.microsoft.com/office/spreadsheetml/2009/9/main" uri="{B025F937-C7B1-47D3-B67F-A62EFF666E3E}">
          <x14:id>{D9C6ABE0-D4F8-47F2-A1B5-771B83E51CAF}</x14:id>
        </ext>
      </extLst>
    </cfRule>
  </conditionalFormatting>
  <dataValidations xWindow="313" yWindow="337" count="5">
    <dataValidation type="decimal" allowBlank="1" showInputMessage="1" showErrorMessage="1" errorTitle="Lỗi" error="Bạn vui lòng đặt GPA mục tiêu  từ 3,00 - 4,00" promptTitle="Mục tiêu GPA" prompt="Để có thể học tập tốt, bạn vui lòng đặt mục tiêu GPA từ 3,00 - 4,00" sqref="C9" xr:uid="{00000000-0002-0000-0100-000000000000}">
      <formula1>3</formula1>
      <formula2>4</formula2>
    </dataValidation>
    <dataValidation allowBlank="1" showInputMessage="1" showErrorMessage="1" promptTitle="Số TC bắt buộc hoàn thành" prompt="Số tín chỉ được quy định tại Quy chế học vụ của trường và tùy theo chuyên ngành._x000a__x000a_[Không bao gồm môn GDTC và ANQP]" sqref="C4" xr:uid="{00000000-0002-0000-0100-000001000000}"/>
    <dataValidation allowBlank="1" showInputMessage="1" showErrorMessage="1" promptTitle="Hoàn thành mục tiêu" prompt="Sẽ xuất hiện dấu CHECK nếu bạn đạt GPA mục tiêu!!" sqref="D10" xr:uid="{00000000-0002-0000-0100-000002000000}"/>
    <dataValidation type="decimal" allowBlank="1" showInputMessage="1" showErrorMessage="1" sqref="I152:I1048576" xr:uid="{00000000-0002-0000-0100-000003000000}">
      <formula1>0</formula1>
      <formula2>10</formula2>
    </dataValidation>
    <dataValidation type="decimal" allowBlank="1" showInputMessage="1" showErrorMessage="1" errorTitle="Lỗi" error="Vui lòng nhập thang điểm từ 0 đến 10" sqref="I2:I151" xr:uid="{00000000-0002-0000-0100-000005000000}">
      <formula1>0</formula1>
      <formula2>10</formula2>
    </dataValidation>
  </dataValidations>
  <pageMargins left="0.7" right="0.7" top="0.75" bottom="0.75" header="0.3" footer="0.3"/>
  <pageSetup paperSize="9" scale="96" orientation="portrait" r:id="rId1"/>
  <colBreaks count="1" manualBreakCount="1">
    <brk id="22" max="1048575" man="1"/>
  </colBreaks>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D9C6ABE0-D4F8-47F2-A1B5-771B83E51CAF}">
            <x14:dataBar minLength="0" maxLength="100" gradient="0">
              <x14:cfvo type="autoMin"/>
              <x14:cfvo type="autoMax"/>
              <x14:negativeFillColor rgb="FFFF0000"/>
              <x14:axisColor rgb="FF000000"/>
            </x14:dataBar>
          </x14:cfRule>
          <xm:sqref>I2:I151</xm:sqref>
        </x14:conditionalFormatting>
        <x14:conditionalFormatting xmlns:xm="http://schemas.microsoft.com/office/excel/2006/main">
          <x14:cfRule type="iconSet" priority="4" id="{67FB54F6-6653-4C53-9AC6-8E7211C65B57}">
            <x14:iconSet iconSet="3Symbols2" showValue="0" custom="1">
              <x14:cfvo type="percent">
                <xm:f>0</xm:f>
              </x14:cfvo>
              <x14:cfvo type="num">
                <xm:f>0</xm:f>
              </x14:cfvo>
              <x14:cfvo type="num">
                <xm:f>1</xm:f>
              </x14:cfvo>
              <x14:cfIcon iconSet="NoIcons" iconId="0"/>
              <x14:cfIcon iconSet="NoIcons" iconId="0"/>
              <x14:cfIcon iconSet="3Symbols2" iconId="2"/>
            </x14:iconSet>
          </x14:cfRule>
          <x14:cfRule type="iconSet" priority="5" id="{C1BF662F-A74D-4EBE-8EBA-ABC036288F51}">
            <x14:iconSet iconSet="3Symbols2" custom="1">
              <x14:cfvo type="percent">
                <xm:f>0</xm:f>
              </x14:cfvo>
              <x14:cfvo type="num">
                <xm:f>0</xm:f>
              </x14:cfvo>
              <x14:cfvo type="num">
                <xm:f>1</xm:f>
              </x14:cfvo>
              <x14:cfIcon iconSet="NoIcons" iconId="0"/>
              <x14:cfIcon iconSet="NoIcons" iconId="0"/>
              <x14:cfIcon iconSet="3Symbols2" iconId="2"/>
            </x14:iconSet>
          </x14:cfRule>
          <x14:cfRule type="iconSet" priority="6" id="{0A7099F6-FA5C-4976-8728-511B6D492A73}">
            <x14:iconSet iconSet="3Stars" showValue="0">
              <x14:cfvo type="percent">
                <xm:f>0</xm:f>
              </x14:cfvo>
              <x14:cfvo type="percent">
                <xm:f>50</xm:f>
              </x14:cfvo>
              <x14:cfvo type="percent">
                <xm:f>100</xm:f>
              </x14:cfvo>
            </x14:iconSet>
          </x14:cfRule>
          <xm:sqref>D10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9" tint="-0.249977111117893"/>
  </sheetPr>
  <dimension ref="A1:T34"/>
  <sheetViews>
    <sheetView showGridLines="0" showRowColHeaders="0" topLeftCell="A5" zoomScaleNormal="100" workbookViewId="0">
      <selection activeCell="K9" sqref="K9"/>
    </sheetView>
  </sheetViews>
  <sheetFormatPr defaultColWidth="9.140625" defaultRowHeight="14.25" x14ac:dyDescent="0.25"/>
  <cols>
    <col min="1" max="1" width="4.28515625" style="8" customWidth="1"/>
    <col min="2" max="2" width="19" style="8" customWidth="1"/>
    <col min="3" max="3" width="4.42578125" style="8" customWidth="1"/>
    <col min="4" max="4" width="9.140625" style="8"/>
    <col min="5" max="5" width="8" style="8" customWidth="1"/>
    <col min="6" max="6" width="7.42578125" style="8" customWidth="1"/>
    <col min="7" max="7" width="8.42578125" style="8" customWidth="1"/>
    <col min="8" max="8" width="9.140625" style="8"/>
    <col min="9" max="9" width="19" style="8" customWidth="1"/>
    <col min="10" max="10" width="12.140625" style="8" customWidth="1"/>
    <col min="11" max="11" width="13.28515625" style="8" customWidth="1"/>
    <col min="12" max="12" width="9.7109375" style="8" customWidth="1"/>
    <col min="13" max="13" width="9.140625" style="8" hidden="1" customWidth="1"/>
    <col min="14" max="14" width="3.140625" style="8" customWidth="1"/>
    <col min="15" max="15" width="9.42578125" style="8" bestFit="1" customWidth="1"/>
    <col min="16" max="19" width="9.140625" style="8"/>
    <col min="20" max="20" width="4.5703125" style="8" customWidth="1"/>
    <col min="21" max="16384" width="9.140625" style="8"/>
  </cols>
  <sheetData>
    <row r="1" spans="1:20" ht="165.75" customHeight="1" thickBot="1" x14ac:dyDescent="0.3"/>
    <row r="2" spans="1:20" ht="30" customHeight="1" thickBot="1" x14ac:dyDescent="0.3">
      <c r="F2" s="157" t="s">
        <v>76</v>
      </c>
      <c r="G2" s="158"/>
      <c r="H2" s="159" t="s">
        <v>25</v>
      </c>
      <c r="I2" s="159"/>
      <c r="J2" s="159"/>
      <c r="K2" s="159"/>
      <c r="L2" s="50"/>
      <c r="M2" s="27"/>
      <c r="P2" s="166" t="s">
        <v>63</v>
      </c>
      <c r="Q2" s="166"/>
      <c r="R2" s="166"/>
      <c r="S2" s="166"/>
    </row>
    <row r="3" spans="1:20" ht="30" customHeight="1" thickBot="1" x14ac:dyDescent="0.3">
      <c r="F3" s="158"/>
      <c r="G3" s="158"/>
      <c r="H3" s="160" t="s">
        <v>54</v>
      </c>
      <c r="I3" s="160"/>
      <c r="J3" s="160"/>
      <c r="K3" s="160"/>
      <c r="L3" s="85" t="str">
        <f>IF('Kết quả học tập'!C5=0,"",IF(OR(L2="",'Kết quả học tập'!C13="",GPAht=""),"",'Kết quả học tập'!C13*'MỤC TIÊU'!L2/'Kết quả học tập'!C5))</f>
        <v/>
      </c>
      <c r="M3" s="28"/>
      <c r="P3" s="166"/>
      <c r="Q3" s="166"/>
      <c r="R3" s="166"/>
      <c r="S3" s="166"/>
    </row>
    <row r="4" spans="1:20" ht="30" customHeight="1" thickBot="1" x14ac:dyDescent="0.3">
      <c r="F4" s="158"/>
      <c r="G4" s="158"/>
      <c r="H4" s="161" t="s">
        <v>55</v>
      </c>
      <c r="I4" s="161"/>
      <c r="J4" s="161"/>
      <c r="K4" s="161"/>
      <c r="L4" s="86" t="str">
        <f>IF('Kết quả học tập'!C5=0,"",IF(OR(L2="",'Kết quả học tập'!C13="",GPAht=""),"",'Kết quả học tập'!C14*'MỤC TIÊU'!L2/'Kết quả học tập'!C5))</f>
        <v/>
      </c>
      <c r="M4" s="29"/>
      <c r="P4" s="166"/>
      <c r="Q4" s="166"/>
      <c r="R4" s="166"/>
      <c r="S4" s="166"/>
    </row>
    <row r="5" spans="1:20" ht="21.75" customHeight="1" thickBot="1" x14ac:dyDescent="0.3"/>
    <row r="6" spans="1:20" ht="9" customHeight="1" thickBot="1" x14ac:dyDescent="0.3">
      <c r="A6" s="42"/>
      <c r="B6" s="43"/>
      <c r="C6" s="43"/>
      <c r="D6" s="43"/>
      <c r="E6" s="43"/>
      <c r="F6" s="43"/>
      <c r="G6" s="43"/>
      <c r="H6" s="43"/>
      <c r="I6" s="43"/>
      <c r="J6" s="43"/>
      <c r="K6" s="43"/>
      <c r="L6" s="43"/>
      <c r="M6" s="43"/>
      <c r="N6" s="43"/>
      <c r="O6" s="43"/>
      <c r="P6" s="43"/>
      <c r="Q6" s="43"/>
      <c r="R6" s="43"/>
      <c r="S6" s="43"/>
      <c r="T6" s="44"/>
    </row>
    <row r="7" spans="1:20" ht="31.5" thickBot="1" x14ac:dyDescent="0.3">
      <c r="A7" s="45"/>
      <c r="B7" s="182" t="s">
        <v>20</v>
      </c>
      <c r="C7" s="182"/>
      <c r="D7" s="182"/>
      <c r="E7" s="182"/>
      <c r="F7" s="31"/>
      <c r="G7" s="31"/>
      <c r="H7" s="191" t="s">
        <v>53</v>
      </c>
      <c r="I7" s="192"/>
      <c r="J7" s="192"/>
      <c r="K7" s="193"/>
      <c r="L7" s="31"/>
      <c r="M7" s="31"/>
      <c r="N7" s="31"/>
      <c r="O7" s="184" t="s">
        <v>24</v>
      </c>
      <c r="P7" s="184"/>
      <c r="Q7" s="184"/>
      <c r="R7" s="184"/>
      <c r="S7" s="184"/>
      <c r="T7" s="46"/>
    </row>
    <row r="8" spans="1:20" ht="21.95" customHeight="1" thickBot="1" x14ac:dyDescent="0.35">
      <c r="A8" s="45"/>
      <c r="B8" s="183" t="s">
        <v>21</v>
      </c>
      <c r="C8" s="189" t="s">
        <v>22</v>
      </c>
      <c r="D8" s="190"/>
      <c r="E8" s="87">
        <f>COUNTIF(XLC,"D")</f>
        <v>0</v>
      </c>
      <c r="F8" s="31"/>
      <c r="G8" s="31"/>
      <c r="H8" s="194" t="s">
        <v>50</v>
      </c>
      <c r="I8" s="195"/>
      <c r="J8" s="196"/>
      <c r="K8" s="89"/>
      <c r="L8" s="31"/>
      <c r="M8" s="31">
        <v>4</v>
      </c>
      <c r="N8" s="31"/>
      <c r="O8" s="185" t="s">
        <v>15</v>
      </c>
      <c r="P8" s="185"/>
      <c r="Q8" s="186"/>
      <c r="R8" s="187">
        <f>IF(OR(D_A&lt;&gt;0,D_B&lt;&gt;0,D_C&lt;&gt;0),(F14+F15+F16+H15+H16+M11)/SUM(TC),GPAht)</f>
        <v>2.9417910447761195</v>
      </c>
      <c r="S8" s="188"/>
      <c r="T8" s="46"/>
    </row>
    <row r="9" spans="1:20" ht="21.95" customHeight="1" thickBot="1" x14ac:dyDescent="0.35">
      <c r="A9" s="45"/>
      <c r="B9" s="183"/>
      <c r="C9" s="200" t="s">
        <v>23</v>
      </c>
      <c r="D9" s="201"/>
      <c r="E9" s="88">
        <f>SUMIF(XLC,"D",TC)</f>
        <v>0</v>
      </c>
      <c r="F9" s="31"/>
      <c r="G9" s="31"/>
      <c r="H9" s="197" t="s">
        <v>51</v>
      </c>
      <c r="I9" s="198"/>
      <c r="J9" s="199"/>
      <c r="K9" s="90"/>
      <c r="L9" s="31"/>
      <c r="M9" s="31">
        <v>3</v>
      </c>
      <c r="N9" s="31"/>
      <c r="O9" s="185"/>
      <c r="P9" s="185"/>
      <c r="Q9" s="186"/>
      <c r="R9" s="187"/>
      <c r="S9" s="188"/>
      <c r="T9" s="46"/>
    </row>
    <row r="10" spans="1:20" ht="21.95" customHeight="1" thickBot="1" x14ac:dyDescent="0.3">
      <c r="A10" s="45"/>
      <c r="B10" s="31"/>
      <c r="C10" s="31"/>
      <c r="D10" s="31"/>
      <c r="E10" s="31"/>
      <c r="F10" s="31"/>
      <c r="G10" s="31"/>
      <c r="H10" s="162" t="s">
        <v>52</v>
      </c>
      <c r="I10" s="163"/>
      <c r="J10" s="164"/>
      <c r="K10" s="91"/>
      <c r="L10" s="31"/>
      <c r="M10" s="31">
        <v>2</v>
      </c>
      <c r="N10" s="31"/>
      <c r="O10" s="167" t="s">
        <v>56</v>
      </c>
      <c r="P10" s="167"/>
      <c r="Q10" s="167"/>
      <c r="R10" s="167"/>
      <c r="S10" s="167"/>
      <c r="T10" s="46"/>
    </row>
    <row r="11" spans="1:20" ht="15.75" customHeight="1" x14ac:dyDescent="0.3">
      <c r="A11" s="45"/>
      <c r="B11" s="31"/>
      <c r="C11" s="31"/>
      <c r="D11" s="31"/>
      <c r="E11" s="31"/>
      <c r="F11" s="31"/>
      <c r="G11" s="31"/>
      <c r="H11" s="165" t="str">
        <f>IF(SUM(K8:K10)&gt;E9,"LỖI - Số TC nhập vào vượt quá số TC hiện có môn D","")</f>
        <v/>
      </c>
      <c r="I11" s="165"/>
      <c r="J11" s="165"/>
      <c r="K11" s="165"/>
      <c r="L11" s="31"/>
      <c r="M11" s="31">
        <f>D_A*4+D_B*3+D_C*2+C16</f>
        <v>0</v>
      </c>
      <c r="N11" s="31"/>
      <c r="O11" s="168"/>
      <c r="P11" s="168"/>
      <c r="Q11" s="168"/>
      <c r="R11" s="168"/>
      <c r="S11" s="168"/>
      <c r="T11" s="46"/>
    </row>
    <row r="12" spans="1:20" ht="10.5" customHeight="1" thickBot="1" x14ac:dyDescent="0.3">
      <c r="A12" s="47"/>
      <c r="B12" s="48"/>
      <c r="C12" s="48"/>
      <c r="D12" s="48"/>
      <c r="E12" s="48"/>
      <c r="F12" s="48"/>
      <c r="G12" s="48"/>
      <c r="H12" s="48"/>
      <c r="I12" s="48"/>
      <c r="J12" s="48"/>
      <c r="K12" s="48"/>
      <c r="L12" s="48"/>
      <c r="M12" s="48"/>
      <c r="N12" s="48"/>
      <c r="O12" s="48"/>
      <c r="P12" s="48"/>
      <c r="Q12" s="48"/>
      <c r="R12" s="48"/>
      <c r="S12" s="48"/>
      <c r="T12" s="49"/>
    </row>
    <row r="13" spans="1:20" hidden="1" x14ac:dyDescent="0.25"/>
    <row r="14" spans="1:20" hidden="1" x14ac:dyDescent="0.25">
      <c r="B14" s="8" t="s">
        <v>27</v>
      </c>
      <c r="C14" s="8">
        <f>SUM(TC)-SUMIF(XLC,"D",TC)</f>
        <v>67</v>
      </c>
      <c r="E14" s="30" t="s">
        <v>2</v>
      </c>
      <c r="F14" s="5">
        <f>SUM(ZTC_A)</f>
        <v>36</v>
      </c>
    </row>
    <row r="15" spans="1:20" hidden="1" x14ac:dyDescent="0.25">
      <c r="B15" s="8" t="s">
        <v>30</v>
      </c>
      <c r="C15" s="8">
        <f>C14+D_A+D_B+D_C</f>
        <v>67</v>
      </c>
      <c r="E15" s="30" t="s">
        <v>4</v>
      </c>
      <c r="F15" s="5">
        <f>SUM(ZTC_B)</f>
        <v>75</v>
      </c>
      <c r="G15" s="5" t="s">
        <v>3</v>
      </c>
      <c r="H15" s="5">
        <f>SUM(ZTC_Bc)</f>
        <v>17.5</v>
      </c>
      <c r="I15" s="5" t="s">
        <v>7</v>
      </c>
      <c r="J15" s="5">
        <f>SUM(ZTC_D)</f>
        <v>0</v>
      </c>
    </row>
    <row r="16" spans="1:20" hidden="1" x14ac:dyDescent="0.25">
      <c r="B16" s="8" t="s">
        <v>35</v>
      </c>
      <c r="C16" s="8">
        <f>E9-SUM(K8:K10)</f>
        <v>0</v>
      </c>
      <c r="E16" s="30" t="s">
        <v>6</v>
      </c>
      <c r="F16" s="5">
        <f>SUM(ZTC_C)</f>
        <v>6</v>
      </c>
      <c r="G16" s="5" t="s">
        <v>5</v>
      </c>
      <c r="H16" s="5">
        <f>SUM(ZTC_Cc)</f>
        <v>52.5</v>
      </c>
      <c r="I16" s="5" t="s">
        <v>8</v>
      </c>
      <c r="J16" s="5">
        <f>SUM(ZTC_F)</f>
        <v>0</v>
      </c>
    </row>
    <row r="17" spans="1:20" hidden="1" x14ac:dyDescent="0.25"/>
    <row r="18" spans="1:20" ht="15" thickBot="1" x14ac:dyDescent="0.3"/>
    <row r="19" spans="1:20" ht="15" thickBot="1" x14ac:dyDescent="0.3">
      <c r="A19" s="32"/>
      <c r="B19" s="33"/>
      <c r="C19" s="34"/>
      <c r="D19" s="34"/>
      <c r="E19" s="34"/>
      <c r="F19" s="34"/>
      <c r="G19" s="34"/>
      <c r="H19" s="34"/>
      <c r="I19" s="34"/>
      <c r="J19" s="34"/>
      <c r="K19" s="34"/>
      <c r="L19" s="34"/>
      <c r="M19" s="34"/>
      <c r="N19" s="34"/>
      <c r="O19" s="34"/>
      <c r="P19" s="34"/>
      <c r="Q19" s="34"/>
      <c r="R19" s="34"/>
      <c r="S19" s="34"/>
      <c r="T19" s="35"/>
    </row>
    <row r="20" spans="1:20" ht="31.5" thickBot="1" x14ac:dyDescent="0.3">
      <c r="A20" s="36"/>
      <c r="B20" s="182" t="s">
        <v>31</v>
      </c>
      <c r="C20" s="182"/>
      <c r="D20" s="182"/>
      <c r="E20" s="182"/>
      <c r="F20" s="31"/>
      <c r="G20" s="31"/>
      <c r="H20" s="191" t="s">
        <v>58</v>
      </c>
      <c r="I20" s="192"/>
      <c r="J20" s="192"/>
      <c r="K20" s="193"/>
      <c r="L20" s="31"/>
      <c r="M20" s="31"/>
      <c r="N20" s="31"/>
      <c r="O20" s="184" t="s">
        <v>34</v>
      </c>
      <c r="P20" s="184"/>
      <c r="Q20" s="184"/>
      <c r="R20" s="184"/>
      <c r="S20" s="184"/>
      <c r="T20" s="37"/>
    </row>
    <row r="21" spans="1:20" ht="21" customHeight="1" thickBot="1" x14ac:dyDescent="0.35">
      <c r="A21" s="36"/>
      <c r="B21" s="183" t="s">
        <v>32</v>
      </c>
      <c r="C21" s="189" t="s">
        <v>22</v>
      </c>
      <c r="D21" s="190"/>
      <c r="E21" s="87">
        <f>COUNTIF(XLC,"F")</f>
        <v>0</v>
      </c>
      <c r="F21" s="31"/>
      <c r="G21" s="31"/>
      <c r="H21" s="194" t="s">
        <v>59</v>
      </c>
      <c r="I21" s="195"/>
      <c r="J21" s="196"/>
      <c r="K21" s="92"/>
      <c r="L21" s="31"/>
      <c r="M21" s="31">
        <v>4</v>
      </c>
      <c r="N21" s="31"/>
      <c r="O21" s="185" t="s">
        <v>15</v>
      </c>
      <c r="P21" s="185"/>
      <c r="Q21" s="186"/>
      <c r="R21" s="202">
        <f>IF(OR(F_A&lt;&gt;0,F_B&lt;&gt;0,F_C&lt;&gt;0,F_D&lt;&gt;0),(F14+F15+F16+H15+H16+J15+M25)/SUM(TC),GPAht)</f>
        <v>2.9417910447761195</v>
      </c>
      <c r="S21" s="203"/>
      <c r="T21" s="37"/>
    </row>
    <row r="22" spans="1:20" ht="22.5" customHeight="1" thickBot="1" x14ac:dyDescent="0.35">
      <c r="A22" s="36"/>
      <c r="B22" s="183"/>
      <c r="C22" s="200" t="s">
        <v>23</v>
      </c>
      <c r="D22" s="201"/>
      <c r="E22" s="88">
        <f>SUMIF(XLC,"F",TC)</f>
        <v>0</v>
      </c>
      <c r="F22" s="31"/>
      <c r="G22" s="31"/>
      <c r="H22" s="197" t="s">
        <v>60</v>
      </c>
      <c r="I22" s="198"/>
      <c r="J22" s="199"/>
      <c r="K22" s="93"/>
      <c r="L22" s="31"/>
      <c r="M22" s="31">
        <v>3</v>
      </c>
      <c r="N22" s="31"/>
      <c r="O22" s="185"/>
      <c r="P22" s="185"/>
      <c r="Q22" s="186"/>
      <c r="R22" s="204"/>
      <c r="S22" s="205"/>
      <c r="T22" s="37"/>
    </row>
    <row r="23" spans="1:20" ht="22.5" customHeight="1" thickBot="1" x14ac:dyDescent="0.3">
      <c r="A23" s="36"/>
      <c r="B23" s="31"/>
      <c r="C23" s="31"/>
      <c r="D23" s="31"/>
      <c r="E23" s="31"/>
      <c r="F23" s="31"/>
      <c r="G23" s="31"/>
      <c r="H23" s="162" t="s">
        <v>61</v>
      </c>
      <c r="I23" s="163"/>
      <c r="J23" s="164"/>
      <c r="K23" s="93"/>
      <c r="L23" s="31"/>
      <c r="M23" s="31">
        <v>2</v>
      </c>
      <c r="N23" s="31"/>
      <c r="O23" s="167" t="s">
        <v>57</v>
      </c>
      <c r="P23" s="167"/>
      <c r="Q23" s="167"/>
      <c r="R23" s="167"/>
      <c r="S23" s="167"/>
      <c r="T23" s="37"/>
    </row>
    <row r="24" spans="1:20" ht="23.25" customHeight="1" thickBot="1" x14ac:dyDescent="0.3">
      <c r="A24" s="36"/>
      <c r="B24" s="31"/>
      <c r="C24" s="31"/>
      <c r="D24" s="31"/>
      <c r="E24" s="31"/>
      <c r="F24" s="31"/>
      <c r="G24" s="31"/>
      <c r="H24" s="162" t="s">
        <v>62</v>
      </c>
      <c r="I24" s="163"/>
      <c r="J24" s="164"/>
      <c r="K24" s="94"/>
      <c r="L24" s="31"/>
      <c r="M24" s="31">
        <v>1</v>
      </c>
      <c r="N24" s="31"/>
      <c r="O24" s="168"/>
      <c r="P24" s="168"/>
      <c r="Q24" s="168"/>
      <c r="R24" s="168"/>
      <c r="S24" s="168"/>
      <c r="T24" s="37"/>
    </row>
    <row r="25" spans="1:20" ht="16.5" x14ac:dyDescent="0.3">
      <c r="A25" s="36"/>
      <c r="B25" s="31"/>
      <c r="C25" s="31"/>
      <c r="D25" s="31"/>
      <c r="E25" s="31"/>
      <c r="F25" s="31"/>
      <c r="G25" s="31"/>
      <c r="H25" s="165" t="str">
        <f>IF(SUM(K21:K24)&gt;E22,"LỖI - Số TC nhập vào vượt quá số TC hiện có môn F","")</f>
        <v/>
      </c>
      <c r="I25" s="165"/>
      <c r="J25" s="165"/>
      <c r="K25" s="165"/>
      <c r="L25" s="31"/>
      <c r="M25" s="31">
        <f>F_A*4+F_B*3+F_C*2+F_D</f>
        <v>0</v>
      </c>
      <c r="N25" s="31"/>
      <c r="O25" s="31"/>
      <c r="P25" s="31"/>
      <c r="Q25" s="31"/>
      <c r="R25" s="31"/>
      <c r="S25" s="31"/>
      <c r="T25" s="37"/>
    </row>
    <row r="26" spans="1:20" ht="10.5" customHeight="1" thickBot="1" x14ac:dyDescent="0.35">
      <c r="A26" s="38"/>
      <c r="B26" s="39"/>
      <c r="C26" s="39"/>
      <c r="D26" s="39"/>
      <c r="E26" s="39"/>
      <c r="F26" s="39"/>
      <c r="G26" s="39"/>
      <c r="H26" s="40"/>
      <c r="I26" s="40"/>
      <c r="J26" s="40"/>
      <c r="K26" s="40"/>
      <c r="L26" s="39"/>
      <c r="M26" s="39"/>
      <c r="N26" s="39"/>
      <c r="O26" s="39"/>
      <c r="P26" s="39"/>
      <c r="Q26" s="39"/>
      <c r="R26" s="39"/>
      <c r="S26" s="39"/>
      <c r="T26" s="41"/>
    </row>
    <row r="27" spans="1:20" hidden="1" x14ac:dyDescent="0.25">
      <c r="B27" s="8" t="s">
        <v>33</v>
      </c>
      <c r="C27" s="8">
        <f>SUM(TC)-SUMIF(XLC,"F",TC)</f>
        <v>67</v>
      </c>
      <c r="E27" s="8" t="s">
        <v>71</v>
      </c>
      <c r="H27" s="8">
        <f>SUM(TC)-SUMIF(XLC,"F",TC)-SUMIF(XLC,"D",TC)</f>
        <v>67</v>
      </c>
    </row>
    <row r="28" spans="1:20" hidden="1" x14ac:dyDescent="0.25">
      <c r="B28" s="8" t="s">
        <v>30</v>
      </c>
      <c r="C28" s="8">
        <f>C27+F_A+F_B+F_C+F_D</f>
        <v>67</v>
      </c>
      <c r="E28" s="8" t="s">
        <v>72</v>
      </c>
      <c r="H28" s="8">
        <f>H27+D_A+D_B+D_C+F_A+F_B+F_C+F_D</f>
        <v>67</v>
      </c>
    </row>
    <row r="29" spans="1:20" ht="15" hidden="1" customHeight="1" x14ac:dyDescent="0.25">
      <c r="B29" s="8" t="s">
        <v>36</v>
      </c>
      <c r="C29" s="8">
        <f>E22-SUM(K21:K24)</f>
        <v>0</v>
      </c>
    </row>
    <row r="30" spans="1:20" ht="15" thickBot="1" x14ac:dyDescent="0.3"/>
    <row r="31" spans="1:20" ht="30.75" customHeight="1" thickTop="1" thickBot="1" x14ac:dyDescent="0.3">
      <c r="O31" s="169" t="s">
        <v>64</v>
      </c>
      <c r="P31" s="170"/>
      <c r="Q31" s="170"/>
      <c r="R31" s="170"/>
      <c r="S31" s="171"/>
    </row>
    <row r="32" spans="1:20" ht="17.25" customHeight="1" thickBot="1" x14ac:dyDescent="0.3">
      <c r="O32" s="172" t="s">
        <v>15</v>
      </c>
      <c r="P32" s="173"/>
      <c r="Q32" s="174"/>
      <c r="R32" s="178">
        <f>IF(OR(F_A&lt;&gt;0,F_B&lt;&gt;0,F_C&lt;&gt;0,F_D&lt;&gt;0,D_A&lt;&gt;0,D_B&lt;&gt;0,D_C&lt;&gt;0),(F14+(D_A+F_A)*4+F15+(D_B+F_B)*3+F16+(D_C+F_C)*2+H15+H16+F_D+C16)/SUM(TC),GPAht)</f>
        <v>2.9417910447761195</v>
      </c>
      <c r="S32" s="179"/>
      <c r="T32" s="154" t="str">
        <f>IF(OR(GPAht="",GPA_mt=0),"",IF(R32/GPA_mt&lt;=1,"",1))</f>
        <v/>
      </c>
    </row>
    <row r="33" spans="8:20" ht="30" customHeight="1" thickBot="1" x14ac:dyDescent="0.3">
      <c r="O33" s="175"/>
      <c r="P33" s="176"/>
      <c r="Q33" s="177"/>
      <c r="R33" s="180"/>
      <c r="S33" s="181"/>
      <c r="T33" s="154"/>
    </row>
    <row r="34" spans="8:20" ht="15" thickTop="1" x14ac:dyDescent="0.25">
      <c r="H34" s="8" t="s">
        <v>65</v>
      </c>
      <c r="I34" s="156" t="s">
        <v>66</v>
      </c>
      <c r="J34" s="156"/>
      <c r="K34" s="156"/>
      <c r="O34" s="155" t="str">
        <f>IF(OR(GPAht="",GPA_mt=0),"",IF(R32/GPA_mt&lt;=1,"","Nếu cải thiện được bạn sẽ hoàn thành GPA mục tiêu!"))</f>
        <v/>
      </c>
      <c r="P34" s="155"/>
      <c r="Q34" s="155"/>
      <c r="R34" s="155"/>
      <c r="S34" s="155"/>
    </row>
  </sheetData>
  <sheetProtection algorithmName="SHA-512" hashValue="0W4n5MrkkJQVPREnjilaK/YO1nnCAmjaUL85AlniobupF2kV/NMqVul1E0nPVXNlYkcvYbxrnWtlld+OUeCvWg==" saltValue="bK4N+CM52ymo9J0HdV2gHQ==" spinCount="100000" sheet="1" objects="1" scenarios="1" selectLockedCells="1"/>
  <mergeCells count="38">
    <mergeCell ref="O20:S20"/>
    <mergeCell ref="O21:Q22"/>
    <mergeCell ref="R21:S22"/>
    <mergeCell ref="C21:D21"/>
    <mergeCell ref="C22:D22"/>
    <mergeCell ref="H11:K11"/>
    <mergeCell ref="H23:J23"/>
    <mergeCell ref="H20:K20"/>
    <mergeCell ref="B20:E20"/>
    <mergeCell ref="B21:B22"/>
    <mergeCell ref="H21:J21"/>
    <mergeCell ref="H22:J22"/>
    <mergeCell ref="B7:E7"/>
    <mergeCell ref="B8:B9"/>
    <mergeCell ref="O7:S7"/>
    <mergeCell ref="O8:Q9"/>
    <mergeCell ref="R8:S9"/>
    <mergeCell ref="C8:D8"/>
    <mergeCell ref="H7:K7"/>
    <mergeCell ref="H8:J8"/>
    <mergeCell ref="H9:J9"/>
    <mergeCell ref="C9:D9"/>
    <mergeCell ref="T32:T33"/>
    <mergeCell ref="O34:S34"/>
    <mergeCell ref="I34:K34"/>
    <mergeCell ref="F2:G4"/>
    <mergeCell ref="H2:K2"/>
    <mergeCell ref="H3:K3"/>
    <mergeCell ref="H4:K4"/>
    <mergeCell ref="H10:J10"/>
    <mergeCell ref="H25:K25"/>
    <mergeCell ref="H24:J24"/>
    <mergeCell ref="P2:S4"/>
    <mergeCell ref="O10:S11"/>
    <mergeCell ref="O23:S24"/>
    <mergeCell ref="O31:S31"/>
    <mergeCell ref="O32:Q33"/>
    <mergeCell ref="R32:S33"/>
  </mergeCells>
  <dataValidations count="7">
    <dataValidation type="whole" allowBlank="1" showInputMessage="1" showErrorMessage="1" errorTitle="LỖI - Vượt quá số TC môn F" error="Số TC bạn vừa nhập vượt quá số TC môn F._x000a_Bạn vui lòng nhập lại." sqref="K21" xr:uid="{00000000-0002-0000-0200-000000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2" xr:uid="{00000000-0002-0000-0200-000001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3" xr:uid="{00000000-0002-0000-0200-000002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4" xr:uid="{00000000-0002-0000-0200-000003000000}">
      <formula1>0</formula1>
      <formula2>E22</formula2>
    </dataValidation>
    <dataValidation type="whole" allowBlank="1" showInputMessage="1" showErrorMessage="1" errorTitle="LỖI - Vượt quá số TC môn D" error="Số TC bạn vừa nhập vượt quá số TC môn D._x000a_Bạn vui lòng nhập lại." sqref="K8:K10" xr:uid="{00000000-0002-0000-0200-000004000000}">
      <formula1>0</formula1>
      <formula2>$E$9</formula2>
    </dataValidation>
    <dataValidation type="whole" operator="lessThan" allowBlank="1" showInputMessage="1" showErrorMessage="1" errorTitle="LỖI - TC vượt quá số TC bắt buộc" error="Số TC bạn vừa nhập vượt quá số TC bắt buộc._x000a_Bạn vui lòng nhập lại!" sqref="L2" xr:uid="{00000000-0002-0000-0200-000005000000}">
      <formula1>STC_bb</formula1>
    </dataValidation>
    <dataValidation allowBlank="1" showInputMessage="1" showErrorMessage="1" promptTitle="Hoàn thành mục tiêu" sqref="T32" xr:uid="{00000000-0002-0000-0200-000006000000}"/>
  </dataValidations>
  <pageMargins left="0.7" right="0.7" top="0.75" bottom="0.75" header="0.3" footer="0.3"/>
  <pageSetup paperSize="9" orientation="portrait" horizontalDpi="200" verticalDpi="200" r:id="rId1"/>
  <drawing r:id="rId2"/>
  <picture r:id="rId3"/>
  <extLst>
    <ext xmlns:x14="http://schemas.microsoft.com/office/spreadsheetml/2009/9/main" uri="{78C0D931-6437-407d-A8EE-F0AAD7539E65}">
      <x14:conditionalFormattings>
        <x14:conditionalFormatting xmlns:xm="http://schemas.microsoft.com/office/excel/2006/main">
          <x14:cfRule type="iconSet" priority="1" id="{65FCC118-ED6F-4DF0-8062-77B10659ECA7}">
            <x14:iconSet iconSet="3Symbols2" showValue="0" custom="1">
              <x14:cfvo type="percent">
                <xm:f>0</xm:f>
              </x14:cfvo>
              <x14:cfvo type="num">
                <xm:f>0</xm:f>
              </x14:cfvo>
              <x14:cfvo type="num">
                <xm:f>1</xm:f>
              </x14:cfvo>
              <x14:cfIcon iconSet="NoIcons" iconId="0"/>
              <x14:cfIcon iconSet="NoIcons" iconId="0"/>
              <x14:cfIcon iconSet="3Symbols2" iconId="2"/>
            </x14:iconSet>
          </x14:cfRule>
          <x14:cfRule type="iconSet" priority="2" id="{F9EC018D-307D-4FB8-8516-4C4131AD84F9}">
            <x14:iconSet iconSet="3Symbols2" custom="1">
              <x14:cfvo type="percent">
                <xm:f>0</xm:f>
              </x14:cfvo>
              <x14:cfvo type="num">
                <xm:f>0</xm:f>
              </x14:cfvo>
              <x14:cfvo type="num">
                <xm:f>1</xm:f>
              </x14:cfvo>
              <x14:cfIcon iconSet="NoIcons" iconId="0"/>
              <x14:cfIcon iconSet="NoIcons" iconId="0"/>
              <x14:cfIcon iconSet="3Symbols2" iconId="2"/>
            </x14:iconSet>
          </x14:cfRule>
          <x14:cfRule type="iconSet" priority="3" id="{02A7A09C-3625-4889-B4D1-B35F33D12D29}">
            <x14:iconSet iconSet="3Stars" showValue="0">
              <x14:cfvo type="percent">
                <xm:f>0</xm:f>
              </x14:cfvo>
              <x14:cfvo type="percent">
                <xm:f>50</xm:f>
              </x14:cfvo>
              <x14:cfvo type="percent">
                <xm:f>100</xm:f>
              </x14:cfvo>
            </x14:iconSet>
          </x14:cfRule>
          <xm:sqref>T32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8" tint="-0.499984740745262"/>
  </sheetPr>
  <dimension ref="A1:K26"/>
  <sheetViews>
    <sheetView showGridLines="0" showRowColHeaders="0" topLeftCell="A25" zoomScaleNormal="100" workbookViewId="0">
      <selection activeCell="D39" sqref="D39"/>
    </sheetView>
  </sheetViews>
  <sheetFormatPr defaultColWidth="9.140625" defaultRowHeight="15" x14ac:dyDescent="0.25"/>
  <cols>
    <col min="1" max="1" width="6" style="4" customWidth="1"/>
    <col min="2" max="2" width="30.42578125" style="4" customWidth="1"/>
    <col min="3" max="3" width="11.140625" style="4" customWidth="1"/>
    <col min="4" max="8" width="9.140625" style="4"/>
    <col min="9" max="9" width="21.7109375" style="4" customWidth="1"/>
    <col min="10" max="10" width="13" style="4" customWidth="1"/>
    <col min="11" max="11" width="15" style="4" customWidth="1"/>
    <col min="12" max="16384" width="9.140625" style="4"/>
  </cols>
  <sheetData>
    <row r="1" spans="1:11" x14ac:dyDescent="0.25">
      <c r="A1" s="6"/>
      <c r="B1" s="5"/>
    </row>
    <row r="15" spans="1:11" ht="40.5" customHeight="1" x14ac:dyDescent="0.25">
      <c r="B15" s="206" t="s">
        <v>78</v>
      </c>
      <c r="C15" s="206"/>
      <c r="D15" s="206"/>
      <c r="I15" s="206" t="s">
        <v>77</v>
      </c>
      <c r="J15" s="206"/>
      <c r="K15" s="206"/>
    </row>
    <row r="16" spans="1:11" ht="18" customHeight="1" x14ac:dyDescent="0.25">
      <c r="B16" s="7" t="s">
        <v>40</v>
      </c>
      <c r="C16" s="209" t="str">
        <f>SUM('Kết quả học tập'!M:M)&amp;" môn"</f>
        <v>24 môn</v>
      </c>
      <c r="D16" s="210"/>
      <c r="E16" s="8"/>
      <c r="I16" s="7" t="s">
        <v>37</v>
      </c>
      <c r="J16" s="7" t="s">
        <v>38</v>
      </c>
      <c r="K16" s="7" t="s">
        <v>39</v>
      </c>
    </row>
    <row r="17" spans="2:11" ht="16.5" x14ac:dyDescent="0.25">
      <c r="B17" s="9" t="s">
        <v>41</v>
      </c>
      <c r="C17" s="211">
        <f>COUNTIF(TD_10_tn,10)</f>
        <v>0</v>
      </c>
      <c r="D17" s="212"/>
      <c r="E17" s="8"/>
      <c r="I17" s="54" t="s">
        <v>1</v>
      </c>
      <c r="J17" s="55">
        <f>SUMIF(XLC,"A+",TC)</f>
        <v>2</v>
      </c>
      <c r="K17" s="56">
        <f>COUNTIF(XLC,"A+")</f>
        <v>1</v>
      </c>
    </row>
    <row r="18" spans="2:11" ht="16.5" x14ac:dyDescent="0.25">
      <c r="B18" s="10" t="s">
        <v>43</v>
      </c>
      <c r="C18" s="213">
        <f>COUNTIF('Kết quả học tập'!V2:V2,9)</f>
        <v>0</v>
      </c>
      <c r="D18" s="214"/>
      <c r="E18" s="8"/>
      <c r="I18" s="11" t="s">
        <v>2</v>
      </c>
      <c r="J18" s="12">
        <f>SUMIF(XLC,"A",TC)</f>
        <v>7</v>
      </c>
      <c r="K18" s="13">
        <f>COUNTIF(XLC,"A")</f>
        <v>2</v>
      </c>
    </row>
    <row r="19" spans="2:11" ht="16.5" x14ac:dyDescent="0.25">
      <c r="B19" s="14" t="s">
        <v>42</v>
      </c>
      <c r="C19" s="213">
        <f>COUNTIF('Kết quả học tập'!V2:V2,8)</f>
        <v>0</v>
      </c>
      <c r="D19" s="214"/>
      <c r="I19" s="57" t="s">
        <v>3</v>
      </c>
      <c r="J19" s="55">
        <f>SUMIF(XLC,"B+",TC)</f>
        <v>5</v>
      </c>
      <c r="K19" s="56">
        <f>COUNTIF(XLC,"B+")</f>
        <v>2</v>
      </c>
    </row>
    <row r="20" spans="2:11" ht="16.5" x14ac:dyDescent="0.3">
      <c r="B20" s="15" t="s">
        <v>47</v>
      </c>
      <c r="C20" s="215">
        <f>STC_bb</f>
        <v>140</v>
      </c>
      <c r="D20" s="216"/>
      <c r="I20" s="16" t="s">
        <v>4</v>
      </c>
      <c r="J20" s="12">
        <f>SUMIF(XLC,"B",TC)</f>
        <v>25</v>
      </c>
      <c r="K20" s="13">
        <f>COUNTIF(XLC,"B")</f>
        <v>9</v>
      </c>
    </row>
    <row r="21" spans="2:11" ht="16.5" x14ac:dyDescent="0.25">
      <c r="B21" s="17" t="s">
        <v>45</v>
      </c>
      <c r="C21" s="211">
        <f>SUM(TC)</f>
        <v>67</v>
      </c>
      <c r="D21" s="212"/>
      <c r="I21" s="57" t="s">
        <v>5</v>
      </c>
      <c r="J21" s="55">
        <f>SUMIF(XLC,"C+",TC)</f>
        <v>21</v>
      </c>
      <c r="K21" s="56">
        <f>COUNTIF(XLC,"C+")</f>
        <v>7</v>
      </c>
    </row>
    <row r="22" spans="2:11" ht="16.5" x14ac:dyDescent="0.25">
      <c r="B22" s="14" t="s">
        <v>46</v>
      </c>
      <c r="C22" s="207">
        <f>C20-C21</f>
        <v>73</v>
      </c>
      <c r="D22" s="208"/>
      <c r="I22" s="16" t="s">
        <v>6</v>
      </c>
      <c r="J22" s="12">
        <f>SUMIF(XLC,"C",TC)</f>
        <v>3</v>
      </c>
      <c r="K22" s="13">
        <f>COUNTIF(XLC,"C")</f>
        <v>1</v>
      </c>
    </row>
    <row r="23" spans="2:11" ht="16.5" x14ac:dyDescent="0.25">
      <c r="I23" s="58" t="s">
        <v>7</v>
      </c>
      <c r="J23" s="59">
        <f>SUMIF(XLC,"D",TC)</f>
        <v>0</v>
      </c>
      <c r="K23" s="60">
        <f>COUNTIF(XLC,"D")</f>
        <v>0</v>
      </c>
    </row>
    <row r="24" spans="2:11" ht="16.5" x14ac:dyDescent="0.25">
      <c r="I24" s="16" t="s">
        <v>8</v>
      </c>
      <c r="J24" s="12">
        <f>SUMIF(XLC,"F",TC)</f>
        <v>0</v>
      </c>
      <c r="K24" s="13">
        <f>COUNTIF(XLC,"F")</f>
        <v>0</v>
      </c>
    </row>
    <row r="25" spans="2:11" ht="16.5" x14ac:dyDescent="0.3">
      <c r="I25" s="18"/>
      <c r="J25" s="18"/>
      <c r="K25" s="18"/>
    </row>
    <row r="26" spans="2:11" ht="16.5" x14ac:dyDescent="0.3">
      <c r="I26" s="18"/>
      <c r="J26" s="18"/>
      <c r="K26" s="18"/>
    </row>
  </sheetData>
  <sheetProtection algorithmName="SHA-512" hashValue="itVPSA2SJcVtjNnvOapAaGpknsj0AzrkyYfY/5hUj+7h1E8dZF9Yd2+N/2eFzXrBIip4WYuAIVY8dS53KyUjWA==" saltValue="4zlpgZxdFba0ny0Uh6pI6g==" spinCount="100000" sheet="1" objects="1" scenarios="1" selectLockedCells="1" selectUnlockedCells="1"/>
  <mergeCells count="9">
    <mergeCell ref="I15:K15"/>
    <mergeCell ref="B15:D15"/>
    <mergeCell ref="C22:D22"/>
    <mergeCell ref="C16:D16"/>
    <mergeCell ref="C17:D17"/>
    <mergeCell ref="C18:D18"/>
    <mergeCell ref="C19:D19"/>
    <mergeCell ref="C20:D20"/>
    <mergeCell ref="C21:D21"/>
  </mergeCells>
  <pageMargins left="0.7" right="0.7" top="0.75" bottom="0.75" header="0.3" footer="0.3"/>
  <pageSetup paperSize="0" orientation="portrait" horizontalDpi="0" verticalDpi="0" copies="0"/>
  <ignoredErrors>
    <ignoredError sqref="C18" formula="1"/>
  </ignoredErrors>
  <drawing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3898B2"/>
  </sheetPr>
  <dimension ref="A1:J21"/>
  <sheetViews>
    <sheetView showGridLines="0" showRowColHeaders="0" workbookViewId="0">
      <selection activeCell="E1" sqref="E1"/>
    </sheetView>
  </sheetViews>
  <sheetFormatPr defaultRowHeight="15" x14ac:dyDescent="0.25"/>
  <cols>
    <col min="9" max="9" width="12.7109375" customWidth="1"/>
  </cols>
  <sheetData>
    <row r="1" spans="1:10" ht="34.5" thickTop="1" thickBot="1" x14ac:dyDescent="0.35">
      <c r="A1" s="97"/>
      <c r="B1" s="98" t="s">
        <v>88</v>
      </c>
      <c r="C1" s="97"/>
      <c r="D1" s="97"/>
      <c r="E1" s="97"/>
      <c r="F1" s="97"/>
      <c r="G1" s="97"/>
      <c r="H1" s="97"/>
      <c r="I1" s="97"/>
      <c r="J1" s="52"/>
    </row>
    <row r="2" spans="1:10" ht="17.25" thickTop="1" x14ac:dyDescent="0.3">
      <c r="A2" s="52"/>
      <c r="B2" s="52"/>
      <c r="C2" s="52"/>
      <c r="D2" s="52"/>
      <c r="E2" s="52"/>
      <c r="F2" s="52"/>
      <c r="G2" s="52"/>
      <c r="H2" s="52"/>
      <c r="I2" s="52"/>
      <c r="J2" s="52"/>
    </row>
    <row r="3" spans="1:10" ht="20.25" x14ac:dyDescent="0.3">
      <c r="A3" s="52"/>
      <c r="B3" s="52"/>
      <c r="C3" s="227" t="s">
        <v>89</v>
      </c>
      <c r="D3" s="227"/>
      <c r="E3" s="227"/>
      <c r="F3" s="227"/>
      <c r="G3" s="52"/>
      <c r="H3" s="52"/>
      <c r="I3" s="52"/>
      <c r="J3" s="52"/>
    </row>
    <row r="4" spans="1:10" ht="16.5" x14ac:dyDescent="0.3">
      <c r="A4" s="99"/>
      <c r="B4" s="99"/>
      <c r="C4" s="104"/>
      <c r="D4" s="104"/>
      <c r="E4" s="104"/>
      <c r="F4" s="104"/>
      <c r="G4" s="52"/>
      <c r="H4" s="52"/>
      <c r="I4" s="52"/>
      <c r="J4" s="52"/>
    </row>
    <row r="5" spans="1:10" ht="16.5" x14ac:dyDescent="0.3">
      <c r="A5" s="52"/>
      <c r="B5" s="228"/>
      <c r="C5" s="229" t="s">
        <v>90</v>
      </c>
      <c r="D5" s="229"/>
      <c r="E5" s="229"/>
      <c r="F5" s="229"/>
      <c r="G5" s="52"/>
      <c r="H5" s="52"/>
      <c r="I5" s="52"/>
      <c r="J5" s="52"/>
    </row>
    <row r="6" spans="1:10" ht="16.5" x14ac:dyDescent="0.3">
      <c r="A6" s="52"/>
      <c r="B6" s="228"/>
      <c r="C6" s="229"/>
      <c r="D6" s="229"/>
      <c r="E6" s="229"/>
      <c r="F6" s="229"/>
      <c r="G6" s="52"/>
      <c r="H6" s="52"/>
      <c r="I6" s="52"/>
      <c r="J6" s="52"/>
    </row>
    <row r="7" spans="1:10" ht="16.5" x14ac:dyDescent="0.3">
      <c r="A7" s="52"/>
      <c r="B7" s="52"/>
      <c r="C7" s="104"/>
      <c r="D7" s="104"/>
      <c r="E7" s="104"/>
      <c r="F7" s="104"/>
      <c r="G7" s="52"/>
      <c r="H7" s="52"/>
      <c r="I7" s="52"/>
      <c r="J7" s="52"/>
    </row>
    <row r="8" spans="1:10" ht="16.5" x14ac:dyDescent="0.3">
      <c r="A8" s="52"/>
      <c r="B8" s="228"/>
      <c r="C8" s="230" t="s">
        <v>91</v>
      </c>
      <c r="D8" s="231"/>
      <c r="E8" s="231"/>
      <c r="F8" s="231"/>
      <c r="G8" s="52"/>
      <c r="H8" s="52"/>
      <c r="I8" s="52"/>
      <c r="J8" s="52"/>
    </row>
    <row r="9" spans="1:10" ht="16.5" x14ac:dyDescent="0.3">
      <c r="A9" s="52"/>
      <c r="B9" s="228"/>
      <c r="C9" s="231"/>
      <c r="D9" s="231"/>
      <c r="E9" s="231"/>
      <c r="F9" s="231"/>
      <c r="G9" s="52"/>
      <c r="H9" s="52"/>
      <c r="I9" s="52"/>
      <c r="J9" s="52"/>
    </row>
    <row r="10" spans="1:10" ht="16.5" x14ac:dyDescent="0.3">
      <c r="A10" s="52"/>
      <c r="B10" s="52"/>
      <c r="C10" s="52"/>
      <c r="D10" s="52"/>
      <c r="E10" s="52"/>
      <c r="F10" s="52"/>
      <c r="G10" s="52"/>
      <c r="H10" s="52"/>
      <c r="I10" s="52"/>
      <c r="J10" s="52"/>
    </row>
    <row r="11" spans="1:10" ht="16.5" x14ac:dyDescent="0.3">
      <c r="A11" s="52"/>
      <c r="B11" s="228"/>
      <c r="C11" s="232"/>
      <c r="D11" s="233"/>
      <c r="E11" s="233"/>
      <c r="F11" s="233"/>
      <c r="G11" s="52"/>
      <c r="H11" s="217"/>
      <c r="I11" s="217"/>
      <c r="J11" s="52"/>
    </row>
    <row r="12" spans="1:10" ht="16.5" x14ac:dyDescent="0.3">
      <c r="A12" s="52"/>
      <c r="B12" s="228"/>
      <c r="C12" s="233"/>
      <c r="D12" s="233"/>
      <c r="E12" s="233"/>
      <c r="F12" s="233"/>
      <c r="G12" s="52"/>
      <c r="H12" s="217"/>
      <c r="I12" s="217"/>
      <c r="J12" s="52"/>
    </row>
    <row r="13" spans="1:10" ht="17.25" thickBot="1" x14ac:dyDescent="0.35">
      <c r="A13" s="52"/>
      <c r="B13" s="52"/>
      <c r="C13" s="52"/>
      <c r="D13" s="52"/>
      <c r="E13" s="52"/>
      <c r="F13" s="52"/>
      <c r="G13" s="52"/>
      <c r="H13" s="52"/>
      <c r="I13" s="52"/>
      <c r="J13" s="52"/>
    </row>
    <row r="14" spans="1:10" ht="17.25" thickBot="1" x14ac:dyDescent="0.35">
      <c r="A14" s="52"/>
      <c r="B14" s="100" t="s">
        <v>70</v>
      </c>
      <c r="C14" s="101"/>
      <c r="D14" s="51"/>
      <c r="E14" s="51"/>
      <c r="F14" s="51"/>
      <c r="G14" s="51"/>
      <c r="H14" s="51"/>
      <c r="I14" s="52"/>
      <c r="J14" s="52"/>
    </row>
    <row r="15" spans="1:10" ht="18.75" customHeight="1" thickTop="1" x14ac:dyDescent="0.3">
      <c r="A15" s="52"/>
      <c r="B15" s="218" t="s">
        <v>92</v>
      </c>
      <c r="C15" s="219"/>
      <c r="D15" s="219"/>
      <c r="E15" s="219"/>
      <c r="F15" s="219"/>
      <c r="G15" s="219"/>
      <c r="H15" s="220"/>
      <c r="I15" s="52"/>
      <c r="J15" s="52"/>
    </row>
    <row r="16" spans="1:10" ht="18" customHeight="1" x14ac:dyDescent="0.3">
      <c r="A16" s="52"/>
      <c r="B16" s="221" t="s">
        <v>94</v>
      </c>
      <c r="C16" s="222"/>
      <c r="D16" s="222"/>
      <c r="E16" s="222"/>
      <c r="F16" s="222"/>
      <c r="G16" s="222"/>
      <c r="H16" s="223"/>
      <c r="I16" s="52"/>
      <c r="J16" s="52"/>
    </row>
    <row r="17" spans="1:10" ht="19.5" customHeight="1" thickBot="1" x14ac:dyDescent="0.35">
      <c r="A17" s="52"/>
      <c r="B17" s="224" t="s">
        <v>93</v>
      </c>
      <c r="C17" s="225"/>
      <c r="D17" s="225"/>
      <c r="E17" s="225"/>
      <c r="F17" s="225"/>
      <c r="G17" s="225"/>
      <c r="H17" s="226"/>
      <c r="I17" s="52"/>
      <c r="J17" s="52"/>
    </row>
    <row r="18" spans="1:10" ht="17.25" thickTop="1" x14ac:dyDescent="0.3">
      <c r="A18" s="52"/>
      <c r="B18" s="52"/>
      <c r="C18" s="52"/>
      <c r="D18" s="52"/>
      <c r="E18" s="52"/>
      <c r="F18" s="52"/>
      <c r="G18" s="52"/>
      <c r="H18" s="52"/>
      <c r="I18" s="52"/>
      <c r="J18" s="52"/>
    </row>
    <row r="19" spans="1:10" ht="16.5" x14ac:dyDescent="0.3">
      <c r="A19" s="52"/>
      <c r="B19" s="102"/>
      <c r="C19" s="52"/>
      <c r="D19" s="52"/>
      <c r="E19" s="52"/>
      <c r="F19" s="52"/>
      <c r="G19" s="52"/>
      <c r="H19" s="52"/>
      <c r="I19" s="52"/>
      <c r="J19" s="52"/>
    </row>
    <row r="20" spans="1:10" ht="16.5" x14ac:dyDescent="0.3">
      <c r="A20" s="52"/>
      <c r="B20" s="52"/>
      <c r="C20" s="103"/>
      <c r="D20" s="103"/>
      <c r="E20" s="103"/>
      <c r="F20" s="103"/>
      <c r="G20" s="103"/>
      <c r="H20" s="103"/>
      <c r="I20" s="52"/>
      <c r="J20" s="52"/>
    </row>
    <row r="21" spans="1:10" ht="16.5" x14ac:dyDescent="0.3">
      <c r="A21" s="52"/>
      <c r="B21" s="103"/>
      <c r="C21" s="103"/>
      <c r="D21" s="103"/>
      <c r="E21" s="103"/>
      <c r="F21" s="103"/>
      <c r="G21" s="103"/>
      <c r="H21" s="103"/>
      <c r="I21" s="52"/>
      <c r="J21" s="52"/>
    </row>
  </sheetData>
  <sheetProtection algorithmName="SHA-512" hashValue="iGUczwr8iRpec8wSK+NyAMMfz3/NDMB23WEfI+Ra8YxkWkaIVbfPGMPbkccFmbUXEeS0qy+FGS/QEe8wH2jIlg==" saltValue="Gv5JU+kAVxCsnqLvbu9gPQ==" spinCount="100000" sheet="1" objects="1" scenarios="1" selectLockedCells="1" selectUnlockedCells="1"/>
  <mergeCells count="11">
    <mergeCell ref="H11:I12"/>
    <mergeCell ref="B15:H15"/>
    <mergeCell ref="B16:H16"/>
    <mergeCell ref="B17:H17"/>
    <mergeCell ref="C3:F3"/>
    <mergeCell ref="B5:B6"/>
    <mergeCell ref="C5:F6"/>
    <mergeCell ref="B8:B9"/>
    <mergeCell ref="C8:F9"/>
    <mergeCell ref="B11:B12"/>
    <mergeCell ref="C11:F12"/>
  </mergeCells>
  <hyperlinks>
    <hyperlink ref="C8" r:id="rId1" xr:uid="{00000000-0004-0000-0400-000000000000}"/>
    <hyperlink ref="C3:F3" r:id="rId2" display="Dương Cẩm Châu" xr:uid="{00000000-0004-0000-0400-000001000000}"/>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GIỚI THIỆU</vt:lpstr>
      <vt:lpstr>Kết quả học tập</vt:lpstr>
      <vt:lpstr>MỤC TIÊU</vt:lpstr>
      <vt:lpstr>THỐNG KÊ</vt:lpstr>
      <vt:lpstr>KD</vt:lpstr>
      <vt:lpstr>D_A</vt:lpstr>
      <vt:lpstr>D_B</vt:lpstr>
      <vt:lpstr>D_C</vt:lpstr>
      <vt:lpstr>F_A</vt:lpstr>
      <vt:lpstr>F_B</vt:lpstr>
      <vt:lpstr>F_C</vt:lpstr>
      <vt:lpstr>F_D</vt:lpstr>
      <vt:lpstr>GPA_mt</vt:lpstr>
      <vt:lpstr>GPAht</vt:lpstr>
      <vt:lpstr>'Kết quả học tập'!Print_Area</vt:lpstr>
      <vt:lpstr>'THỐNG KÊ'!Print_Area</vt:lpstr>
      <vt:lpstr>STC_bb</vt:lpstr>
      <vt:lpstr>TC</vt:lpstr>
      <vt:lpstr>TD_10_tn</vt:lpstr>
      <vt:lpstr>TD_4</vt:lpstr>
      <vt:lpstr>TEN</vt:lpstr>
      <vt:lpstr>TLTB</vt:lpstr>
      <vt:lpstr>XL</vt:lpstr>
      <vt:lpstr>XLC</vt:lpstr>
      <vt:lpstr>ZTC_A</vt:lpstr>
      <vt:lpstr>ZTC_B</vt:lpstr>
      <vt:lpstr>ZTC_Bc</vt:lpstr>
      <vt:lpstr>ZTC_C</vt:lpstr>
      <vt:lpstr>ZTC_Cc</vt:lpstr>
      <vt:lpstr>ZTC_D</vt:lpstr>
      <vt:lpstr>ZTC_F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KD Study</dc:title>
  <dc:creator>Kelvin Dương</dc:creator>
  <cp:keywords>kelvin-duong.blogspot.com</cp:keywords>
  <dc:description>Hãy ghé thăm Blog của mình tại Kelvin Duong's Blog - http://kelvin-duong.blogspot.com</dc:description>
  <cp:lastModifiedBy>huy vo</cp:lastModifiedBy>
  <dcterms:created xsi:type="dcterms:W3CDTF">2006-09-16T00:00:00Z</dcterms:created>
  <dcterms:modified xsi:type="dcterms:W3CDTF">2022-08-29T12:55:06Z</dcterms:modified>
  <cp:contentStatus>Complete</cp:contentStatus>
</cp:coreProperties>
</file>