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c\Desktop\Methanogen Research\Media_Methanosarcina\"/>
    </mc:Choice>
  </mc:AlternateContent>
  <xr:revisionPtr revIDLastSave="0" documentId="13_ncr:1_{EEB93825-78BD-4C92-A007-0702DF26A7CF}" xr6:coauthVersionLast="31" xr6:coauthVersionMax="31" xr10:uidLastSave="{00000000-0000-0000-0000-000000000000}"/>
  <bookViews>
    <workbookView xWindow="0" yWindow="0" windowWidth="20490" windowHeight="7530" xr2:uid="{02EAA957-FBAE-4463-AAD3-7D0E6DFE0761}"/>
  </bookViews>
  <sheets>
    <sheet name="Chemicals" sheetId="1" r:id="rId1"/>
    <sheet name="Sheet2" sheetId="3" r:id="rId2"/>
    <sheet name="5X media" sheetId="4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J21" i="1"/>
  <c r="J22" i="1"/>
  <c r="J23" i="1"/>
  <c r="J24" i="1"/>
  <c r="J25" i="1"/>
  <c r="J26" i="1"/>
  <c r="J9" i="4" l="1"/>
  <c r="J13" i="4"/>
  <c r="H13" i="4"/>
  <c r="D13" i="4" s="1"/>
  <c r="E13" i="4"/>
  <c r="H12" i="4"/>
  <c r="E12" i="4"/>
  <c r="H11" i="4"/>
  <c r="D11" i="4" s="1"/>
  <c r="J11" i="4" s="1"/>
  <c r="E11" i="4"/>
  <c r="H10" i="4"/>
  <c r="E10" i="4"/>
  <c r="H9" i="4"/>
  <c r="D9" i="4" s="1"/>
  <c r="E9" i="4"/>
  <c r="H8" i="4"/>
  <c r="D8" i="4" s="1"/>
  <c r="J8" i="4" s="1"/>
  <c r="E8" i="4"/>
  <c r="H7" i="4"/>
  <c r="D7" i="4" s="1"/>
  <c r="J7" i="4" s="1"/>
  <c r="E7" i="4"/>
  <c r="H6" i="4"/>
  <c r="E6" i="4"/>
  <c r="H5" i="4"/>
  <c r="D5" i="4" s="1"/>
  <c r="J5" i="4" s="1"/>
  <c r="E5" i="4"/>
  <c r="H4" i="4"/>
  <c r="D4" i="4" s="1"/>
  <c r="J4" i="4" s="1"/>
  <c r="E4" i="4"/>
  <c r="H3" i="4"/>
  <c r="D3" i="4" s="1"/>
  <c r="J3" i="4" s="1"/>
  <c r="E3" i="4"/>
  <c r="H2" i="4"/>
  <c r="D2" i="4" s="1"/>
  <c r="J2" i="4" s="1"/>
  <c r="E2" i="4"/>
  <c r="H24" i="1"/>
  <c r="F20" i="1"/>
  <c r="H21" i="1"/>
  <c r="F21" i="1" s="1"/>
  <c r="H22" i="1"/>
  <c r="F22" i="1" s="1"/>
  <c r="D22" i="1" s="1"/>
  <c r="H23" i="1"/>
  <c r="F23" i="1" s="1"/>
  <c r="F24" i="1"/>
  <c r="H25" i="1"/>
  <c r="F25" i="1" s="1"/>
  <c r="H26" i="1"/>
  <c r="F26" i="1" s="1"/>
  <c r="D26" i="1" s="1"/>
  <c r="D12" i="4" l="1"/>
  <c r="D10" i="4"/>
  <c r="D6" i="4"/>
  <c r="K7" i="4"/>
  <c r="K11" i="4"/>
  <c r="K8" i="4"/>
  <c r="E21" i="1"/>
  <c r="D21" i="1"/>
  <c r="E25" i="1"/>
  <c r="D25" i="1"/>
  <c r="E24" i="1"/>
  <c r="D24" i="1"/>
  <c r="D23" i="1"/>
  <c r="E23" i="1"/>
  <c r="E26" i="1"/>
  <c r="E22" i="1"/>
  <c r="H17" i="1"/>
  <c r="D17" i="1" s="1"/>
  <c r="J17" i="1" s="1"/>
  <c r="J6" i="4" l="1"/>
  <c r="K6" i="4" s="1"/>
  <c r="K14" i="4" s="1"/>
  <c r="J10" i="4"/>
  <c r="K10" i="4" s="1"/>
  <c r="J12" i="4"/>
  <c r="K12" i="4" s="1"/>
  <c r="E3" i="3"/>
  <c r="F3" i="3"/>
  <c r="G3" i="3"/>
  <c r="B10" i="3" s="1"/>
  <c r="B8" i="3" s="1"/>
  <c r="B15" i="3" s="1"/>
  <c r="H9" i="1" l="1"/>
  <c r="D9" i="1" s="1"/>
  <c r="J9" i="1" s="1"/>
  <c r="H3" i="1"/>
  <c r="D3" i="1" s="1"/>
  <c r="J3" i="1" s="1"/>
  <c r="H4" i="1"/>
  <c r="D4" i="1" s="1"/>
  <c r="J4" i="1" s="1"/>
  <c r="H5" i="1"/>
  <c r="D5" i="1" s="1"/>
  <c r="J5" i="1" s="1"/>
  <c r="H6" i="1"/>
  <c r="D6" i="1" s="1"/>
  <c r="J6" i="1" s="1"/>
  <c r="H7" i="1"/>
  <c r="D7" i="1" s="1"/>
  <c r="J7" i="1" s="1"/>
  <c r="H8" i="1"/>
  <c r="D8" i="1" s="1"/>
  <c r="J8" i="1" s="1"/>
  <c r="H11" i="1"/>
  <c r="D11" i="1" s="1"/>
  <c r="J11" i="1" s="1"/>
  <c r="H12" i="1"/>
  <c r="D12" i="1" s="1"/>
  <c r="J12" i="1" s="1"/>
  <c r="H13" i="1"/>
  <c r="H14" i="1"/>
  <c r="D14" i="1" s="1"/>
  <c r="J14" i="1" s="1"/>
  <c r="D13" i="1" l="1"/>
  <c r="J13" i="1" s="1"/>
  <c r="K12" i="1"/>
  <c r="K7" i="1"/>
  <c r="K11" i="1"/>
  <c r="B3" i="3" s="1"/>
  <c r="K8" i="1"/>
  <c r="E13" i="1" l="1"/>
  <c r="E14" i="1" l="1"/>
  <c r="E12" i="1" l="1"/>
  <c r="E8" i="1" l="1"/>
  <c r="E17" i="1" l="1"/>
  <c r="E4" i="1" l="1"/>
  <c r="E5" i="1"/>
  <c r="E6" i="1"/>
  <c r="E7" i="1"/>
  <c r="E11" i="1"/>
  <c r="E3" i="1" l="1"/>
  <c r="E9" i="1"/>
  <c r="K9" i="1"/>
  <c r="K1" i="1" s="1"/>
  <c r="E10" i="1"/>
  <c r="H10" i="1"/>
  <c r="D10" i="1" s="1"/>
  <c r="J10" i="1" s="1"/>
</calcChain>
</file>

<file path=xl/sharedStrings.xml><?xml version="1.0" encoding="utf-8"?>
<sst xmlns="http://schemas.openxmlformats.org/spreadsheetml/2006/main" count="155" uniqueCount="86">
  <si>
    <t>NAME</t>
  </si>
  <si>
    <t>FORMULA</t>
  </si>
  <si>
    <t>Alamar Blue/Resazurin</t>
  </si>
  <si>
    <t>Sodium Sulfide nonahydrate</t>
  </si>
  <si>
    <t>Na2S*9H2O</t>
  </si>
  <si>
    <t>Ammonium Chloride</t>
  </si>
  <si>
    <t>NH4Cl</t>
  </si>
  <si>
    <t>CaCl2</t>
  </si>
  <si>
    <t>NaCl</t>
  </si>
  <si>
    <t>Magnesium Chloride</t>
  </si>
  <si>
    <t>MgCl</t>
  </si>
  <si>
    <t>NaH2PO4</t>
  </si>
  <si>
    <t>Sodium Selenite(Stimulates)</t>
  </si>
  <si>
    <t>Name</t>
  </si>
  <si>
    <t>Formula</t>
  </si>
  <si>
    <t>Calcium Chloride</t>
  </si>
  <si>
    <t>Sodium Molybdate (Required)</t>
  </si>
  <si>
    <t>Cobalt(II) Chloride (Required)</t>
  </si>
  <si>
    <t>In Stock?</t>
  </si>
  <si>
    <t>Molarity</t>
  </si>
  <si>
    <t>Molar Mass</t>
  </si>
  <si>
    <t>mg</t>
  </si>
  <si>
    <t>mg*10%Error</t>
  </si>
  <si>
    <t>mM</t>
  </si>
  <si>
    <t>g</t>
  </si>
  <si>
    <t>mols needed</t>
  </si>
  <si>
    <t>g(10% Error)</t>
  </si>
  <si>
    <t>CH3COONa</t>
  </si>
  <si>
    <t>Sodium Acetate</t>
  </si>
  <si>
    <t>??</t>
  </si>
  <si>
    <t>In Stock</t>
  </si>
  <si>
    <t>M</t>
  </si>
  <si>
    <t>Na2SO4</t>
  </si>
  <si>
    <t>NaHCO3</t>
  </si>
  <si>
    <t>Column1</t>
  </si>
  <si>
    <t>CoCl2*6H2O</t>
  </si>
  <si>
    <t>NiCl2*6H2O</t>
  </si>
  <si>
    <t>Na2MoO4*2H2O</t>
  </si>
  <si>
    <t>Zinc Sulfate (stimulates)</t>
  </si>
  <si>
    <t>ZnSO4*7H2O</t>
  </si>
  <si>
    <t>FeSO4*7H2O</t>
  </si>
  <si>
    <t>NaSeO3*5H2O</t>
  </si>
  <si>
    <t>1X Concentations (M)</t>
  </si>
  <si>
    <t>Sodium Sulfate</t>
  </si>
  <si>
    <t>TRACE MINERAL STOCK (50mL)</t>
  </si>
  <si>
    <t>Yeats Extract (optional for complex)</t>
  </si>
  <si>
    <t>sodium formate</t>
  </si>
  <si>
    <t>NaCOOH</t>
  </si>
  <si>
    <t>Methanol</t>
  </si>
  <si>
    <t>Ch3OH</t>
  </si>
  <si>
    <t>1g per 50mL</t>
  </si>
  <si>
    <t>Sodium Bicarbonate</t>
  </si>
  <si>
    <t>Sodium Chloride</t>
  </si>
  <si>
    <t>Ammount Added</t>
  </si>
  <si>
    <t>mols added</t>
  </si>
  <si>
    <t>Nitrilotriacetic acid</t>
  </si>
  <si>
    <t>(ADD 0.15% (W/V)</t>
  </si>
  <si>
    <t>H2SO4</t>
  </si>
  <si>
    <t>H2O</t>
  </si>
  <si>
    <t>CO2</t>
  </si>
  <si>
    <t>mols produced</t>
  </si>
  <si>
    <t>Temp( Kelvin)</t>
  </si>
  <si>
    <t>Headspace of vial (ml)</t>
  </si>
  <si>
    <t>mol constants</t>
  </si>
  <si>
    <t>R (mL atm / mol K)</t>
  </si>
  <si>
    <t>pressure(atm)</t>
  </si>
  <si>
    <t>volume gas produced (mL)</t>
  </si>
  <si>
    <t>Headspace left in vial</t>
  </si>
  <si>
    <t>2.5% Na2S Stock (10 mL)</t>
  </si>
  <si>
    <t>mols</t>
  </si>
  <si>
    <t>FORMULA2</t>
  </si>
  <si>
    <t>Na+ (M) in 1X</t>
  </si>
  <si>
    <t>Monobasic Phoshate</t>
  </si>
  <si>
    <t>mMols in hungate tubes</t>
  </si>
  <si>
    <t>Nickel(II) Chloride(required)</t>
  </si>
  <si>
    <t>Iron(II) sulfate(required)</t>
  </si>
  <si>
    <t>0.1 mL per 5mL 1X media</t>
  </si>
  <si>
    <t xml:space="preserve"> Media Stock  (250mL)</t>
  </si>
  <si>
    <t>Concentration in Media Stock (M)</t>
  </si>
  <si>
    <t>CaCl2*H2O</t>
  </si>
  <si>
    <t>MgCl*6H2O</t>
  </si>
  <si>
    <t>Total Na+(M)</t>
  </si>
  <si>
    <t>Potassium Chloride</t>
  </si>
  <si>
    <t>KCl</t>
  </si>
  <si>
    <t>1.5 mL of Mineral Stock in Media Stock</t>
  </si>
  <si>
    <t>(M) Total [Na+ content]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</si>
</sst>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2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NumberFormat="1" applyFon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1" fontId="3" fillId="0" borderId="0" xfId="0" applyNumberFormat="1" applyFont="1" applyAlignment="1">
      <alignment horizontal="center" vertical="center"/>
    </xf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46">
    <dxf>
      <numFmt numFmtId="15" formatCode="0.00E+00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2BA51-73D8-4427-96FB-13DC64ADF57F}" name="Table1" displayName="Table1" ref="A2:L14" totalsRowShown="0" headerRowDxfId="45">
  <autoFilter ref="A2:L14" xr:uid="{1D1A9D0B-8FF8-41FD-8976-8AF4DACCF92B}"/>
  <tableColumns count="12">
    <tableColumn id="2" xr3:uid="{AB3E8C72-583B-4BBC-8F0A-A61BA987CCB9}" name="NAME"/>
    <tableColumn id="3" xr3:uid="{A6EB96E5-906E-4472-AC10-63C5B7604C0B}" name="FORMULA" dataDxfId="44"/>
    <tableColumn id="4" xr3:uid="{515F5031-C928-44DA-A1CC-6EFD3C3037AD}" name="In Stock?"/>
    <tableColumn id="5" xr3:uid="{B07F95C1-958F-443D-971F-DD741A7F2EB6}" name="Molarity" dataDxfId="43">
      <calculatedColumnFormula>Table1[[#This Row],[mols]]/0.25</calculatedColumnFormula>
    </tableColumn>
    <tableColumn id="6" xr3:uid="{E13E1E96-9F22-4A7E-86E4-6F56E31585A4}" name="g(10% Error)" dataDxfId="42">
      <calculatedColumnFormula>Table1[[#This Row],[g]]*0.1+Table1[[#This Row],[g]]</calculatedColumnFormula>
    </tableColumn>
    <tableColumn id="7" xr3:uid="{7D848EC2-B89A-42C8-9A5E-C07B7B1F617E}" name="g" dataDxfId="41">
      <calculatedColumnFormula>Table1[[#This Row],[mols]]*Table1[[#This Row],[Molar Mass]]</calculatedColumnFormula>
    </tableColumn>
    <tableColumn id="8" xr3:uid="{B13BBD4B-A569-4A07-BEDC-E8A35CE4E87E}" name="Molar Mass"/>
    <tableColumn id="9" xr3:uid="{E90039ED-CA5F-4C03-B776-30599338EAD2}" name="mols" dataDxfId="40">
      <calculatedColumnFormula>Table1[[#This Row],[g]]/Table1[[#This Row],[Molar Mass]]</calculatedColumnFormula>
    </tableColumn>
    <tableColumn id="1" xr3:uid="{AC3CF79C-2FED-4F78-99B9-F2C2A72B8361}" name="Column1" dataDxfId="39"/>
    <tableColumn id="10" xr3:uid="{B7EB91F3-D4C7-4C46-8143-2EF4B68AE8AE}" name="1X Concentations (M)" dataDxfId="38">
      <calculatedColumnFormula>Table1[[#This Row],[Molarity]]</calculatedColumnFormula>
    </tableColumn>
    <tableColumn id="11" xr3:uid="{91DD83DC-3396-4D38-B7C7-149DC0770880}" name="Na+ (M) in 1X" dataDxfId="37"/>
    <tableColumn id="12" xr3:uid="{F6B758F9-277E-4CAD-B818-D017A49DDFD6}" name="FORMULA2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C34B2F-DACD-46AF-8294-EDD9EAE8CE14}" name="Table2" displayName="Table2" ref="A16:J17" totalsRowShown="0" headerRowDxfId="35">
  <autoFilter ref="A16:J17" xr:uid="{66F2E0D0-9A98-4E82-87F1-75CAA5A4A817}"/>
  <tableColumns count="10">
    <tableColumn id="2" xr3:uid="{EFA2FC35-8966-4810-88BD-C4815572C0F5}" name="Name" dataDxfId="34"/>
    <tableColumn id="3" xr3:uid="{E587F778-2DDC-4FE5-8896-5A26EFEBFEF0}" name="Formula" dataDxfId="33"/>
    <tableColumn id="4" xr3:uid="{A04DC86D-0A72-4D66-AB4B-12C10B3AB4A9}" name="In Stock"/>
    <tableColumn id="5" xr3:uid="{3AB6C8A8-1603-4505-8A41-C5876AFEC269}" name="M" dataDxfId="32">
      <calculatedColumnFormula>H17/0.01</calculatedColumnFormula>
    </tableColumn>
    <tableColumn id="6" xr3:uid="{81FF12AC-C21F-41AA-8F05-3045668A86AF}" name="g(10% Error)" dataDxfId="31">
      <calculatedColumnFormula>Table2[g]*0.1+Table2[g]</calculatedColumnFormula>
    </tableColumn>
    <tableColumn id="7" xr3:uid="{B029F310-A63E-4872-AAB6-8B15EB3A9F3A}" name="g" dataDxfId="30"/>
    <tableColumn id="8" xr3:uid="{2CF2341A-0CB6-4F07-8057-4E4D194C7DDB}" name="Molar Mass" dataDxfId="29"/>
    <tableColumn id="9" xr3:uid="{3DA194E5-5110-4AC7-BD78-6FD3877FEEA9}" name="mols" dataDxfId="28">
      <calculatedColumnFormula>Table2[g]/Table2[Molar Mass]</calculatedColumnFormula>
    </tableColumn>
    <tableColumn id="1" xr3:uid="{5B7A178D-591C-427A-98F4-8758DBDB93FA}" name="Column1"/>
    <tableColumn id="10" xr3:uid="{96BE4A3E-27BD-49FC-90EA-03CBDC85B095}" name="mMols in hungate tubes" dataDxfId="27">
      <calculatedColumnFormula>(Table2[M]*0.0001)*1000</calculatedColumnFormula>
    </tableColumn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B45AF8-D3A2-4092-BE05-AC9BD4BA81E4}" name="Table5" displayName="Table5" ref="A19:J26" totalsRowShown="0">
  <autoFilter ref="A19:J26" xr:uid="{1F077B3F-22C0-48F3-8AD7-B79A0FBB5301}"/>
  <tableColumns count="10">
    <tableColumn id="2" xr3:uid="{29801970-EC6B-4F0F-A65F-7B0DE670D901}" name="Name"/>
    <tableColumn id="3" xr3:uid="{5DC33DEF-7016-46E0-B32A-5637D33F30EA}" name="Formula" dataDxfId="26"/>
    <tableColumn id="4" xr3:uid="{16B99B67-D6D1-48FD-84D1-234D480076F1}" name="In Stock?"/>
    <tableColumn id="5" xr3:uid="{78431B3F-9E24-4C70-B7CA-D511277314C9}" name="mM" dataDxfId="25">
      <calculatedColumnFormula>(Table5[[#This Row],[mg]]/Table5[[#This Row],[Molar Mass]])/0.05</calculatedColumnFormula>
    </tableColumn>
    <tableColumn id="6" xr3:uid="{4BF81D82-B4E0-4C09-BFE5-FC0AB290AEC8}" name="mg*10%Error" dataDxfId="24">
      <calculatedColumnFormula>0.1*Table5[[#This Row],[mg]]+Table5[[#This Row],[mg]]</calculatedColumnFormula>
    </tableColumn>
    <tableColumn id="7" xr3:uid="{E0E79086-F18C-4999-85BF-B7D80BFFF581}" name="mg" dataDxfId="23">
      <calculatedColumnFormula>(Table5[[#This Row],[mols needed]]*Table5[[#This Row],[Molar Mass]])*1000</calculatedColumnFormula>
    </tableColumn>
    <tableColumn id="8" xr3:uid="{9D4B5B53-36B4-4EBD-989D-B4F56ABC2EAF}" name="Molar Mass" dataDxfId="22"/>
    <tableColumn id="9" xr3:uid="{29DEF794-1F46-4059-B016-8101FBA26FED}" name="mols needed" dataDxfId="21"/>
    <tableColumn id="1" xr3:uid="{E7FE1C8A-C6ED-467E-A616-2875FAFFCD35}" name="Column1" dataDxfId="20"/>
    <tableColumn id="10" xr3:uid="{6AC45437-F6C7-4E3D-9306-3986042B7EFE}" name="Concentration in Media Stock (M)" dataDxfId="0">
      <calculatedColumnFormula>((Table5[[#This Row],[mM]]*1.5)/(250))/1000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93D443-7482-4F1D-B0E1-76B10E0DAA00}" name="Table14" displayName="Table14" ref="A1:L14" totalsRowCount="1" headerRowDxfId="19">
  <autoFilter ref="A1:L13" xr:uid="{940A723D-E897-48E3-B27F-2BE56D712B12}"/>
  <tableColumns count="12">
    <tableColumn id="2" xr3:uid="{FC4FD0F0-15FF-4263-9FC2-AFD2F880BD4C}" name="NAME"/>
    <tableColumn id="3" xr3:uid="{D6DB7056-DE03-4736-A703-C34EFDAC4C53}" name="FORMULA" dataDxfId="18" totalsRowDxfId="17"/>
    <tableColumn id="4" xr3:uid="{68BB1143-AD86-45EA-8E96-700321DEEC7F}" name="In Stock?"/>
    <tableColumn id="5" xr3:uid="{0AB0EF0C-F9DF-4EE2-96C7-F7F036BF59E5}" name="Molarity" dataDxfId="16" totalsRowDxfId="15">
      <calculatedColumnFormula>Table14[[#This Row],[mols]]/0.0687</calculatedColumnFormula>
    </tableColumn>
    <tableColumn id="6" xr3:uid="{B0B1EF16-D7A5-4945-AE89-F6AAC9323AD7}" name="g(10% Error)" dataDxfId="14" totalsRowDxfId="13">
      <calculatedColumnFormula>Table14[[#This Row],[g]]*0.1+Table14[[#This Row],[g]]</calculatedColumnFormula>
    </tableColumn>
    <tableColumn id="7" xr3:uid="{28A28B1E-ED7E-4170-81D1-5C8D1DB02A2A}" name="g" dataDxfId="12" totalsRowDxfId="11">
      <calculatedColumnFormula>Table14[[#This Row],[mols]]*Table14[[#This Row],[Molar Mass]]</calculatedColumnFormula>
    </tableColumn>
    <tableColumn id="8" xr3:uid="{6CF14BCB-11F8-4784-8F23-F63A94C560D2}" name="Molar Mass"/>
    <tableColumn id="9" xr3:uid="{BC27351D-A0C0-497C-A5DA-5AA48EAA71F9}" name="mols" dataDxfId="10" totalsRowDxfId="9">
      <calculatedColumnFormula>Table14[[#This Row],[g]]/Table14[[#This Row],[Molar Mass]]</calculatedColumnFormula>
    </tableColumn>
    <tableColumn id="1" xr3:uid="{82F662CA-AF89-4565-8539-8E31A1AFC858}" name="Column1" dataDxfId="8" totalsRowDxfId="7"/>
    <tableColumn id="10" xr3:uid="{921555C6-3D8E-4BAD-8BCA-E6E3E96D0060}" name="1X Concentations (M)" dataDxfId="6" totalsRowDxfId="5">
      <calculatedColumnFormula>Table14[[#This Row],[Molarity]]/5</calculatedColumnFormula>
    </tableColumn>
    <tableColumn id="11" xr3:uid="{C47EAD64-9083-42A1-8D97-A55861C45AD1}" name="Na+ (M) in 1X" totalsRowFunction="custom" dataDxfId="4" totalsRowDxfId="3">
      <totalsRowFormula>SUM(K6:K12)</totalsRowFormula>
    </tableColumn>
    <tableColumn id="12" xr3:uid="{F5616FB3-AF87-4484-91E0-99E35EBEB984}" name="FORMULA2" dataDxfId="2" totalsRow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CADB-5E9A-4290-9B27-FA98988B0F38}">
  <dimension ref="A1:P34"/>
  <sheetViews>
    <sheetView tabSelected="1" topLeftCell="A2" zoomScale="104" workbookViewId="0">
      <selection activeCell="F9" sqref="F9"/>
    </sheetView>
  </sheetViews>
  <sheetFormatPr defaultRowHeight="15" x14ac:dyDescent="0.25"/>
  <cols>
    <col min="1" max="1" width="39.140625" style="1" customWidth="1"/>
    <col min="2" max="2" width="31.5703125" customWidth="1"/>
    <col min="3" max="3" width="14.28515625" customWidth="1"/>
    <col min="4" max="4" width="18.5703125" customWidth="1"/>
    <col min="5" max="5" width="15.28515625" customWidth="1"/>
    <col min="6" max="6" width="15" customWidth="1"/>
    <col min="7" max="7" width="16" customWidth="1"/>
    <col min="8" max="8" width="17.5703125" customWidth="1"/>
    <col min="9" max="9" width="5.42578125" customWidth="1"/>
    <col min="10" max="10" width="40.28515625" customWidth="1"/>
    <col min="11" max="11" width="39" customWidth="1"/>
    <col min="12" max="12" width="31.5703125" customWidth="1"/>
  </cols>
  <sheetData>
    <row r="1" spans="1:16" ht="20.25" thickBot="1" x14ac:dyDescent="0.35">
      <c r="A1" s="19" t="s">
        <v>77</v>
      </c>
      <c r="B1" s="19"/>
      <c r="C1" s="19"/>
      <c r="D1" s="19"/>
      <c r="F1" t="s">
        <v>53</v>
      </c>
      <c r="H1" t="s">
        <v>54</v>
      </c>
      <c r="J1" s="9"/>
      <c r="K1" s="9">
        <f>SUM(K7:K13)</f>
        <v>0.40379484462278903</v>
      </c>
      <c r="L1" s="9" t="s">
        <v>85</v>
      </c>
    </row>
    <row r="2" spans="1:16" ht="15.75" thickTop="1" x14ac:dyDescent="0.25">
      <c r="A2" s="8" t="s">
        <v>0</v>
      </c>
      <c r="B2" s="8" t="s">
        <v>1</v>
      </c>
      <c r="C2" s="8" t="s">
        <v>18</v>
      </c>
      <c r="D2" s="8" t="s">
        <v>19</v>
      </c>
      <c r="E2" s="8" t="s">
        <v>26</v>
      </c>
      <c r="F2" s="8" t="s">
        <v>24</v>
      </c>
      <c r="G2" s="8" t="s">
        <v>20</v>
      </c>
      <c r="H2" s="8" t="s">
        <v>69</v>
      </c>
      <c r="I2" s="8" t="s">
        <v>34</v>
      </c>
      <c r="J2" s="8" t="s">
        <v>42</v>
      </c>
      <c r="K2" s="8" t="s">
        <v>71</v>
      </c>
      <c r="L2" s="8" t="s">
        <v>70</v>
      </c>
    </row>
    <row r="3" spans="1:16" x14ac:dyDescent="0.25">
      <c r="A3" t="s">
        <v>2</v>
      </c>
      <c r="B3" s="8"/>
      <c r="C3">
        <v>1</v>
      </c>
      <c r="D3" s="8">
        <f>Table1[[#This Row],[mols]]/0.25</f>
        <v>0</v>
      </c>
      <c r="E3" s="8">
        <f>Table1[[#This Row],[g]]*0.1+Table1[[#This Row],[g]]</f>
        <v>0</v>
      </c>
      <c r="F3" s="8"/>
      <c r="G3" s="8">
        <v>251.18</v>
      </c>
      <c r="H3" s="8">
        <f>Table1[[#This Row],[g]]/Table1[[#This Row],[Molar Mass]]</f>
        <v>0</v>
      </c>
      <c r="I3" s="2"/>
      <c r="J3" s="7">
        <f>Table1[[#This Row],[Molarity]]</f>
        <v>0</v>
      </c>
      <c r="K3" s="7"/>
      <c r="L3" s="7"/>
      <c r="M3" s="2"/>
      <c r="N3" s="2"/>
      <c r="O3" s="2"/>
      <c r="P3" s="2"/>
    </row>
    <row r="4" spans="1:16" x14ac:dyDescent="0.25">
      <c r="A4" t="s">
        <v>5</v>
      </c>
      <c r="B4" s="8" t="s">
        <v>6</v>
      </c>
      <c r="C4">
        <v>1</v>
      </c>
      <c r="D4" s="8">
        <f>Table1[[#This Row],[mols]]/0.25</f>
        <v>1.1216840216111121E-2</v>
      </c>
      <c r="E4" s="8">
        <f>Table1[[#This Row],[g]]*0.1+Table1[[#This Row],[g]]</f>
        <v>0.16499999999999998</v>
      </c>
      <c r="F4" s="8">
        <v>0.15</v>
      </c>
      <c r="G4" s="8">
        <v>53.491</v>
      </c>
      <c r="H4" s="8">
        <f>Table1[[#This Row],[g]]/Table1[[#This Row],[Molar Mass]]</f>
        <v>2.8042100540277802E-3</v>
      </c>
      <c r="I4" s="2"/>
      <c r="J4" s="7">
        <f>Table1[[#This Row],[Molarity]]</f>
        <v>1.1216840216111121E-2</v>
      </c>
      <c r="K4" s="7"/>
      <c r="L4" s="7" t="s">
        <v>6</v>
      </c>
      <c r="M4" s="2"/>
      <c r="N4" s="2"/>
      <c r="O4" s="2"/>
      <c r="P4" s="2"/>
    </row>
    <row r="5" spans="1:16" x14ac:dyDescent="0.25">
      <c r="A5" t="s">
        <v>15</v>
      </c>
      <c r="B5" s="8" t="s">
        <v>79</v>
      </c>
      <c r="C5">
        <v>1</v>
      </c>
      <c r="D5" s="8">
        <f>Table1[[#This Row],[mols]]/0.25</f>
        <v>9.5232912494558125E-4</v>
      </c>
      <c r="E5" s="8">
        <f>Table1[[#This Row],[g]]*0.1+Table1[[#This Row],[g]]</f>
        <v>3.8500000000000006E-2</v>
      </c>
      <c r="F5" s="8">
        <v>3.5000000000000003E-2</v>
      </c>
      <c r="G5" s="8">
        <v>147.00800000000001</v>
      </c>
      <c r="H5" s="8">
        <f>Table1[[#This Row],[g]]/Table1[[#This Row],[Molar Mass]]</f>
        <v>2.3808228123639531E-4</v>
      </c>
      <c r="I5" s="2"/>
      <c r="J5" s="7">
        <f>Table1[[#This Row],[Molarity]]</f>
        <v>9.5232912494558125E-4</v>
      </c>
      <c r="K5" s="7"/>
      <c r="L5" s="7" t="s">
        <v>7</v>
      </c>
      <c r="M5" s="2"/>
      <c r="N5" s="2"/>
      <c r="O5" s="2"/>
      <c r="P5" s="2"/>
    </row>
    <row r="6" spans="1:16" x14ac:dyDescent="0.25">
      <c r="A6" t="s">
        <v>9</v>
      </c>
      <c r="B6" s="8" t="s">
        <v>80</v>
      </c>
      <c r="C6">
        <v>1</v>
      </c>
      <c r="D6" s="8">
        <f>Table1[[#This Row],[mols]]/0.25</f>
        <v>2.7053615346778158E-2</v>
      </c>
      <c r="E6" s="8">
        <f>Table1[[#This Row],[g]]*0.1+Table1[[#This Row],[g]]</f>
        <v>1.5125</v>
      </c>
      <c r="F6" s="8">
        <v>1.375</v>
      </c>
      <c r="G6" s="8">
        <v>203.3</v>
      </c>
      <c r="H6" s="8">
        <f>Table1[[#This Row],[g]]/Table1[[#This Row],[Molar Mass]]</f>
        <v>6.7634038366945395E-3</v>
      </c>
      <c r="I6" s="2"/>
      <c r="J6" s="7">
        <f>Table1[[#This Row],[Molarity]]</f>
        <v>2.7053615346778158E-2</v>
      </c>
      <c r="K6" s="7"/>
      <c r="L6" s="7" t="s">
        <v>10</v>
      </c>
      <c r="M6" s="2"/>
      <c r="N6" s="2"/>
      <c r="O6" s="2"/>
      <c r="P6" s="2"/>
    </row>
    <row r="7" spans="1:16" x14ac:dyDescent="0.25">
      <c r="A7" t="s">
        <v>72</v>
      </c>
      <c r="B7" s="8" t="s">
        <v>11</v>
      </c>
      <c r="C7">
        <v>1</v>
      </c>
      <c r="D7" s="8">
        <f>Table1[[#This Row],[mols]]/0.25</f>
        <v>4.174518046093637E-3</v>
      </c>
      <c r="E7" s="8">
        <f>Table1[[#This Row],[g]]*0.1+Table1[[#This Row],[g]]</f>
        <v>0.15839999999999999</v>
      </c>
      <c r="F7" s="8">
        <v>0.14399999999999999</v>
      </c>
      <c r="G7" s="8">
        <v>137.97999999999999</v>
      </c>
      <c r="H7" s="8">
        <f>Table1[[#This Row],[g]]/Table1[[#This Row],[Molar Mass]]</f>
        <v>1.0436295115234093E-3</v>
      </c>
      <c r="I7" s="2"/>
      <c r="J7" s="7">
        <f>Table1[[#This Row],[Molarity]]</f>
        <v>4.174518046093637E-3</v>
      </c>
      <c r="K7" s="7">
        <f>Table1[[#This Row],[1X Concentations (M)]]</f>
        <v>4.174518046093637E-3</v>
      </c>
      <c r="L7" s="7" t="s">
        <v>11</v>
      </c>
      <c r="M7" s="2"/>
      <c r="N7" s="2"/>
      <c r="O7" s="2"/>
      <c r="P7" s="2"/>
    </row>
    <row r="8" spans="1:16" x14ac:dyDescent="0.25">
      <c r="A8" t="s">
        <v>52</v>
      </c>
      <c r="B8" s="8" t="s">
        <v>8</v>
      </c>
      <c r="C8">
        <v>1</v>
      </c>
      <c r="D8" s="7">
        <f>Table1[[#This Row],[mols]]/0.25</f>
        <v>0.20547945205479454</v>
      </c>
      <c r="E8" s="7">
        <f>Table1[[#This Row],[g]]*0.1+Table1[[#This Row],[g]]</f>
        <v>3.3</v>
      </c>
      <c r="F8" s="7">
        <v>3</v>
      </c>
      <c r="G8" s="8">
        <v>58.4</v>
      </c>
      <c r="H8" s="8">
        <f>Table1[[#This Row],[g]]/Table1[[#This Row],[Molar Mass]]</f>
        <v>5.1369863013698634E-2</v>
      </c>
      <c r="I8" s="2"/>
      <c r="J8" s="7">
        <f>Table1[[#This Row],[Molarity]]</f>
        <v>0.20547945205479454</v>
      </c>
      <c r="K8" s="7">
        <f>Table1[[#This Row],[1X Concentations (M)]]</f>
        <v>0.20547945205479454</v>
      </c>
      <c r="L8" s="7" t="s">
        <v>8</v>
      </c>
      <c r="M8" s="2"/>
      <c r="N8" s="2"/>
      <c r="O8" s="2"/>
      <c r="P8" s="2"/>
    </row>
    <row r="9" spans="1:16" x14ac:dyDescent="0.25">
      <c r="A9" t="s">
        <v>28</v>
      </c>
      <c r="B9" s="8" t="s">
        <v>27</v>
      </c>
      <c r="C9">
        <v>1</v>
      </c>
      <c r="D9" s="8">
        <f>Table1[[#This Row],[mols]]/0.25</f>
        <v>8.5330160676692551E-2</v>
      </c>
      <c r="E9" s="8">
        <f>Table1[[#This Row],[g]]*0.1+Table1[[#This Row],[g]]</f>
        <v>1.925</v>
      </c>
      <c r="F9" s="8">
        <v>1.75</v>
      </c>
      <c r="G9" s="8">
        <v>82.034300000000002</v>
      </c>
      <c r="H9" s="8">
        <f>Table1[[#This Row],[g]]/Table1[[#This Row],[Molar Mass]]</f>
        <v>2.1332540169173138E-2</v>
      </c>
      <c r="I9" s="2"/>
      <c r="J9" s="7">
        <f>Table1[[#This Row],[Molarity]]</f>
        <v>8.5330160676692551E-2</v>
      </c>
      <c r="K9" s="7">
        <f>Table1[[#This Row],[1X Concentations (M)]]</f>
        <v>8.5330160676692551E-2</v>
      </c>
      <c r="L9" s="7" t="s">
        <v>27</v>
      </c>
      <c r="M9" s="2"/>
      <c r="N9" s="2"/>
      <c r="O9" s="2"/>
      <c r="P9" s="2"/>
    </row>
    <row r="10" spans="1:16" x14ac:dyDescent="0.25">
      <c r="A10" t="s">
        <v>48</v>
      </c>
      <c r="B10" s="8" t="s">
        <v>49</v>
      </c>
      <c r="C10">
        <v>1</v>
      </c>
      <c r="D10" s="7">
        <f>Table1[[#This Row],[mols]]/0.25</f>
        <v>0.12484394506866417</v>
      </c>
      <c r="E10" s="7">
        <f>Table1[[#This Row],[g]]*0.1+Table1[[#This Row],[g]]</f>
        <v>1.1000000000000001</v>
      </c>
      <c r="F10" s="7">
        <v>1</v>
      </c>
      <c r="G10" s="8">
        <v>32.04</v>
      </c>
      <c r="H10" s="8">
        <f>Table1[[#This Row],[g]]/Table1[[#This Row],[Molar Mass]]</f>
        <v>3.1210986267166042E-2</v>
      </c>
      <c r="I10" s="2"/>
      <c r="J10" s="7">
        <f>Table1[[#This Row],[Molarity]]</f>
        <v>0.12484394506866417</v>
      </c>
      <c r="K10" s="7"/>
      <c r="L10" s="7" t="s">
        <v>49</v>
      </c>
      <c r="M10" s="2"/>
      <c r="N10" s="2"/>
      <c r="O10" s="2"/>
      <c r="P10" s="2"/>
    </row>
    <row r="11" spans="1:16" x14ac:dyDescent="0.25">
      <c r="A11" t="s">
        <v>51</v>
      </c>
      <c r="B11" s="8" t="s">
        <v>33</v>
      </c>
      <c r="C11">
        <v>1</v>
      </c>
      <c r="D11" s="8">
        <f>Table1[[#This Row],[mols]]/0.25</f>
        <v>4.9995833680526625E-2</v>
      </c>
      <c r="E11" s="8">
        <f>Table1[[#This Row],[g]]*0.1+Table1[[#This Row],[g]]</f>
        <v>1.155</v>
      </c>
      <c r="F11" s="8">
        <v>1.05</v>
      </c>
      <c r="G11" s="8">
        <v>84.007000000000005</v>
      </c>
      <c r="H11" s="8">
        <f>Table1[[#This Row],[g]]/Table1[[#This Row],[Molar Mass]]</f>
        <v>1.2498958420131656E-2</v>
      </c>
      <c r="I11" s="2"/>
      <c r="J11" s="7">
        <f>Table1[[#This Row],[Molarity]]</f>
        <v>4.9995833680526625E-2</v>
      </c>
      <c r="K11" s="7">
        <f>Table1[[#This Row],[1X Concentations (M)]]</f>
        <v>4.9995833680526625E-2</v>
      </c>
      <c r="L11" s="7" t="s">
        <v>33</v>
      </c>
      <c r="M11" s="2"/>
      <c r="N11" s="2"/>
      <c r="O11" s="2"/>
      <c r="P11" s="2"/>
    </row>
    <row r="12" spans="1:16" x14ac:dyDescent="0.25">
      <c r="A12" t="s">
        <v>46</v>
      </c>
      <c r="B12" s="8" t="s">
        <v>47</v>
      </c>
      <c r="C12">
        <v>1</v>
      </c>
      <c r="D12" s="7">
        <f>Table1[[#This Row],[mols]]/0.25</f>
        <v>5.8814880164681657E-2</v>
      </c>
      <c r="E12" s="7">
        <f>Table1[[#This Row],[g]]*0.1+Table1[[#This Row],[g]]</f>
        <v>1.1000000000000001</v>
      </c>
      <c r="F12" s="7">
        <v>1</v>
      </c>
      <c r="G12" s="8">
        <v>68.010000000000005</v>
      </c>
      <c r="H12" s="8">
        <f>Table1[[#This Row],[g]]/Table1[[#This Row],[Molar Mass]]</f>
        <v>1.4703720041170414E-2</v>
      </c>
      <c r="I12" s="2"/>
      <c r="J12" s="7">
        <f>Table1[[#This Row],[Molarity]]</f>
        <v>5.8814880164681657E-2</v>
      </c>
      <c r="K12" s="7">
        <f>Table1[[#This Row],[1X Concentations (M)]]</f>
        <v>5.8814880164681657E-2</v>
      </c>
      <c r="L12" s="7" t="s">
        <v>47</v>
      </c>
      <c r="M12" s="2"/>
      <c r="N12" s="2"/>
      <c r="O12" s="2"/>
      <c r="P12" s="2"/>
    </row>
    <row r="13" spans="1:16" x14ac:dyDescent="0.25">
      <c r="A13" t="s">
        <v>82</v>
      </c>
      <c r="B13" s="8" t="s">
        <v>83</v>
      </c>
      <c r="C13">
        <v>1</v>
      </c>
      <c r="D13" s="7">
        <f>Table1[[#This Row],[mols]]/0.25</f>
        <v>1.0731052984574113E-2</v>
      </c>
      <c r="E13" s="7">
        <f>Table1[[#This Row],[g]]*0.1+Table1[[#This Row],[g]]</f>
        <v>0.22000000000000003</v>
      </c>
      <c r="F13" s="7">
        <v>0.2</v>
      </c>
      <c r="G13" s="8">
        <v>74.55</v>
      </c>
      <c r="H13" s="8">
        <f>Table1[[#This Row],[g]]/Table1[[#This Row],[Molar Mass]]</f>
        <v>2.6827632461435282E-3</v>
      </c>
      <c r="I13" s="2"/>
      <c r="J13" s="7">
        <f>Table1[[#This Row],[Molarity]]</f>
        <v>1.0731052984574113E-2</v>
      </c>
      <c r="K13" s="7"/>
      <c r="L13" s="7" t="s">
        <v>32</v>
      </c>
      <c r="M13" s="2"/>
      <c r="N13" s="2"/>
      <c r="O13" s="2"/>
      <c r="P13" s="2"/>
    </row>
    <row r="14" spans="1:16" x14ac:dyDescent="0.25">
      <c r="A14" t="s">
        <v>45</v>
      </c>
      <c r="B14" s="8"/>
      <c r="C14">
        <v>1</v>
      </c>
      <c r="D14" t="e">
        <f>Table1[[#This Row],[mols]]/0.25</f>
        <v>#VALUE!</v>
      </c>
      <c r="E14" s="1">
        <f>1*0.1+1</f>
        <v>1.1000000000000001</v>
      </c>
      <c r="F14" s="1" t="s">
        <v>50</v>
      </c>
      <c r="G14" t="s">
        <v>29</v>
      </c>
      <c r="H14" t="e">
        <f>Table1[[#This Row],[g]]/Table1[[#This Row],[Molar Mass]]</f>
        <v>#VALUE!</v>
      </c>
      <c r="I14" s="2"/>
      <c r="J14" s="2" t="e">
        <f>Table1[[#This Row],[Molarity]]</f>
        <v>#VALUE!</v>
      </c>
      <c r="K14" s="2"/>
      <c r="L14" s="7"/>
      <c r="M14" s="2"/>
      <c r="N14" s="2"/>
      <c r="O14" s="2"/>
      <c r="P14" s="2"/>
    </row>
    <row r="15" spans="1:16" ht="20.25" thickBot="1" x14ac:dyDescent="0.35">
      <c r="A15" s="19" t="s">
        <v>68</v>
      </c>
      <c r="B15" s="19"/>
      <c r="C15" s="19"/>
      <c r="D15" s="19"/>
    </row>
    <row r="16" spans="1:16" ht="15.75" thickTop="1" x14ac:dyDescent="0.25">
      <c r="A16" s="11" t="s">
        <v>13</v>
      </c>
      <c r="B16" s="11" t="s">
        <v>14</v>
      </c>
      <c r="C16" s="11" t="s">
        <v>30</v>
      </c>
      <c r="D16" s="11" t="s">
        <v>31</v>
      </c>
      <c r="E16" s="11" t="s">
        <v>26</v>
      </c>
      <c r="F16" s="11" t="s">
        <v>24</v>
      </c>
      <c r="G16" s="11" t="s">
        <v>20</v>
      </c>
      <c r="H16" s="11" t="s">
        <v>69</v>
      </c>
      <c r="I16" s="11" t="s">
        <v>34</v>
      </c>
      <c r="J16" s="11" t="s">
        <v>73</v>
      </c>
      <c r="K16" s="11" t="s">
        <v>76</v>
      </c>
      <c r="L16" s="9"/>
    </row>
    <row r="17" spans="1:10" x14ac:dyDescent="0.25">
      <c r="A17" s="3" t="s">
        <v>3</v>
      </c>
      <c r="B17" s="10" t="s">
        <v>4</v>
      </c>
      <c r="C17">
        <v>1</v>
      </c>
      <c r="D17" s="1">
        <f>H17/0.01</f>
        <v>0.10408770746657763</v>
      </c>
      <c r="E17" s="1">
        <f>Table2[g]*0.1+Table2[g]</f>
        <v>0.27500000000000002</v>
      </c>
      <c r="F17" s="1">
        <v>0.25</v>
      </c>
      <c r="G17" s="14">
        <v>240.18206000000001</v>
      </c>
      <c r="H17" s="1">
        <f>Table2[g]/Table2[Molar Mass]</f>
        <v>1.0408770746657763E-3</v>
      </c>
      <c r="J17" s="11">
        <f>(Table2[M]*0.0001)*1000</f>
        <v>1.0408770746657763E-2</v>
      </c>
    </row>
    <row r="18" spans="1:10" ht="20.25" thickBot="1" x14ac:dyDescent="0.35">
      <c r="A18" s="19" t="s">
        <v>44</v>
      </c>
      <c r="B18" s="19"/>
      <c r="C18" s="19"/>
      <c r="D18" s="19"/>
      <c r="F18" s="9"/>
      <c r="J18" s="9" t="s">
        <v>84</v>
      </c>
    </row>
    <row r="19" spans="1:10" ht="15.75" thickTop="1" x14ac:dyDescent="0.25">
      <c r="A19" s="13" t="s">
        <v>13</v>
      </c>
      <c r="B19" s="13" t="s">
        <v>14</v>
      </c>
      <c r="C19" s="13" t="s">
        <v>18</v>
      </c>
      <c r="D19" s="13" t="s">
        <v>23</v>
      </c>
      <c r="E19" s="13" t="s">
        <v>22</v>
      </c>
      <c r="F19" s="13" t="s">
        <v>21</v>
      </c>
      <c r="G19" s="13" t="s">
        <v>20</v>
      </c>
      <c r="H19" s="13" t="s">
        <v>25</v>
      </c>
      <c r="I19" s="13" t="s">
        <v>34</v>
      </c>
      <c r="J19" s="13" t="s">
        <v>78</v>
      </c>
    </row>
    <row r="20" spans="1:10" x14ac:dyDescent="0.25">
      <c r="A20" s="16" t="s">
        <v>55</v>
      </c>
      <c r="B20" s="11" t="s">
        <v>56</v>
      </c>
      <c r="C20" s="17">
        <v>1</v>
      </c>
      <c r="D20" s="11" t="s">
        <v>56</v>
      </c>
      <c r="E20" s="11" t="s">
        <v>56</v>
      </c>
      <c r="F20" s="11" t="e">
        <f>(Table5[[#This Row],[mols needed]]*Table5[[#This Row],[Molar Mass]])*1000</f>
        <v>#VALUE!</v>
      </c>
      <c r="G20" s="11" t="s">
        <v>56</v>
      </c>
      <c r="H20" s="15"/>
      <c r="I20" s="15"/>
      <c r="J20" s="18" t="e">
        <f>((Table5[[#This Row],[mM]]*1.5)/(250))/1000</f>
        <v>#VALUE!</v>
      </c>
    </row>
    <row r="21" spans="1:10" x14ac:dyDescent="0.25">
      <c r="A21" t="s">
        <v>17</v>
      </c>
      <c r="B21" s="1" t="s">
        <v>35</v>
      </c>
      <c r="C21">
        <v>1</v>
      </c>
      <c r="D21" s="8">
        <f>(Table5[[#This Row],[mg]]/Table5[[#This Row],[Molar Mass]])/0.05</f>
        <v>1.0000000000000002</v>
      </c>
      <c r="E21" s="8">
        <f>0.1*Table5[[#This Row],[mg]]+Table5[[#This Row],[mg]]</f>
        <v>7.1411450000000016</v>
      </c>
      <c r="F21" s="8">
        <f>(Table5[[#This Row],[mols needed]]*Table5[[#This Row],[Molar Mass]])*1000</f>
        <v>6.491950000000001</v>
      </c>
      <c r="G21" s="8">
        <v>129.839</v>
      </c>
      <c r="H21" s="7">
        <f t="shared" ref="H21:H26" si="0">0.00005</f>
        <v>5.0000000000000002E-5</v>
      </c>
      <c r="I21" s="2"/>
      <c r="J21" s="12">
        <f>((Table5[[#This Row],[mM]]*1.5)/(250))/1000</f>
        <v>6.0000000000000018E-6</v>
      </c>
    </row>
    <row r="22" spans="1:10" x14ac:dyDescent="0.25">
      <c r="A22" t="s">
        <v>75</v>
      </c>
      <c r="B22" s="1" t="s">
        <v>40</v>
      </c>
      <c r="C22">
        <v>1</v>
      </c>
      <c r="D22" s="8">
        <f>(Table5[[#This Row],[mg]]/Table5[[#This Row],[Molar Mass]])/0.05</f>
        <v>1</v>
      </c>
      <c r="E22" s="8">
        <f>0.1*Table5[[#This Row],[mg]]+Table5[[#This Row],[mg]]</f>
        <v>15.290329999999999</v>
      </c>
      <c r="F22" s="8">
        <f>(Table5[[#This Row],[mols needed]]*Table5[[#This Row],[Molar Mass]])*1000</f>
        <v>13.9003</v>
      </c>
      <c r="G22" s="8">
        <v>278.00599999999997</v>
      </c>
      <c r="H22" s="7">
        <f t="shared" si="0"/>
        <v>5.0000000000000002E-5</v>
      </c>
      <c r="I22" s="2"/>
      <c r="J22" s="12">
        <f>((Table5[[#This Row],[mM]]*1.5)/(250))/1000</f>
        <v>6.0000000000000002E-6</v>
      </c>
    </row>
    <row r="23" spans="1:10" x14ac:dyDescent="0.25">
      <c r="A23" t="s">
        <v>74</v>
      </c>
      <c r="B23" s="1" t="s">
        <v>36</v>
      </c>
      <c r="C23">
        <v>1</v>
      </c>
      <c r="D23" s="8">
        <f>(Table5[[#This Row],[mg]]/Table5[[#This Row],[Molar Mass]])/0.05</f>
        <v>1</v>
      </c>
      <c r="E23" s="8">
        <f>0.1*Table5[[#This Row],[mg]]+Table5[[#This Row],[mg]]</f>
        <v>7.1279670000000008</v>
      </c>
      <c r="F23" s="8">
        <f>(Table5[[#This Row],[mols needed]]*Table5[[#This Row],[Molar Mass]])*1000</f>
        <v>6.4799700000000007</v>
      </c>
      <c r="G23" s="8">
        <v>129.5994</v>
      </c>
      <c r="H23" s="7">
        <f t="shared" si="0"/>
        <v>5.0000000000000002E-5</v>
      </c>
      <c r="I23" s="2"/>
      <c r="J23" s="12">
        <f>((Table5[[#This Row],[mM]]*1.5)/(250))/1000</f>
        <v>6.0000000000000002E-6</v>
      </c>
    </row>
    <row r="24" spans="1:10" x14ac:dyDescent="0.25">
      <c r="A24" t="s">
        <v>16</v>
      </c>
      <c r="B24" s="1" t="s">
        <v>37</v>
      </c>
      <c r="C24">
        <v>1</v>
      </c>
      <c r="D24" s="8">
        <f>(Table5[[#This Row],[mg]]/Table5[[#This Row],[Molar Mass]])/0.05</f>
        <v>1.0000000000000002</v>
      </c>
      <c r="E24" s="8">
        <f>0.1*Table5[[#This Row],[mg]]+Table5[[#This Row],[mg]]</f>
        <v>13.307580000000002</v>
      </c>
      <c r="F24" s="8">
        <f>(Table5[[#This Row],[mols needed]]*Table5[[#This Row],[Molar Mass]])*1000</f>
        <v>12.097800000000001</v>
      </c>
      <c r="G24" s="8">
        <v>241.95599999999999</v>
      </c>
      <c r="H24" s="7">
        <f t="shared" si="0"/>
        <v>5.0000000000000002E-5</v>
      </c>
      <c r="I24" s="2"/>
      <c r="J24" s="12">
        <f>((Table5[[#This Row],[mM]]*1.5)/(250))/1000</f>
        <v>6.0000000000000018E-6</v>
      </c>
    </row>
    <row r="25" spans="1:10" x14ac:dyDescent="0.25">
      <c r="A25" t="s">
        <v>12</v>
      </c>
      <c r="B25" s="1" t="s">
        <v>41</v>
      </c>
      <c r="C25">
        <v>1</v>
      </c>
      <c r="D25" s="8">
        <f>(Table5[[#This Row],[mg]]/Table5[[#This Row],[Molar Mass]])/0.05</f>
        <v>1</v>
      </c>
      <c r="E25" s="8">
        <f>0.1*Table5[[#This Row],[mg]]+Table5[[#This Row],[mg]]</f>
        <v>14.46555</v>
      </c>
      <c r="F25" s="8">
        <f>(Table5[[#This Row],[mols needed]]*Table5[[#This Row],[Molar Mass]])*1000</f>
        <v>13.150500000000001</v>
      </c>
      <c r="G25" s="8">
        <v>263.01</v>
      </c>
      <c r="H25" s="7">
        <f t="shared" si="0"/>
        <v>5.0000000000000002E-5</v>
      </c>
      <c r="I25" s="2"/>
      <c r="J25" s="12">
        <f>((Table5[[#This Row],[mM]]*1.5)/(250))/1000</f>
        <v>6.0000000000000002E-6</v>
      </c>
    </row>
    <row r="26" spans="1:10" x14ac:dyDescent="0.25">
      <c r="A26" t="s">
        <v>38</v>
      </c>
      <c r="B26" s="1" t="s">
        <v>39</v>
      </c>
      <c r="C26">
        <v>1</v>
      </c>
      <c r="D26" s="8">
        <f>(Table5[[#This Row],[mg]]/Table5[[#This Row],[Molar Mass]])/0.05</f>
        <v>0.99999999999999989</v>
      </c>
      <c r="E26" s="8">
        <f>0.1*Table5[[#This Row],[mg]]+Table5[[#This Row],[mg]]</f>
        <v>15.814149999999998</v>
      </c>
      <c r="F26" s="8">
        <f>(Table5[[#This Row],[mols needed]]*Table5[[#This Row],[Molar Mass]])*1000</f>
        <v>14.376499999999998</v>
      </c>
      <c r="G26" s="8">
        <v>287.52999999999997</v>
      </c>
      <c r="H26" s="7">
        <f t="shared" si="0"/>
        <v>5.0000000000000002E-5</v>
      </c>
      <c r="I26" s="2"/>
      <c r="J26" s="12">
        <f>((Table5[[#This Row],[mM]]*1.5)/(250))/1000</f>
        <v>5.9999999999999993E-6</v>
      </c>
    </row>
    <row r="27" spans="1:10" x14ac:dyDescent="0.25">
      <c r="A27"/>
    </row>
    <row r="28" spans="1:10" x14ac:dyDescent="0.25">
      <c r="A28" s="9"/>
    </row>
    <row r="29" spans="1:10" x14ac:dyDescent="0.25">
      <c r="A29"/>
    </row>
    <row r="30" spans="1:10" x14ac:dyDescent="0.25">
      <c r="A30"/>
    </row>
    <row r="31" spans="1:10" x14ac:dyDescent="0.25">
      <c r="A31"/>
    </row>
    <row r="32" spans="1:10" x14ac:dyDescent="0.25">
      <c r="A32"/>
    </row>
    <row r="33" spans="1:6" x14ac:dyDescent="0.25">
      <c r="A33" s="4"/>
      <c r="B33" s="4"/>
      <c r="C33" s="5"/>
      <c r="D33" s="5"/>
    </row>
    <row r="34" spans="1:6" x14ac:dyDescent="0.25">
      <c r="A34" s="5"/>
      <c r="B34" s="6"/>
      <c r="C34" s="6"/>
      <c r="D34" s="6"/>
      <c r="E34" s="5"/>
      <c r="F34" s="5"/>
    </row>
  </sheetData>
  <mergeCells count="3">
    <mergeCell ref="A18:D18"/>
    <mergeCell ref="A15:D15"/>
    <mergeCell ref="A1:D1"/>
  </mergeCells>
  <conditionalFormatting sqref="C19:C26 D18 C17 C2:C14">
    <cfRule type="colorScale" priority="2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07C96-BD4C-46BB-8855-0A03182FDF58}">
  <dimension ref="A1:G15"/>
  <sheetViews>
    <sheetView workbookViewId="0">
      <selection activeCell="C4" sqref="C4"/>
    </sheetView>
  </sheetViews>
  <sheetFormatPr defaultRowHeight="15" x14ac:dyDescent="0.25"/>
  <cols>
    <col min="1" max="1" width="27.140625" customWidth="1"/>
    <col min="4" max="4" width="15.140625" customWidth="1"/>
  </cols>
  <sheetData>
    <row r="1" spans="1:7" x14ac:dyDescent="0.25">
      <c r="B1" t="s">
        <v>33</v>
      </c>
      <c r="C1" t="s">
        <v>57</v>
      </c>
      <c r="E1" t="s">
        <v>32</v>
      </c>
      <c r="F1" t="s">
        <v>58</v>
      </c>
      <c r="G1" t="s">
        <v>59</v>
      </c>
    </row>
    <row r="2" spans="1:7" x14ac:dyDescent="0.25">
      <c r="A2" t="s">
        <v>63</v>
      </c>
      <c r="B2">
        <v>2</v>
      </c>
      <c r="C2">
        <v>1</v>
      </c>
      <c r="E2">
        <v>1</v>
      </c>
      <c r="F2">
        <v>2</v>
      </c>
      <c r="G2">
        <v>2</v>
      </c>
    </row>
    <row r="3" spans="1:7" x14ac:dyDescent="0.25">
      <c r="A3" t="s">
        <v>54</v>
      </c>
      <c r="B3">
        <f>Chemicals!K11</f>
        <v>4.9995833680526625E-2</v>
      </c>
      <c r="C3">
        <v>2.0000000000000002E-5</v>
      </c>
      <c r="D3" t="s">
        <v>60</v>
      </c>
      <c r="E3">
        <f>C3*E2</f>
        <v>2.0000000000000002E-5</v>
      </c>
      <c r="F3">
        <f>C3*F2</f>
        <v>4.0000000000000003E-5</v>
      </c>
      <c r="G3">
        <f>C3*G2</f>
        <v>4.0000000000000003E-5</v>
      </c>
    </row>
    <row r="7" spans="1:7" x14ac:dyDescent="0.25">
      <c r="A7" t="s">
        <v>65</v>
      </c>
      <c r="B7">
        <v>1</v>
      </c>
    </row>
    <row r="8" spans="1:7" x14ac:dyDescent="0.25">
      <c r="A8" t="s">
        <v>66</v>
      </c>
      <c r="B8">
        <f>(B10*B11*B12)/B7</f>
        <v>0.97852830000000002</v>
      </c>
    </row>
    <row r="10" spans="1:7" x14ac:dyDescent="0.25">
      <c r="A10" t="s">
        <v>60</v>
      </c>
      <c r="B10">
        <f>G3</f>
        <v>4.0000000000000003E-5</v>
      </c>
    </row>
    <row r="11" spans="1:7" x14ac:dyDescent="0.25">
      <c r="A11" t="s">
        <v>64</v>
      </c>
      <c r="B11">
        <v>82.05</v>
      </c>
    </row>
    <row r="12" spans="1:7" x14ac:dyDescent="0.25">
      <c r="A12" t="s">
        <v>61</v>
      </c>
      <c r="B12">
        <v>298.14999999999998</v>
      </c>
    </row>
    <row r="14" spans="1:7" x14ac:dyDescent="0.25">
      <c r="A14" t="s">
        <v>62</v>
      </c>
      <c r="B14">
        <v>23</v>
      </c>
    </row>
    <row r="15" spans="1:7" x14ac:dyDescent="0.25">
      <c r="A15" t="s">
        <v>67</v>
      </c>
      <c r="B15">
        <f>B14-B8</f>
        <v>22.021471699999999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F3630-EFBB-41CB-908E-9BA41A7C7EC5}">
  <dimension ref="A1:L15"/>
  <sheetViews>
    <sheetView workbookViewId="0">
      <selection activeCell="G18" sqref="G18"/>
    </sheetView>
  </sheetViews>
  <sheetFormatPr defaultRowHeight="15" x14ac:dyDescent="0.25"/>
  <cols>
    <col min="1" max="1" width="35.5703125" customWidth="1"/>
    <col min="2" max="2" width="22.140625" customWidth="1"/>
    <col min="4" max="4" width="20.42578125" customWidth="1"/>
    <col min="5" max="5" width="21.5703125" customWidth="1"/>
    <col min="6" max="6" width="17.5703125" customWidth="1"/>
    <col min="7" max="7" width="21.85546875" customWidth="1"/>
    <col min="8" max="8" width="19.140625" customWidth="1"/>
    <col min="9" max="9" width="5.140625" customWidth="1"/>
    <col min="10" max="10" width="29.140625" customWidth="1"/>
    <col min="11" max="11" width="19.28515625" customWidth="1"/>
    <col min="12" max="12" width="22.140625" customWidth="1"/>
  </cols>
  <sheetData>
    <row r="1" spans="1:12" x14ac:dyDescent="0.25">
      <c r="A1" s="8" t="s">
        <v>0</v>
      </c>
      <c r="B1" s="8" t="s">
        <v>1</v>
      </c>
      <c r="C1" s="8" t="s">
        <v>18</v>
      </c>
      <c r="D1" s="8" t="s">
        <v>19</v>
      </c>
      <c r="E1" s="8" t="s">
        <v>26</v>
      </c>
      <c r="F1" s="8" t="s">
        <v>24</v>
      </c>
      <c r="G1" s="8" t="s">
        <v>20</v>
      </c>
      <c r="H1" s="8" t="s">
        <v>69</v>
      </c>
      <c r="I1" s="8" t="s">
        <v>34</v>
      </c>
      <c r="J1" s="8" t="s">
        <v>42</v>
      </c>
      <c r="K1" s="8" t="s">
        <v>71</v>
      </c>
      <c r="L1" s="8" t="s">
        <v>70</v>
      </c>
    </row>
    <row r="2" spans="1:12" x14ac:dyDescent="0.25">
      <c r="A2" t="s">
        <v>2</v>
      </c>
      <c r="B2" s="8"/>
      <c r="C2">
        <v>1</v>
      </c>
      <c r="D2" s="8">
        <f>Table14[[#This Row],[mols]]/0.0687</f>
        <v>0</v>
      </c>
      <c r="E2" s="8">
        <f>Table14[[#This Row],[g]]*0.1+Table14[[#This Row],[g]]</f>
        <v>0</v>
      </c>
      <c r="F2" s="8"/>
      <c r="G2" s="8">
        <v>251.18</v>
      </c>
      <c r="H2" s="8">
        <f>Table14[[#This Row],[g]]/Table14[[#This Row],[Molar Mass]]</f>
        <v>0</v>
      </c>
      <c r="I2" s="2"/>
      <c r="J2" s="7">
        <f>Table14[[#This Row],[Molarity]]/5</f>
        <v>0</v>
      </c>
      <c r="K2" s="7"/>
      <c r="L2" s="7"/>
    </row>
    <row r="3" spans="1:12" x14ac:dyDescent="0.25">
      <c r="A3" t="s">
        <v>5</v>
      </c>
      <c r="B3" s="8" t="s">
        <v>6</v>
      </c>
      <c r="C3">
        <v>1</v>
      </c>
      <c r="D3" s="8">
        <f>Table14[[#This Row],[mols]]/0.0687</f>
        <v>6.3132142895142671E-2</v>
      </c>
      <c r="E3" s="8">
        <f>Table14[[#This Row],[g]]*0.1+Table14[[#This Row],[g]]</f>
        <v>0.25520000000000004</v>
      </c>
      <c r="F3" s="8">
        <v>0.23200000000000001</v>
      </c>
      <c r="G3" s="8">
        <v>53.491</v>
      </c>
      <c r="H3" s="8">
        <f>Table14[[#This Row],[g]]/Table14[[#This Row],[Molar Mass]]</f>
        <v>4.337178216896301E-3</v>
      </c>
      <c r="I3" s="2"/>
      <c r="J3" s="7">
        <f>Table14[[#This Row],[Molarity]]/5</f>
        <v>1.2626428579028534E-2</v>
      </c>
      <c r="K3" s="7"/>
      <c r="L3" s="7" t="s">
        <v>6</v>
      </c>
    </row>
    <row r="4" spans="1:12" x14ac:dyDescent="0.25">
      <c r="A4" t="s">
        <v>15</v>
      </c>
      <c r="B4" s="8" t="s">
        <v>79</v>
      </c>
      <c r="C4">
        <v>1</v>
      </c>
      <c r="D4" s="8">
        <f>Table14[[#This Row],[mols]]/0.0687</f>
        <v>2.9704589050080512E-3</v>
      </c>
      <c r="E4" s="8">
        <f>Table14[[#This Row],[g]]*0.1+Table14[[#This Row],[g]]</f>
        <v>3.3000000000000002E-2</v>
      </c>
      <c r="F4" s="8">
        <v>0.03</v>
      </c>
      <c r="G4" s="8">
        <v>147.00800000000001</v>
      </c>
      <c r="H4" s="8">
        <f>Table14[[#This Row],[g]]/Table14[[#This Row],[Molar Mass]]</f>
        <v>2.0407052677405311E-4</v>
      </c>
      <c r="I4" s="2"/>
      <c r="J4" s="7">
        <f>Table14[[#This Row],[Molarity]]/5</f>
        <v>5.9409178100161021E-4</v>
      </c>
      <c r="K4" s="7"/>
      <c r="L4" s="7" t="s">
        <v>7</v>
      </c>
    </row>
    <row r="5" spans="1:12" x14ac:dyDescent="0.25">
      <c r="A5" t="s">
        <v>9</v>
      </c>
      <c r="B5" s="8" t="s">
        <v>80</v>
      </c>
      <c r="C5">
        <v>1</v>
      </c>
      <c r="D5" s="8">
        <f>Table14[[#This Row],[mols]]/0.0687</f>
        <v>9.1431697228624348E-2</v>
      </c>
      <c r="E5" s="8">
        <f>Table14[[#This Row],[g]]*0.1+Table14[[#This Row],[g]]</f>
        <v>1.4046999999999998</v>
      </c>
      <c r="F5" s="8">
        <v>1.2769999999999999</v>
      </c>
      <c r="G5" s="8">
        <v>203.3</v>
      </c>
      <c r="H5" s="8">
        <f>Table14[[#This Row],[g]]/Table14[[#This Row],[Molar Mass]]</f>
        <v>6.2813575996064925E-3</v>
      </c>
      <c r="I5" s="2"/>
      <c r="J5" s="7">
        <f>Table14[[#This Row],[Molarity]]/5</f>
        <v>1.8286339445724869E-2</v>
      </c>
      <c r="K5" s="7"/>
      <c r="L5" s="7" t="s">
        <v>10</v>
      </c>
    </row>
    <row r="6" spans="1:12" x14ac:dyDescent="0.25">
      <c r="A6" t="s">
        <v>72</v>
      </c>
      <c r="B6" s="8" t="s">
        <v>11</v>
      </c>
      <c r="C6">
        <v>1</v>
      </c>
      <c r="D6" s="8">
        <f>Table14[[#This Row],[mols]]/0.0687</f>
        <v>1.4769138324162757E-2</v>
      </c>
      <c r="E6" s="8">
        <f>Table14[[#This Row],[g]]*0.1+Table14[[#This Row],[g]]</f>
        <v>0.15400000000000003</v>
      </c>
      <c r="F6" s="8">
        <v>0.14000000000000001</v>
      </c>
      <c r="G6" s="8">
        <v>137.97999999999999</v>
      </c>
      <c r="H6" s="8">
        <f>Table14[[#This Row],[g]]/Table14[[#This Row],[Molar Mass]]</f>
        <v>1.0146398028699813E-3</v>
      </c>
      <c r="I6" s="2"/>
      <c r="J6" s="7">
        <f>Table14[[#This Row],[Molarity]]/5</f>
        <v>2.9538276648325514E-3</v>
      </c>
      <c r="K6" s="7">
        <f>Table14[[#This Row],[1X Concentations (M)]]</f>
        <v>2.9538276648325514E-3</v>
      </c>
      <c r="L6" s="7" t="s">
        <v>11</v>
      </c>
    </row>
    <row r="7" spans="1:12" x14ac:dyDescent="0.25">
      <c r="A7" t="s">
        <v>52</v>
      </c>
      <c r="B7" s="8" t="s">
        <v>8</v>
      </c>
      <c r="C7">
        <v>1</v>
      </c>
      <c r="D7" s="7">
        <f>Table14[[#This Row],[mols]]/0.0687</f>
        <v>3.9879563717572931E-2</v>
      </c>
      <c r="E7" s="7">
        <f>Table14[[#This Row],[g]]*0.1+Table14[[#This Row],[g]]</f>
        <v>0.17599999999999999</v>
      </c>
      <c r="F7" s="7">
        <v>0.16</v>
      </c>
      <c r="G7" s="8">
        <v>58.4</v>
      </c>
      <c r="H7" s="8">
        <f>Table14[[#This Row],[g]]/Table14[[#This Row],[Molar Mass]]</f>
        <v>2.7397260273972603E-3</v>
      </c>
      <c r="I7" s="2"/>
      <c r="J7" s="7">
        <f>Table14[[#This Row],[Molarity]]/5</f>
        <v>7.9759127435145866E-3</v>
      </c>
      <c r="K7" s="7">
        <f>Table14[[#This Row],[1X Concentations (M)]]</f>
        <v>7.9759127435145866E-3</v>
      </c>
      <c r="L7" s="7" t="s">
        <v>8</v>
      </c>
    </row>
    <row r="8" spans="1:12" x14ac:dyDescent="0.25">
      <c r="A8" t="s">
        <v>28</v>
      </c>
      <c r="B8" s="8" t="s">
        <v>27</v>
      </c>
      <c r="C8">
        <v>1</v>
      </c>
      <c r="D8" s="8">
        <f>Table14[[#This Row],[mols]]/0.0687</f>
        <v>4.5006913277857583</v>
      </c>
      <c r="E8" s="8">
        <f>Table14[[#This Row],[g]]*0.1+Table14[[#This Row],[g]]</f>
        <v>27.90128</v>
      </c>
      <c r="F8" s="8">
        <v>25.364799999999999</v>
      </c>
      <c r="G8" s="8">
        <v>82.034300000000002</v>
      </c>
      <c r="H8" s="8">
        <f>Table14[[#This Row],[g]]/Table14[[#This Row],[Molar Mass]]</f>
        <v>0.3091974942188816</v>
      </c>
      <c r="I8" s="2"/>
      <c r="J8" s="7">
        <f>Table14[[#This Row],[Molarity]]/5</f>
        <v>0.90013826555715171</v>
      </c>
      <c r="K8" s="7">
        <f>Table14[[#This Row],[1X Concentations (M)]]</f>
        <v>0.90013826555715171</v>
      </c>
      <c r="L8" s="7" t="s">
        <v>27</v>
      </c>
    </row>
    <row r="9" spans="1:12" x14ac:dyDescent="0.25">
      <c r="A9" t="s">
        <v>48</v>
      </c>
      <c r="B9" s="8" t="s">
        <v>49</v>
      </c>
      <c r="C9">
        <v>1</v>
      </c>
      <c r="D9" s="7">
        <f>Table14[[#This Row],[mols]]/0.0687</f>
        <v>0.75465166358645586</v>
      </c>
      <c r="E9" s="7">
        <f>Table14[[#This Row],[g]]*0.1+Table14[[#This Row],[g]]</f>
        <v>1.82721</v>
      </c>
      <c r="F9" s="7">
        <v>1.6611</v>
      </c>
      <c r="G9" s="8">
        <v>32.04</v>
      </c>
      <c r="H9" s="8">
        <f>Table14[[#This Row],[g]]/Table14[[#This Row],[Molar Mass]]</f>
        <v>5.1844569288389514E-2</v>
      </c>
      <c r="I9" s="2"/>
      <c r="J9" s="7">
        <f>Table14[[#This Row],[Molarity]]/5</f>
        <v>0.15093033271729117</v>
      </c>
      <c r="K9" s="7"/>
      <c r="L9" s="7" t="s">
        <v>49</v>
      </c>
    </row>
    <row r="10" spans="1:12" x14ac:dyDescent="0.25">
      <c r="A10" t="s">
        <v>51</v>
      </c>
      <c r="B10" s="8" t="s">
        <v>33</v>
      </c>
      <c r="C10">
        <v>1</v>
      </c>
      <c r="D10" s="8">
        <f>Table14[[#This Row],[mols]]/0.0687</f>
        <v>0.18193534818241131</v>
      </c>
      <c r="E10" s="8">
        <f>Table14[[#This Row],[g]]*0.1+Table14[[#This Row],[g]]</f>
        <v>1.155</v>
      </c>
      <c r="F10" s="8">
        <v>1.05</v>
      </c>
      <c r="G10" s="8">
        <v>84.007000000000005</v>
      </c>
      <c r="H10" s="8">
        <f>Table14[[#This Row],[g]]/Table14[[#This Row],[Molar Mass]]</f>
        <v>1.2498958420131656E-2</v>
      </c>
      <c r="I10" s="2"/>
      <c r="J10" s="7">
        <f>Table14[[#This Row],[Molarity]]/5</f>
        <v>3.6387069636482264E-2</v>
      </c>
      <c r="K10" s="7">
        <f>Table14[[#This Row],[1X Concentations (M)]]</f>
        <v>3.6387069636482264E-2</v>
      </c>
      <c r="L10" s="7" t="s">
        <v>33</v>
      </c>
    </row>
    <row r="11" spans="1:12" x14ac:dyDescent="0.25">
      <c r="A11" t="s">
        <v>46</v>
      </c>
      <c r="B11" s="8" t="s">
        <v>47</v>
      </c>
      <c r="C11">
        <v>1</v>
      </c>
      <c r="D11" s="7">
        <f>Table14[[#This Row],[mols]]/0.0687</f>
        <v>0.73497197411032333</v>
      </c>
      <c r="E11" s="7">
        <f>Table14[[#This Row],[g]]*0.1+Table14[[#This Row],[g]]</f>
        <v>3.7774000000000001</v>
      </c>
      <c r="F11" s="7">
        <v>3.4340000000000002</v>
      </c>
      <c r="G11" s="8">
        <v>68.010000000000005</v>
      </c>
      <c r="H11" s="8">
        <f>Table14[[#This Row],[g]]/Table14[[#This Row],[Molar Mass]]</f>
        <v>5.049257462137921E-2</v>
      </c>
      <c r="I11" s="2"/>
      <c r="J11" s="7">
        <f>Table14[[#This Row],[Molarity]]/5</f>
        <v>0.14699439482206467</v>
      </c>
      <c r="K11" s="7">
        <f>Table14[[#This Row],[1X Concentations (M)]]</f>
        <v>0.14699439482206467</v>
      </c>
      <c r="L11" s="7" t="s">
        <v>47</v>
      </c>
    </row>
    <row r="12" spans="1:12" x14ac:dyDescent="0.25">
      <c r="A12" t="s">
        <v>43</v>
      </c>
      <c r="B12" s="8" t="s">
        <v>32</v>
      </c>
      <c r="C12">
        <v>1</v>
      </c>
      <c r="D12" s="7">
        <f>Table14[[#This Row],[mols]]/0.0687</f>
        <v>4.5090523324712853E-3</v>
      </c>
      <c r="E12" s="7">
        <f>Table14[[#This Row],[g]]*0.1+Table14[[#This Row],[g]]</f>
        <v>4.8399999999999999E-2</v>
      </c>
      <c r="F12" s="7">
        <v>4.3999999999999997E-2</v>
      </c>
      <c r="G12" s="8">
        <v>142.04</v>
      </c>
      <c r="H12" s="8">
        <f>Table14[[#This Row],[g]]/Table14[[#This Row],[Molar Mass]]</f>
        <v>3.0977189524077726E-4</v>
      </c>
      <c r="I12" s="2"/>
      <c r="J12" s="7">
        <f>Table14[[#This Row],[Molarity]]/5</f>
        <v>9.0181046649425703E-4</v>
      </c>
      <c r="K12" s="7">
        <f>2*Table14[[#This Row],[1X Concentations (M)]]</f>
        <v>1.8036209329885141E-3</v>
      </c>
      <c r="L12" s="7" t="s">
        <v>32</v>
      </c>
    </row>
    <row r="13" spans="1:12" x14ac:dyDescent="0.25">
      <c r="A13" t="s">
        <v>45</v>
      </c>
      <c r="B13" s="8"/>
      <c r="C13">
        <v>1</v>
      </c>
      <c r="D13" t="e">
        <f>Table14[[#This Row],[mols]]/0.0687</f>
        <v>#VALUE!</v>
      </c>
      <c r="E13" s="1">
        <f>1*0.1+1</f>
        <v>1.1000000000000001</v>
      </c>
      <c r="F13" s="1" t="s">
        <v>50</v>
      </c>
      <c r="G13" t="s">
        <v>29</v>
      </c>
      <c r="H13" t="e">
        <f>Table14[[#This Row],[g]]/Table14[[#This Row],[Molar Mass]]</f>
        <v>#VALUE!</v>
      </c>
      <c r="I13" s="2"/>
      <c r="J13" s="2" t="e">
        <f>Table14[[#This Row],[Molarity]]/5</f>
        <v>#VALUE!</v>
      </c>
      <c r="K13" s="2"/>
      <c r="L13" s="7"/>
    </row>
    <row r="14" spans="1:12" x14ac:dyDescent="0.25">
      <c r="B14" s="8"/>
      <c r="D14" s="2"/>
      <c r="E14" s="2"/>
      <c r="F14" s="2"/>
      <c r="H14" s="2"/>
      <c r="I14" s="2"/>
      <c r="J14" s="2"/>
      <c r="K14" s="2">
        <f>SUM(K6:K12)</f>
        <v>1.0962530913570345</v>
      </c>
      <c r="L14" s="2"/>
    </row>
    <row r="15" spans="1:12" x14ac:dyDescent="0.25">
      <c r="K15" t="s">
        <v>81</v>
      </c>
    </row>
  </sheetData>
  <conditionalFormatting sqref="C1:C13">
    <cfRule type="colorScale" priority="1">
      <colorScale>
        <cfvo type="num" val="0"/>
        <cfvo type="num" val="1"/>
        <color rgb="FFFF000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Chemicals</vt:lpstr>
      <vt:lpstr>Sheet2</vt:lpstr>
      <vt:lpstr>5X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Clarkson</dc:creator>
  <cp:lastModifiedBy>Clay Clarkson</cp:lastModifiedBy>
  <dcterms:created xsi:type="dcterms:W3CDTF">2017-12-05T18:07:09Z</dcterms:created>
  <dcterms:modified xsi:type="dcterms:W3CDTF">2018-04-30T17:14:43Z</dcterms:modified>
</cp:coreProperties>
</file>