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MinhTri\Desktop\"/>
    </mc:Choice>
  </mc:AlternateContent>
  <xr:revisionPtr revIDLastSave="0" documentId="13_ncr:1_{16D4F69F-8353-4BD7-93D4-CADDD1ED45C1}" xr6:coauthVersionLast="47" xr6:coauthVersionMax="47" xr10:uidLastSave="{00000000-0000-0000-0000-000000000000}"/>
  <bookViews>
    <workbookView xWindow="-108" yWindow="-108" windowWidth="23256" windowHeight="12576" tabRatio="906" firstSheet="12" activeTab="18" xr2:uid="{00000000-000D-0000-FFFF-FFFF00000000}"/>
  </bookViews>
  <sheets>
    <sheet name="Bài 11-1" sheetId="1" r:id="rId1"/>
    <sheet name="Bài 11-3" sheetId="2" r:id="rId2"/>
    <sheet name="Bài 11-4" sheetId="3" r:id="rId3"/>
    <sheet name="Bài 11-6" sheetId="4" r:id="rId4"/>
    <sheet name="Bài 11-7" sheetId="5" r:id="rId5"/>
    <sheet name="Bài 11-18" sheetId="6" r:id="rId6"/>
    <sheet name="Bài 11-20" sheetId="7" r:id="rId7"/>
    <sheet name="Bài 11-22" sheetId="8" r:id="rId8"/>
    <sheet name="Bài 11-23" sheetId="10" r:id="rId9"/>
    <sheet name="Bài 11-25" sheetId="9" r:id="rId10"/>
    <sheet name="Bài 11-28" sheetId="11" r:id="rId11"/>
    <sheet name="Bài 11-32" sheetId="12" r:id="rId12"/>
    <sheet name=" Bài 1" sheetId="13" r:id="rId13"/>
    <sheet name="Sheet2" sheetId="15" r:id="rId14"/>
    <sheet name="Bài 2" sheetId="14" r:id="rId15"/>
    <sheet name="THUTU" sheetId="16" r:id="rId16"/>
    <sheet name="Bài 3" sheetId="17" r:id="rId17"/>
    <sheet name="Sheet3" sheetId="18" r:id="rId18"/>
    <sheet name="Bài 4" sheetId="19" r:id="rId19"/>
    <sheet name="Thống Kê" sheetId="20" r:id="rId20"/>
    <sheet name="Bài 5" sheetId="21" r:id="rId21"/>
  </sheets>
  <definedNames>
    <definedName name="_xlnm._FilterDatabase" localSheetId="20" hidden="1">'Bài 5'!$A$3:$J$9</definedName>
    <definedName name="_xlnm._FilterDatabase" localSheetId="13" hidden="1">Sheet2!$A$1:$H$13</definedName>
    <definedName name="_xlnm._FilterDatabase" localSheetId="17" hidden="1">Sheet3!$A$1:$K$10</definedName>
    <definedName name="_xlnm._FilterDatabase" localSheetId="19" hidden="1">'Thống Kê'!$A$1:$H$8</definedName>
    <definedName name="_xlnm._FilterDatabase" localSheetId="15" hidden="1">THUTU!$A$1:$H$11</definedName>
    <definedName name="_xlnm.Criteria" localSheetId="20">'Bài 5'!$I$17:$J$20</definedName>
    <definedName name="_xlnm.Criteria" localSheetId="13">Sheet2!$K$2:$L$6</definedName>
    <definedName name="_xlnm.Criteria" localSheetId="17">Sheet3!$B$18:$C$19</definedName>
    <definedName name="_xlnm.Criteria" localSheetId="19">'Thống Kê'!$G$10:$I$12</definedName>
    <definedName name="_xlnm.Criteria" localSheetId="15">THUTU!$J$2:$K$4</definedName>
    <definedName name="_xlnm.Extract" localSheetId="20">'Bài 5'!$I$22:$R$22</definedName>
    <definedName name="_xlnm.Extract" localSheetId="13">Sheet2!$K$9:$R$9</definedName>
    <definedName name="_xlnm.Extract" localSheetId="17">Sheet3!$B$21:$L$21</definedName>
    <definedName name="_xlnm.Extract" localSheetId="19">'Thống Kê'!$B$14:$I$14</definedName>
    <definedName name="_xlnm.Extract" localSheetId="15">THUTU!$J$12:$Q$12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9" l="1"/>
  <c r="G6" i="19" s="1"/>
  <c r="C7" i="19"/>
  <c r="G7" i="19" s="1"/>
  <c r="C8" i="19"/>
  <c r="G8" i="19" s="1"/>
  <c r="C9" i="19"/>
  <c r="C10" i="19"/>
  <c r="C11" i="19"/>
  <c r="G11" i="19" s="1"/>
  <c r="C5" i="19"/>
  <c r="G5" i="19" s="1"/>
  <c r="B7" i="19"/>
  <c r="B8" i="19"/>
  <c r="B9" i="19"/>
  <c r="B10" i="19"/>
  <c r="B11" i="19"/>
  <c r="B6" i="19"/>
  <c r="B5" i="19"/>
  <c r="A2" i="19"/>
  <c r="C4" i="21"/>
  <c r="I4" i="21" s="1"/>
  <c r="H5" i="21"/>
  <c r="H6" i="21"/>
  <c r="H7" i="21"/>
  <c r="H8" i="21"/>
  <c r="D4" i="21"/>
  <c r="G4" i="21" s="1"/>
  <c r="H4" i="21" s="1"/>
  <c r="J4" i="21" s="1"/>
  <c r="G8" i="21"/>
  <c r="D5" i="21"/>
  <c r="G5" i="21" s="1"/>
  <c r="D6" i="21"/>
  <c r="G6" i="21" s="1"/>
  <c r="D7" i="21"/>
  <c r="G7" i="21" s="1"/>
  <c r="D8" i="21"/>
  <c r="D9" i="21"/>
  <c r="G9" i="21" s="1"/>
  <c r="C5" i="21"/>
  <c r="C6" i="21"/>
  <c r="C7" i="21"/>
  <c r="C8" i="21"/>
  <c r="I8" i="21" s="1"/>
  <c r="C9" i="21"/>
  <c r="I9" i="21" s="1"/>
  <c r="F6" i="19"/>
  <c r="F7" i="19"/>
  <c r="F8" i="19"/>
  <c r="F9" i="19"/>
  <c r="F10" i="19"/>
  <c r="F11" i="19"/>
  <c r="F5" i="19"/>
  <c r="G9" i="19"/>
  <c r="G10" i="19"/>
  <c r="H6" i="17"/>
  <c r="H3" i="17"/>
  <c r="I3" i="17"/>
  <c r="G4" i="17"/>
  <c r="I4" i="17" s="1"/>
  <c r="G5" i="17"/>
  <c r="I5" i="17" s="1"/>
  <c r="G6" i="17"/>
  <c r="I6" i="17" s="1"/>
  <c r="J6" i="17" s="1"/>
  <c r="G7" i="17"/>
  <c r="G8" i="17"/>
  <c r="I8" i="17" s="1"/>
  <c r="G9" i="17"/>
  <c r="I9" i="17" s="1"/>
  <c r="G10" i="17"/>
  <c r="I10" i="17" s="1"/>
  <c r="J10" i="17" s="1"/>
  <c r="G11" i="17"/>
  <c r="G3" i="17"/>
  <c r="D4" i="17"/>
  <c r="D5" i="17"/>
  <c r="D6" i="17"/>
  <c r="D7" i="17"/>
  <c r="D8" i="17"/>
  <c r="D9" i="17"/>
  <c r="D10" i="17"/>
  <c r="D11" i="17"/>
  <c r="D3" i="17"/>
  <c r="C4" i="17"/>
  <c r="C5" i="17"/>
  <c r="C6" i="17"/>
  <c r="C7" i="17"/>
  <c r="C8" i="17"/>
  <c r="C9" i="17"/>
  <c r="C10" i="17"/>
  <c r="C11" i="17"/>
  <c r="C3" i="17"/>
  <c r="H6" i="19" l="1"/>
  <c r="C23" i="19" s="1"/>
  <c r="H11" i="19"/>
  <c r="H10" i="19"/>
  <c r="D23" i="19" s="1"/>
  <c r="H9" i="19"/>
  <c r="H8" i="19"/>
  <c r="H7" i="19"/>
  <c r="H5" i="19"/>
  <c r="B23" i="19" s="1"/>
  <c r="I5" i="21"/>
  <c r="J5" i="21" s="1"/>
  <c r="K14" i="21" s="1"/>
  <c r="H9" i="21"/>
  <c r="J9" i="21" s="1"/>
  <c r="I7" i="21"/>
  <c r="J7" i="21" s="1"/>
  <c r="K15" i="21" s="1"/>
  <c r="J8" i="21"/>
  <c r="I6" i="21"/>
  <c r="J6" i="21" s="1"/>
  <c r="K13" i="21" s="1"/>
  <c r="J3" i="17"/>
  <c r="J4" i="17"/>
  <c r="J8" i="17"/>
  <c r="K3" i="17"/>
  <c r="K4" i="17"/>
  <c r="H9" i="17"/>
  <c r="K9" i="17" s="1"/>
  <c r="H5" i="17"/>
  <c r="K5" i="17" s="1"/>
  <c r="I11" i="17"/>
  <c r="I7" i="17"/>
  <c r="H8" i="17"/>
  <c r="K8" i="17" s="1"/>
  <c r="H4" i="17"/>
  <c r="J9" i="17"/>
  <c r="J5" i="17"/>
  <c r="K6" i="17"/>
  <c r="H10" i="17"/>
  <c r="K10" i="17" s="1"/>
  <c r="D19" i="16"/>
  <c r="E19" i="16"/>
  <c r="C19" i="16"/>
  <c r="E18" i="16"/>
  <c r="D18" i="16"/>
  <c r="C18" i="16"/>
  <c r="G4" i="14"/>
  <c r="H4" i="14" s="1"/>
  <c r="G5" i="14"/>
  <c r="H5" i="14" s="1"/>
  <c r="G6" i="14"/>
  <c r="H6" i="14" s="1"/>
  <c r="G7" i="14"/>
  <c r="H7" i="14" s="1"/>
  <c r="G8" i="14"/>
  <c r="G9" i="14"/>
  <c r="H9" i="14" s="1"/>
  <c r="G10" i="14"/>
  <c r="G11" i="14"/>
  <c r="H11" i="14" s="1"/>
  <c r="G12" i="14"/>
  <c r="H12" i="14" s="1"/>
  <c r="G3" i="14"/>
  <c r="H3" i="14" s="1"/>
  <c r="H10" i="14"/>
  <c r="H8" i="14"/>
  <c r="E4" i="14"/>
  <c r="E5" i="14"/>
  <c r="E6" i="14"/>
  <c r="E7" i="14"/>
  <c r="E8" i="14"/>
  <c r="E9" i="14"/>
  <c r="E10" i="14"/>
  <c r="E11" i="14"/>
  <c r="E12" i="14"/>
  <c r="E3" i="14"/>
  <c r="C4" i="14"/>
  <c r="D4" i="14" s="1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3" i="14"/>
  <c r="D3" i="14" s="1"/>
  <c r="I16" i="17" l="1"/>
  <c r="H7" i="17"/>
  <c r="H11" i="17"/>
  <c r="J7" i="17"/>
  <c r="J11" i="17"/>
  <c r="E4" i="13"/>
  <c r="E5" i="13"/>
  <c r="E6" i="13"/>
  <c r="E7" i="13"/>
  <c r="E8" i="13"/>
  <c r="E9" i="13"/>
  <c r="E10" i="13"/>
  <c r="E11" i="13"/>
  <c r="E12" i="13"/>
  <c r="E13" i="13"/>
  <c r="E14" i="13"/>
  <c r="E3" i="13"/>
  <c r="D4" i="13"/>
  <c r="D5" i="13"/>
  <c r="F5" i="13" s="1"/>
  <c r="D6" i="13"/>
  <c r="F6" i="13" s="1"/>
  <c r="D7" i="13"/>
  <c r="F7" i="13" s="1"/>
  <c r="D8" i="13"/>
  <c r="F8" i="13" s="1"/>
  <c r="D9" i="13"/>
  <c r="F9" i="13" s="1"/>
  <c r="D10" i="13"/>
  <c r="F10" i="13" s="1"/>
  <c r="D11" i="13"/>
  <c r="D12" i="13"/>
  <c r="D13" i="13"/>
  <c r="F13" i="13" s="1"/>
  <c r="D14" i="13"/>
  <c r="F14" i="13" s="1"/>
  <c r="D3" i="13"/>
  <c r="F3" i="13" s="1"/>
  <c r="C4" i="13"/>
  <c r="C5" i="13"/>
  <c r="C6" i="13"/>
  <c r="C7" i="13"/>
  <c r="C8" i="13"/>
  <c r="C9" i="13"/>
  <c r="C10" i="13"/>
  <c r="C11" i="13"/>
  <c r="C12" i="13"/>
  <c r="C13" i="13"/>
  <c r="C14" i="13"/>
  <c r="C3" i="13"/>
  <c r="F4" i="12"/>
  <c r="F5" i="12"/>
  <c r="F6" i="12"/>
  <c r="F7" i="12"/>
  <c r="F8" i="12"/>
  <c r="F9" i="12"/>
  <c r="F10" i="12"/>
  <c r="F11" i="12"/>
  <c r="F12" i="12"/>
  <c r="F13" i="12"/>
  <c r="F14" i="12"/>
  <c r="F3" i="12"/>
  <c r="E4" i="12"/>
  <c r="E5" i="12"/>
  <c r="E6" i="12"/>
  <c r="E7" i="12"/>
  <c r="E8" i="12"/>
  <c r="E9" i="12"/>
  <c r="E10" i="12"/>
  <c r="E11" i="12"/>
  <c r="E12" i="12"/>
  <c r="E13" i="12"/>
  <c r="E14" i="12"/>
  <c r="E3" i="12"/>
  <c r="D4" i="12"/>
  <c r="G4" i="12" s="1"/>
  <c r="D5" i="12"/>
  <c r="G5" i="12" s="1"/>
  <c r="D6" i="12"/>
  <c r="G6" i="12" s="1"/>
  <c r="D7" i="12"/>
  <c r="G7" i="12" s="1"/>
  <c r="D8" i="12"/>
  <c r="G8" i="12" s="1"/>
  <c r="D9" i="12"/>
  <c r="G9" i="12" s="1"/>
  <c r="D10" i="12"/>
  <c r="G10" i="12" s="1"/>
  <c r="D11" i="12"/>
  <c r="G11" i="12" s="1"/>
  <c r="D12" i="12"/>
  <c r="G12" i="12" s="1"/>
  <c r="D13" i="12"/>
  <c r="G13" i="12" s="1"/>
  <c r="D14" i="12"/>
  <c r="G14" i="12" s="1"/>
  <c r="D3" i="12"/>
  <c r="G3" i="12" s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3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F3" i="3"/>
  <c r="H3" i="3" s="1"/>
  <c r="I3" i="3" s="1"/>
  <c r="H4" i="5"/>
  <c r="J4" i="5" s="1"/>
  <c r="K7" i="17" l="1"/>
  <c r="I15" i="17" s="1"/>
  <c r="K11" i="17"/>
  <c r="I17" i="17" s="1"/>
  <c r="F12" i="13"/>
  <c r="F4" i="13"/>
  <c r="F11" i="13"/>
  <c r="F12" i="11"/>
  <c r="G12" i="11" s="1"/>
  <c r="F11" i="11"/>
  <c r="G11" i="11" s="1"/>
  <c r="H5" i="13"/>
  <c r="G3" i="13"/>
  <c r="H3" i="13" s="1"/>
  <c r="G11" i="13"/>
  <c r="H11" i="13" s="1"/>
  <c r="G7" i="13"/>
  <c r="H7" i="13" s="1"/>
  <c r="F14" i="11"/>
  <c r="G14" i="11" s="1"/>
  <c r="F10" i="11"/>
  <c r="G10" i="11" s="1"/>
  <c r="F6" i="11"/>
  <c r="G6" i="11" s="1"/>
  <c r="G14" i="13"/>
  <c r="H14" i="13" s="1"/>
  <c r="G10" i="13"/>
  <c r="H10" i="13" s="1"/>
  <c r="G6" i="13"/>
  <c r="H6" i="13" s="1"/>
  <c r="F13" i="11"/>
  <c r="G13" i="11" s="1"/>
  <c r="F9" i="11"/>
  <c r="G9" i="11" s="1"/>
  <c r="F5" i="11"/>
  <c r="G5" i="11" s="1"/>
  <c r="G13" i="13"/>
  <c r="H13" i="13" s="1"/>
  <c r="G9" i="13"/>
  <c r="H9" i="13" s="1"/>
  <c r="G5" i="13"/>
  <c r="G12" i="13"/>
  <c r="H12" i="13" s="1"/>
  <c r="G8" i="13"/>
  <c r="H8" i="13" s="1"/>
  <c r="G4" i="13"/>
  <c r="H4" i="13" s="1"/>
  <c r="H11" i="12"/>
  <c r="H7" i="12"/>
  <c r="H14" i="12"/>
  <c r="H10" i="12"/>
  <c r="F21" i="12" s="1"/>
  <c r="H6" i="12"/>
  <c r="F19" i="12"/>
  <c r="H13" i="12"/>
  <c r="H9" i="12"/>
  <c r="F20" i="12" s="1"/>
  <c r="H5" i="12"/>
  <c r="H12" i="12"/>
  <c r="H8" i="12"/>
  <c r="H4" i="12"/>
  <c r="H3" i="12"/>
  <c r="F8" i="11"/>
  <c r="G8" i="11" s="1"/>
  <c r="F7" i="11"/>
  <c r="G7" i="11" s="1"/>
  <c r="F16" i="11"/>
  <c r="G16" i="11" s="1"/>
  <c r="F4" i="11"/>
  <c r="G4" i="11" s="1"/>
  <c r="F15" i="11"/>
  <c r="G15" i="11" s="1"/>
  <c r="F3" i="11"/>
  <c r="G3" i="11" s="1"/>
  <c r="I3" i="10"/>
  <c r="I4" i="10"/>
  <c r="I5" i="10"/>
  <c r="I6" i="10"/>
  <c r="I7" i="10"/>
  <c r="I8" i="10"/>
  <c r="F4" i="10"/>
  <c r="G4" i="10" s="1"/>
  <c r="F5" i="10"/>
  <c r="H5" i="10" s="1"/>
  <c r="F6" i="10"/>
  <c r="G6" i="10" s="1"/>
  <c r="F7" i="10"/>
  <c r="G7" i="10" s="1"/>
  <c r="F8" i="10"/>
  <c r="G8" i="10" s="1"/>
  <c r="F3" i="10"/>
  <c r="H3" i="10" s="1"/>
  <c r="D3" i="7"/>
  <c r="E3" i="7" s="1"/>
  <c r="B3" i="7"/>
  <c r="E4" i="9"/>
  <c r="F4" i="9" s="1"/>
  <c r="E5" i="9"/>
  <c r="E6" i="9"/>
  <c r="E7" i="9"/>
  <c r="E8" i="9"/>
  <c r="E9" i="9"/>
  <c r="E10" i="9"/>
  <c r="E11" i="9"/>
  <c r="C3" i="8"/>
  <c r="C4" i="8"/>
  <c r="C5" i="8"/>
  <c r="C6" i="8"/>
  <c r="C7" i="8"/>
  <c r="C8" i="8"/>
  <c r="C2" i="8"/>
  <c r="H3" i="8"/>
  <c r="H4" i="8" s="1"/>
  <c r="B3" i="8"/>
  <c r="D3" i="8" s="1"/>
  <c r="B4" i="8"/>
  <c r="D4" i="8" s="1"/>
  <c r="B5" i="8"/>
  <c r="D5" i="8" s="1"/>
  <c r="B6" i="8"/>
  <c r="D6" i="8" s="1"/>
  <c r="B7" i="8"/>
  <c r="D7" i="8" s="1"/>
  <c r="B8" i="8"/>
  <c r="B2" i="8"/>
  <c r="D2" i="8" s="1"/>
  <c r="D8" i="8" l="1"/>
  <c r="D24" i="13"/>
  <c r="F24" i="13"/>
  <c r="E24" i="13"/>
  <c r="C24" i="13"/>
  <c r="F18" i="12"/>
  <c r="F22" i="12"/>
  <c r="F11" i="9"/>
  <c r="G11" i="9" s="1"/>
  <c r="F7" i="9"/>
  <c r="G7" i="9" s="1"/>
  <c r="F8" i="9"/>
  <c r="G8" i="9" s="1"/>
  <c r="G4" i="9"/>
  <c r="H8" i="10"/>
  <c r="H4" i="10"/>
  <c r="G5" i="10"/>
  <c r="H7" i="10"/>
  <c r="F10" i="9"/>
  <c r="G10" i="9" s="1"/>
  <c r="F6" i="9"/>
  <c r="G6" i="9" s="1"/>
  <c r="G3" i="10"/>
  <c r="H6" i="10"/>
  <c r="F9" i="9"/>
  <c r="G9" i="9" s="1"/>
  <c r="F5" i="9"/>
  <c r="G5" i="9" s="1"/>
  <c r="D4" i="7"/>
  <c r="E4" i="7" s="1"/>
  <c r="D5" i="7"/>
  <c r="E5" i="7" s="1"/>
  <c r="D6" i="7"/>
  <c r="E6" i="7" s="1"/>
  <c r="D7" i="7"/>
  <c r="E7" i="7" s="1"/>
  <c r="D8" i="7"/>
  <c r="E8" i="7" s="1"/>
  <c r="F3" i="7"/>
  <c r="B4" i="7"/>
  <c r="B5" i="7"/>
  <c r="B6" i="7"/>
  <c r="B7" i="7"/>
  <c r="B8" i="7"/>
  <c r="D5" i="6"/>
  <c r="F5" i="6" s="1"/>
  <c r="D6" i="6"/>
  <c r="F6" i="6" s="1"/>
  <c r="D7" i="6"/>
  <c r="F7" i="6" s="1"/>
  <c r="D8" i="6"/>
  <c r="F8" i="6" s="1"/>
  <c r="D9" i="6"/>
  <c r="F9" i="6" s="1"/>
  <c r="D4" i="6"/>
  <c r="F4" i="6" s="1"/>
  <c r="C5" i="6"/>
  <c r="C6" i="6"/>
  <c r="C7" i="6"/>
  <c r="C8" i="6"/>
  <c r="C9" i="6"/>
  <c r="C4" i="6"/>
  <c r="H5" i="5"/>
  <c r="H6" i="5"/>
  <c r="H7" i="5"/>
  <c r="H8" i="5"/>
  <c r="H9" i="5"/>
  <c r="H10" i="5"/>
  <c r="H11" i="5"/>
  <c r="E4" i="4"/>
  <c r="E5" i="4"/>
  <c r="E6" i="4"/>
  <c r="E7" i="4"/>
  <c r="E8" i="4"/>
  <c r="E9" i="4"/>
  <c r="E3" i="4"/>
  <c r="B4" i="4"/>
  <c r="B5" i="4"/>
  <c r="B6" i="4"/>
  <c r="B7" i="4"/>
  <c r="B8" i="4"/>
  <c r="B9" i="4"/>
  <c r="B3" i="4"/>
  <c r="I5" i="3"/>
  <c r="I6" i="3"/>
  <c r="I8" i="3"/>
  <c r="F4" i="3"/>
  <c r="H4" i="3" s="1"/>
  <c r="I4" i="3" s="1"/>
  <c r="F5" i="3"/>
  <c r="F6" i="3"/>
  <c r="F7" i="3"/>
  <c r="H7" i="3" s="1"/>
  <c r="I7" i="3" s="1"/>
  <c r="F8" i="3"/>
  <c r="H5" i="3"/>
  <c r="H6" i="3"/>
  <c r="H8" i="3"/>
  <c r="J4" i="6" l="1"/>
  <c r="J6" i="5"/>
  <c r="I6" i="5"/>
  <c r="I9" i="5"/>
  <c r="J5" i="5"/>
  <c r="I5" i="5"/>
  <c r="I4" i="5"/>
  <c r="J11" i="5"/>
  <c r="I11" i="5"/>
  <c r="J7" i="5"/>
  <c r="I7" i="5"/>
  <c r="I10" i="5"/>
  <c r="J8" i="5"/>
  <c r="I8" i="5"/>
  <c r="J10" i="5"/>
  <c r="F6" i="7"/>
  <c r="F5" i="7"/>
  <c r="F8" i="7"/>
  <c r="F4" i="7"/>
  <c r="F7" i="7"/>
  <c r="J6" i="6"/>
  <c r="J5" i="6"/>
  <c r="J9" i="5"/>
  <c r="I4" i="2"/>
  <c r="I5" i="2"/>
  <c r="I6" i="2"/>
  <c r="I7" i="2"/>
  <c r="I8" i="2"/>
  <c r="F3" i="2"/>
  <c r="G4" i="2"/>
  <c r="G5" i="2"/>
  <c r="G6" i="2"/>
  <c r="G7" i="2"/>
  <c r="G8" i="2"/>
  <c r="G3" i="2"/>
  <c r="F4" i="2"/>
  <c r="F5" i="2"/>
  <c r="F6" i="2"/>
  <c r="F7" i="2"/>
  <c r="F8" i="2"/>
  <c r="H8" i="2" s="1"/>
  <c r="C2" i="1"/>
  <c r="K4" i="1" s="1"/>
  <c r="H5" i="1"/>
  <c r="H6" i="1"/>
  <c r="H7" i="1"/>
  <c r="H8" i="1"/>
  <c r="H9" i="1"/>
  <c r="H4" i="1"/>
  <c r="G5" i="1"/>
  <c r="G6" i="1"/>
  <c r="G7" i="1"/>
  <c r="G8" i="1"/>
  <c r="G9" i="1"/>
  <c r="G4" i="1"/>
  <c r="F5" i="1"/>
  <c r="F6" i="1"/>
  <c r="F7" i="1"/>
  <c r="F8" i="1"/>
  <c r="F9" i="1"/>
  <c r="F4" i="1"/>
  <c r="E5" i="1"/>
  <c r="E6" i="1"/>
  <c r="E7" i="1"/>
  <c r="E8" i="1"/>
  <c r="E9" i="1"/>
  <c r="E4" i="1"/>
  <c r="D5" i="1"/>
  <c r="D6" i="1"/>
  <c r="D7" i="1"/>
  <c r="D8" i="1"/>
  <c r="D9" i="1"/>
  <c r="D4" i="1"/>
  <c r="H4" i="2" l="1"/>
  <c r="H7" i="2"/>
  <c r="H6" i="2"/>
  <c r="H5" i="2"/>
  <c r="H3" i="2"/>
  <c r="I3" i="2" s="1"/>
  <c r="K8" i="1"/>
  <c r="K7" i="1"/>
  <c r="K6" i="1"/>
  <c r="K9" i="1"/>
  <c r="K5" i="1"/>
  <c r="L8" i="1"/>
  <c r="L7" i="1"/>
  <c r="L6" i="1"/>
  <c r="L5" i="1"/>
  <c r="L9" i="1"/>
  <c r="L4" i="1"/>
</calcChain>
</file>

<file path=xl/sharedStrings.xml><?xml version="1.0" encoding="utf-8"?>
<sst xmlns="http://schemas.openxmlformats.org/spreadsheetml/2006/main" count="924" uniqueCount="501">
  <si>
    <t>DANH SÁCH CÁN BỘ - NHÂN VIÊN CÔNG TY HƯƠNG THÀNH</t>
  </si>
  <si>
    <t>Ngày xét:</t>
  </si>
  <si>
    <t>MÃ NHÂN VIÊN</t>
  </si>
  <si>
    <t>HỌ</t>
  </si>
  <si>
    <t>TÊN</t>
  </si>
  <si>
    <t>MÃ HÌNH
THỨC</t>
  </si>
  <si>
    <t>MÃ ĐƠN
VỊ</t>
  </si>
  <si>
    <t>MÃ CHỨC 
VỤ</t>
  </si>
  <si>
    <t>MÃ TRÌNH
ĐỘ</t>
  </si>
  <si>
    <t>NGÀY SINH</t>
  </si>
  <si>
    <t>NGÀY CÔNG TÁC</t>
  </si>
  <si>
    <t>TUỔI</t>
  </si>
  <si>
    <t>THÂM NIÊN</t>
  </si>
  <si>
    <t>HD042A</t>
  </si>
  <si>
    <t>BC011A</t>
  </si>
  <si>
    <t>BC021B</t>
  </si>
  <si>
    <t>BC021A</t>
  </si>
  <si>
    <t>HD032B</t>
  </si>
  <si>
    <t>HD052A</t>
  </si>
  <si>
    <t>Ly Thanh</t>
  </si>
  <si>
    <t>Truong Vinh</t>
  </si>
  <si>
    <t>Tran Tien</t>
  </si>
  <si>
    <t>Nguyen Ngoc</t>
  </si>
  <si>
    <t>Nguyen Thi</t>
  </si>
  <si>
    <t>Doan Thanh</t>
  </si>
  <si>
    <t>Trung</t>
  </si>
  <si>
    <t>Phuc</t>
  </si>
  <si>
    <t>Tinh</t>
  </si>
  <si>
    <t>Thinh</t>
  </si>
  <si>
    <t>Thao</t>
  </si>
  <si>
    <t>Toan</t>
  </si>
  <si>
    <t>HỌ VÀ TÊN</t>
  </si>
  <si>
    <t>BẢNG KÊ KHAI THU TIỀN QUẢNG CÁO TRUYỀN HÌNH</t>
  </si>
  <si>
    <t>Loại
Khách Hàng</t>
  </si>
  <si>
    <t>Ngày</t>
  </si>
  <si>
    <t>Loại giờ</t>
  </si>
  <si>
    <t>Thời lượng</t>
  </si>
  <si>
    <t>Thứ</t>
  </si>
  <si>
    <t>Đơn giá</t>
  </si>
  <si>
    <t>Thành Tiền</t>
  </si>
  <si>
    <t>Giảm Giá</t>
  </si>
  <si>
    <t>Nguyen Van Thanh</t>
  </si>
  <si>
    <t>Le Mong Tuyen</t>
  </si>
  <si>
    <t>Nguyen Tan Tai</t>
  </si>
  <si>
    <t>Tran Tuan</t>
  </si>
  <si>
    <t>Hoang Thuc Phuong</t>
  </si>
  <si>
    <t>Tran Viet Hung</t>
  </si>
  <si>
    <t>A</t>
  </si>
  <si>
    <t>B</t>
  </si>
  <si>
    <t>C</t>
  </si>
  <si>
    <t>01</t>
  </si>
  <si>
    <t>02</t>
  </si>
  <si>
    <t>03</t>
  </si>
  <si>
    <t>BẢNG BÁO CÁO DOANH THU DỊCH VỤ KHÁCH SẠN</t>
  </si>
  <si>
    <t>Khách hàng</t>
  </si>
  <si>
    <t>Ngày thuê</t>
  </si>
  <si>
    <t>Giờ thuê</t>
  </si>
  <si>
    <t>Ngày trả</t>
  </si>
  <si>
    <t>Giờ trả</t>
  </si>
  <si>
    <t>Số ngày</t>
  </si>
  <si>
    <t>Thành tiền</t>
  </si>
  <si>
    <t>Tiền giảm</t>
  </si>
  <si>
    <t>Cao Minh Thanh</t>
  </si>
  <si>
    <t>Nguyen Ba Tuan</t>
  </si>
  <si>
    <t>Nguyen Cuc Xuan</t>
  </si>
  <si>
    <t>Nguyen Hong Van</t>
  </si>
  <si>
    <t>Dao Quang Vinh</t>
  </si>
  <si>
    <t>Nguyen Khac Huy</t>
  </si>
  <si>
    <t>X</t>
  </si>
  <si>
    <t>Họ Tên</t>
  </si>
  <si>
    <t>BẢNG XẾP HẠNG TRƯỜNG HỌC</t>
  </si>
  <si>
    <t>Mã vùng</t>
  </si>
  <si>
    <t>ĐB</t>
  </si>
  <si>
    <t>MN</t>
  </si>
  <si>
    <t>Tên vùng</t>
  </si>
  <si>
    <t>Tên trường</t>
  </si>
  <si>
    <t>Châu Văn Liêm</t>
  </si>
  <si>
    <t>Lương Thế Vinh</t>
  </si>
  <si>
    <t>Nguyễn Việt Dũng</t>
  </si>
  <si>
    <t>Nguyễn Viết Xuân</t>
  </si>
  <si>
    <t>Ngô Thời Nhiệm</t>
  </si>
  <si>
    <t>Lê Quý Đôn</t>
  </si>
  <si>
    <t>Mạc Đỉnh Chi</t>
  </si>
  <si>
    <t>Số lớp</t>
  </si>
  <si>
    <t>Xếp hạng</t>
  </si>
  <si>
    <t>KẾT QUẢ HỌC TẬP NĂM 2015</t>
  </si>
  <si>
    <t>Tên Học Sinh</t>
  </si>
  <si>
    <t>Môn Chính</t>
  </si>
  <si>
    <t>Môn Phụ</t>
  </si>
  <si>
    <t>Toán</t>
  </si>
  <si>
    <t>Lý</t>
  </si>
  <si>
    <t>Hóa</t>
  </si>
  <si>
    <t>Sinh</t>
  </si>
  <si>
    <t>Sử</t>
  </si>
  <si>
    <t>Địa</t>
  </si>
  <si>
    <t>ĐTB</t>
  </si>
  <si>
    <t>Xếp loại</t>
  </si>
  <si>
    <t>Dũng</t>
  </si>
  <si>
    <t>Anh</t>
  </si>
  <si>
    <t xml:space="preserve">Nguyệt </t>
  </si>
  <si>
    <t>Vũ</t>
  </si>
  <si>
    <t>Châu</t>
  </si>
  <si>
    <t>Thành</t>
  </si>
  <si>
    <t>Vân</t>
  </si>
  <si>
    <t>Trang</t>
  </si>
  <si>
    <t>Công ty xuất khẩu Nhà Rồng</t>
  </si>
  <si>
    <t>Tổng giá trị xuất khẩu nông sản năm 2000</t>
  </si>
  <si>
    <t>Bảng phụ A</t>
  </si>
  <si>
    <t>Mã
hàng</t>
  </si>
  <si>
    <t>Tên
hàng</t>
  </si>
  <si>
    <t>Giá/tấn
(USD)</t>
  </si>
  <si>
    <t>Số lượng
(tấn)</t>
  </si>
  <si>
    <t>Tổng giá
trị</t>
  </si>
  <si>
    <t>Mã</t>
  </si>
  <si>
    <t>Tên hàng</t>
  </si>
  <si>
    <t>Tổng giá trị</t>
  </si>
  <si>
    <t>Ca04</t>
  </si>
  <si>
    <t>Ba01</t>
  </si>
  <si>
    <t>Ca03</t>
  </si>
  <si>
    <t>Tr04</t>
  </si>
  <si>
    <t>Ca02</t>
  </si>
  <si>
    <t>Tr02</t>
  </si>
  <si>
    <t>Ca</t>
  </si>
  <si>
    <t>Ba</t>
  </si>
  <si>
    <t>Tr</t>
  </si>
  <si>
    <t>Bảng phụ B</t>
  </si>
  <si>
    <t xml:space="preserve">Mã </t>
  </si>
  <si>
    <t>Giá</t>
  </si>
  <si>
    <t>04</t>
  </si>
  <si>
    <t>Café</t>
  </si>
  <si>
    <t>Bắp</t>
  </si>
  <si>
    <t>Trà</t>
  </si>
  <si>
    <t>BÁO CÁO DOANH THU</t>
  </si>
  <si>
    <t>Mã hàng</t>
  </si>
  <si>
    <t>Số lượng</t>
  </si>
  <si>
    <t>Chuyên chở</t>
  </si>
  <si>
    <t>Phải trả</t>
  </si>
  <si>
    <t>XL1</t>
  </si>
  <si>
    <t>DS1</t>
  </si>
  <si>
    <t>NS3</t>
  </si>
  <si>
    <t>DL1</t>
  </si>
  <si>
    <t>XS2</t>
  </si>
  <si>
    <t>XS1</t>
  </si>
  <si>
    <t>BẢNG TRA THÔNG TIN</t>
  </si>
  <si>
    <t>Mã Hàng Hóa</t>
  </si>
  <si>
    <t>Tên Hàng Hóa</t>
  </si>
  <si>
    <t>Giá Sĩ</t>
  </si>
  <si>
    <t>Giá Lẻ</t>
  </si>
  <si>
    <t>Mã Chuyên Chở</t>
  </si>
  <si>
    <t>D</t>
  </si>
  <si>
    <t>N</t>
  </si>
  <si>
    <t>Xăng</t>
  </si>
  <si>
    <t>Dầu</t>
  </si>
  <si>
    <t>Nhớt</t>
  </si>
  <si>
    <t>Phần Trăm
Chuyên Chở</t>
  </si>
  <si>
    <t>Mã
Hiệu</t>
  </si>
  <si>
    <t>Tên
Hãng</t>
  </si>
  <si>
    <t>Phân
Khối</t>
  </si>
  <si>
    <t>Tên Xe</t>
  </si>
  <si>
    <t>Bảng mã phân phối</t>
  </si>
  <si>
    <t>Bảng Tên Xe</t>
  </si>
  <si>
    <t>S11</t>
  </si>
  <si>
    <t>Y11</t>
  </si>
  <si>
    <t>H12</t>
  </si>
  <si>
    <t>S12</t>
  </si>
  <si>
    <t>Y10</t>
  </si>
  <si>
    <t>H11</t>
  </si>
  <si>
    <t>Y12</t>
  </si>
  <si>
    <t>Mã PK</t>
  </si>
  <si>
    <t>Phân Phối</t>
  </si>
  <si>
    <t>Mã Hàng</t>
  </si>
  <si>
    <t>Tên Hàng</t>
  </si>
  <si>
    <t>H</t>
  </si>
  <si>
    <t>S</t>
  </si>
  <si>
    <t>Y</t>
  </si>
  <si>
    <t>Honda</t>
  </si>
  <si>
    <t>Suzuki</t>
  </si>
  <si>
    <t>Yamaha</t>
  </si>
  <si>
    <t>Bảng tên loại xe</t>
  </si>
  <si>
    <t>Dream</t>
  </si>
  <si>
    <t>S100</t>
  </si>
  <si>
    <t>Crypton</t>
  </si>
  <si>
    <t>Wave</t>
  </si>
  <si>
    <t>Visa</t>
  </si>
  <si>
    <t>Sirius</t>
  </si>
  <si>
    <t>Spacy</t>
  </si>
  <si>
    <t>Fx</t>
  </si>
  <si>
    <t>Majesty</t>
  </si>
  <si>
    <t>BANG TINH GIA TRI HANG THAP</t>
  </si>
  <si>
    <t>Ma HD</t>
  </si>
  <si>
    <t>Ngay
Mua</t>
  </si>
  <si>
    <t>Ten
Hang</t>
  </si>
  <si>
    <t>So
Luong</t>
  </si>
  <si>
    <t>Thanh Tien</t>
  </si>
  <si>
    <t>Thue</t>
  </si>
  <si>
    <t>Tong Cong</t>
  </si>
  <si>
    <t>K071</t>
  </si>
  <si>
    <t>S052</t>
  </si>
  <si>
    <t>T041</t>
  </si>
  <si>
    <t>K032</t>
  </si>
  <si>
    <t>G062</t>
  </si>
  <si>
    <t>X061</t>
  </si>
  <si>
    <t>S042</t>
  </si>
  <si>
    <t>G022</t>
  </si>
  <si>
    <t>Vai Kate</t>
  </si>
  <si>
    <t>Vai Silk</t>
  </si>
  <si>
    <t>Vai Tole</t>
  </si>
  <si>
    <t>Gam T.Hai</t>
  </si>
  <si>
    <t>Vai Xo</t>
  </si>
  <si>
    <t>BANG TEN HANG -DON GIA</t>
  </si>
  <si>
    <t>BANG THUE SUAT</t>
  </si>
  <si>
    <t>Ten Hang</t>
  </si>
  <si>
    <t>DON GIA</t>
  </si>
  <si>
    <t xml:space="preserve"> Loai 1</t>
  </si>
  <si>
    <t>Loai 2</t>
  </si>
  <si>
    <t>Thang</t>
  </si>
  <si>
    <t>Thue Suat</t>
  </si>
  <si>
    <t>Dien Giai</t>
  </si>
  <si>
    <t>Tu thang 1 den thang 3</t>
  </si>
  <si>
    <t>Tu thang 4 den thang 6</t>
  </si>
  <si>
    <t>Tu thang 7 den thang 9</t>
  </si>
  <si>
    <t>Tu thang 10 den thang 12</t>
  </si>
  <si>
    <t>THANH TOÁN TIỀN THUÊ PHÒNG</t>
  </si>
  <si>
    <t>MAPH</t>
  </si>
  <si>
    <t>TEN</t>
  </si>
  <si>
    <t>SO NGUOI</t>
  </si>
  <si>
    <t>NG.DEN</t>
  </si>
  <si>
    <t>NG.DI</t>
  </si>
  <si>
    <t>SO NGAY</t>
  </si>
  <si>
    <t>SO TUAN</t>
  </si>
  <si>
    <t>NGAY LE</t>
  </si>
  <si>
    <t>101A</t>
  </si>
  <si>
    <t>201B</t>
  </si>
  <si>
    <t>303C</t>
  </si>
  <si>
    <t>104A</t>
  </si>
  <si>
    <t>205A</t>
  </si>
  <si>
    <t>306B</t>
  </si>
  <si>
    <t>Trường</t>
  </si>
  <si>
    <t>Kỳ</t>
  </si>
  <si>
    <t>Kháng</t>
  </si>
  <si>
    <t>Chiến</t>
  </si>
  <si>
    <t>Nhất</t>
  </si>
  <si>
    <t>Định</t>
  </si>
  <si>
    <t>TỔNG CỘNG</t>
  </si>
  <si>
    <t>Bang gia tuan</t>
  </si>
  <si>
    <t>ĐG1</t>
  </si>
  <si>
    <t>Bang gia ngay</t>
  </si>
  <si>
    <t>ĐG2</t>
  </si>
  <si>
    <t>ĐG3</t>
  </si>
  <si>
    <t>ĐG TUAN</t>
  </si>
  <si>
    <t>ĐG NGAY</t>
  </si>
  <si>
    <t>PHU THU</t>
  </si>
  <si>
    <t>THANH TIEN</t>
  </si>
  <si>
    <t>2./ Lập công thức điền dữ liệu cho cột Tên Hãng, biết rằng: Ký tự đầu tiên của Mã Hiệu là Mã Hãng Xe</t>
  </si>
  <si>
    <t>3./ Lập công thức điền dữ liệu cho cột phân phối, biết rằng 2 ký tự cuối của Mã Hiệu là Mã Phân Phối</t>
  </si>
  <si>
    <t>4./ Lập công thức lấy dữ liệu cho cột tên xe (dùng hàm VLOOKUP và hàm IF</t>
  </si>
  <si>
    <t>2./ Tính cột SO NGAY: Nếu NG.DI = NG.DEN thì bằng 1, ngược lại bằng NG.DI -NG.DEN</t>
  </si>
  <si>
    <t>3./ Tính cột SO TUAN và cột NGAY LE.</t>
  </si>
  <si>
    <t>4./ Thêm sau cột NGAY LE các cột sau: DG.TUAN, DG.NGAY, PHU THU, TH TIEN.</t>
  </si>
  <si>
    <t>5./ Tính DG.TUAN dựa vào 2 yếu sau: (dùng hàm VLOOKUP và hàm IF)</t>
  </si>
  <si>
    <t>- Loại phòng là 1 ký tự bên phải của MAPH.</t>
  </si>
  <si>
    <t>- Vị trí của phòng (tầng lầu) là 1 ký tự bên trái của MAPH.</t>
  </si>
  <si>
    <t>6./ Tính DG.NGAY dựa vào 2 yếu sau: (dùng hàm HLOOKUP và hàm MATCH)</t>
  </si>
  <si>
    <t>7./ Tính giá trị PHU THU như sau:</t>
  </si>
  <si>
    <t>- Nếu SO NGUOI (số người) &lt;=2 thì PHU THU = 0</t>
  </si>
  <si>
    <t>- Nếu SO NGUOI = 3 thì PHU THU = (SO TUAN * DG.TUAN + NGAY LE * DG.NGAY ) * 10%</t>
  </si>
  <si>
    <t>- Nếu SO NGUOI = 4 thì PHU THU = (SO TUAN * DG.TUAN + NGAY LE * DG.NGAY) * 20%</t>
  </si>
  <si>
    <t>- Nếu SO NGUOI = 5 thì PHU THU = (SO TUAN * DG.TUAN + NGAY LE * DG.NGAY) * 30%</t>
  </si>
  <si>
    <t>8./ Tính cột TH TIEN: TH TIEN = SO TUAN * DG.TUAN + NGAY LE * DG.NGAY + PHU THU</t>
  </si>
  <si>
    <t>9./ Tính tổng cộng cột Phụ Thu và Thành Tiền ghi vào dòng Tổng Cộng.</t>
  </si>
  <si>
    <t>2./ Tính cột Thanh Tien: Thanh Tien = So Luong * Don Gia</t>
  </si>
  <si>
    <t>Trong đó, Don Gia được tính dựa vào Ten Hang và BANG TEN HANG - DON GIA, nếu ký tự cuối của</t>
  </si>
  <si>
    <t>Ma HD là 1 thì lấy đơn giá Loại 1, ngược lại lấy đơn giá Loại 2.</t>
  </si>
  <si>
    <t>3./ Tinh Thue: Thue = Thanh Tien*Thue Suat</t>
  </si>
  <si>
    <t>Trong đó, Thue Suat được tính dựa vào tháng mua hàng và BANG THUE SUAT.</t>
  </si>
  <si>
    <t>4./ Tính cột Tong Cong: Tong Cong = Thanh Tien + Thue</t>
  </si>
  <si>
    <t>BẢNG NHẬP XUẤT HÀNG HÓA</t>
  </si>
  <si>
    <t>STT</t>
  </si>
  <si>
    <t>Số
lượng
bán</t>
  </si>
  <si>
    <t>Đơn
giá</t>
  </si>
  <si>
    <t>Tiền
giảm</t>
  </si>
  <si>
    <t>T-240VNSA</t>
  </si>
  <si>
    <t>MG-032THAILG</t>
  </si>
  <si>
    <t>MAS-101CHILG</t>
  </si>
  <si>
    <t>T-105TAWLG</t>
  </si>
  <si>
    <t>MG-220SNGSA</t>
  </si>
  <si>
    <t>T-090CHISA</t>
  </si>
  <si>
    <t>MQP-025THAISA</t>
  </si>
  <si>
    <t>D-200THAILG</t>
  </si>
  <si>
    <t>MQP-050VNLG</t>
  </si>
  <si>
    <t>D-057VNSA</t>
  </si>
  <si>
    <t>D-103SNGTO</t>
  </si>
  <si>
    <t>MG-110FRSA</t>
  </si>
  <si>
    <t>MAS-104FRTO</t>
  </si>
  <si>
    <t>D-116CHILG</t>
  </si>
  <si>
    <t>Hãng SX</t>
  </si>
  <si>
    <t>Doanh mục hàng</t>
  </si>
  <si>
    <t>SA</t>
  </si>
  <si>
    <t>LG</t>
  </si>
  <si>
    <t>TO</t>
  </si>
  <si>
    <t>Tên
hãng
SX</t>
  </si>
  <si>
    <t>Samsung</t>
  </si>
  <si>
    <t>Toshiba</t>
  </si>
  <si>
    <t>Mã
SP</t>
  </si>
  <si>
    <t>Sản phẩm</t>
  </si>
  <si>
    <t>T</t>
  </si>
  <si>
    <t>Tivi</t>
  </si>
  <si>
    <t>Đầu đĩa  DVD</t>
  </si>
  <si>
    <t>MQP</t>
  </si>
  <si>
    <t xml:space="preserve">Máy quay phim </t>
  </si>
  <si>
    <t>MG</t>
  </si>
  <si>
    <t>Máy giặt</t>
  </si>
  <si>
    <t>MAS</t>
  </si>
  <si>
    <t>Máy ảnh KTS</t>
  </si>
  <si>
    <t>Chú ý: - Các kí tự chữ bên trái của Mã hàng là Mã sản phẩm</t>
  </si>
  <si>
    <t>2./ Dựa vào mã hàng, bảng danh mục hàng và bảng hãng sản xuất lập công thức cho cột Tên hàng (ví dụ:</t>
  </si>
  <si>
    <t>T-240SA có tên hàng là tivi Samsung, MG-110SA là máy giặt Samsung)</t>
  </si>
  <si>
    <t>3./ Hãy lập công thức cho cột Số lượng bán, biết số lượng bán là 3 kí tự số trong Mã hàng.</t>
  </si>
  <si>
    <t>4./ Dựa vào mã hàng và bảng danh mục hàng hãy lập công thức cho cột Đơn giá</t>
  </si>
  <si>
    <t>5./ Tính cột Tiền giảm: Tiền giảm = số lượng * đơn giá*% giảm.</t>
  </si>
  <si>
    <t>Biết rằng: giảm 5% cho những sản phẩm có số lượng bán &gt;100, 3% cho những sản phẩm có số lượng</t>
  </si>
  <si>
    <t>bán &gt;50, ngược lại không giảm.</t>
  </si>
  <si>
    <t>6./ Thành tiền = số lượng * đơn giá - tiền giảm.</t>
  </si>
  <si>
    <t>Hai kí tự cuối bên phải của Mã hàng là Mã hãng</t>
  </si>
  <si>
    <t>CỬA HÀNG BÁCH HÓA TỔNG HỢP</t>
  </si>
  <si>
    <t>MÃ
HÀNG</t>
  </si>
  <si>
    <t>NGÀY NHẬP</t>
  </si>
  <si>
    <t>TÊN
HÀNG</t>
  </si>
  <si>
    <t>SỐ
LƯỢNG</t>
  </si>
  <si>
    <t>ĐƠN
GIÁ</t>
  </si>
  <si>
    <t>THUẾ</t>
  </si>
  <si>
    <t>THÀNH
TIỀN</t>
  </si>
  <si>
    <t>2A199</t>
  </si>
  <si>
    <t>1F1506</t>
  </si>
  <si>
    <t>1A90</t>
  </si>
  <si>
    <t>2B9090</t>
  </si>
  <si>
    <t>1B3555</t>
  </si>
  <si>
    <t>2F2406</t>
  </si>
  <si>
    <t>1C3000</t>
  </si>
  <si>
    <t>2D1212</t>
  </si>
  <si>
    <t>1C17</t>
  </si>
  <si>
    <t>1F9951</t>
  </si>
  <si>
    <t>1A124</t>
  </si>
  <si>
    <t>2F1550</t>
  </si>
  <si>
    <t>BẢNG THAM CHIẾU</t>
  </si>
  <si>
    <t>Loại Mã
hàng</t>
  </si>
  <si>
    <t>Đơn giá
1</t>
  </si>
  <si>
    <t>Đơn giá
2</t>
  </si>
  <si>
    <t>Tổng Thành Tiền</t>
  </si>
  <si>
    <t>F</t>
  </si>
  <si>
    <t>Mực HP</t>
  </si>
  <si>
    <t>RAM 128 MB</t>
  </si>
  <si>
    <t>Hardisk 40GB</t>
  </si>
  <si>
    <t>CD ROM LG</t>
  </si>
  <si>
    <t>Văn phòng phẩm</t>
  </si>
  <si>
    <t>BẢNG KÊ CHI TIẾT MẶT HÀNG MAY MẶC</t>
  </si>
  <si>
    <t>Đơn Giá</t>
  </si>
  <si>
    <t>Thành
Tiền</t>
  </si>
  <si>
    <t>Tổng Tiền</t>
  </si>
  <si>
    <t>1AT095</t>
  </si>
  <si>
    <t>2QJ105</t>
  </si>
  <si>
    <t>1QK285</t>
  </si>
  <si>
    <t>2AT050</t>
  </si>
  <si>
    <t>1SM085</t>
  </si>
  <si>
    <t>2AT100</t>
  </si>
  <si>
    <t>1QJ075</t>
  </si>
  <si>
    <t>2QJ035</t>
  </si>
  <si>
    <t>1AT055</t>
  </si>
  <si>
    <t>2SM140</t>
  </si>
  <si>
    <t>2QK020</t>
  </si>
  <si>
    <t>2SM060</t>
  </si>
  <si>
    <t>BẢNG TÊN HÀNG - ĐƠN GIÁ</t>
  </si>
  <si>
    <t>ĐG -Loại 1</t>
  </si>
  <si>
    <t>ĐG - Loại 2</t>
  </si>
  <si>
    <t>AT</t>
  </si>
  <si>
    <t>SM</t>
  </si>
  <si>
    <t>QK</t>
  </si>
  <si>
    <t>QJ</t>
  </si>
  <si>
    <t>Áo thun</t>
  </si>
  <si>
    <t>Áo sơ mi</t>
  </si>
  <si>
    <t>Quần Kaki</t>
  </si>
  <si>
    <t>Quần Jean</t>
  </si>
  <si>
    <t>BẢNG THỐNG KÊ DOANH THU</t>
  </si>
  <si>
    <t>BẢNG TÍNH TIỀN</t>
  </si>
  <si>
    <t>&gt;=100</t>
  </si>
  <si>
    <t>&lt;100</t>
  </si>
  <si>
    <t>MÃ SỐ</t>
  </si>
  <si>
    <t>MÃ HÀNG</t>
  </si>
  <si>
    <t>TÊN HÀNG</t>
  </si>
  <si>
    <t>LOẠI</t>
  </si>
  <si>
    <t>SỐ LƯỢNG</t>
  </si>
  <si>
    <t>ĐƠN GIÁ</t>
  </si>
  <si>
    <t>THÀNH TIỀN</t>
  </si>
  <si>
    <t>FE2</t>
  </si>
  <si>
    <t>AL1</t>
  </si>
  <si>
    <t>CE2</t>
  </si>
  <si>
    <t>FE1</t>
  </si>
  <si>
    <t>CE1</t>
  </si>
  <si>
    <t>AL2</t>
  </si>
  <si>
    <t>LOẠI 1</t>
  </si>
  <si>
    <t>LOẠI 2</t>
  </si>
  <si>
    <t>AL</t>
  </si>
  <si>
    <t>FE</t>
  </si>
  <si>
    <t>CE</t>
  </si>
  <si>
    <t>NHÔM</t>
  </si>
  <si>
    <t>SẮT</t>
  </si>
  <si>
    <t>XI MĂNG</t>
  </si>
  <si>
    <t>Nhôm</t>
  </si>
  <si>
    <t>Sắt</t>
  </si>
  <si>
    <t>&gt;50</t>
  </si>
  <si>
    <t>Tổng số mặt hàng</t>
  </si>
  <si>
    <t>Tổng thành tiền</t>
  </si>
  <si>
    <t>BẢNG THỐNG KÊ</t>
  </si>
  <si>
    <t>CỬA HÀNG BÁNH MỨT HƯỚNG DƯƠNG</t>
  </si>
  <si>
    <t>SỐ HÓA
ĐƠN</t>
  </si>
  <si>
    <t>MẶT HÀNG</t>
  </si>
  <si>
    <t>NGÀY
BÁN</t>
  </si>
  <si>
    <t>GIÁ BÁN
1KG</t>
  </si>
  <si>
    <t>VẬN
CHUYỂN</t>
  </si>
  <si>
    <t>MB1</t>
  </si>
  <si>
    <t>MB2</t>
  </si>
  <si>
    <t>BC2</t>
  </si>
  <si>
    <t>BC1</t>
  </si>
  <si>
    <t>HS1</t>
  </si>
  <si>
    <t>HS2</t>
  </si>
  <si>
    <t>BẢNG GIÁ</t>
  </si>
  <si>
    <t>Loại 1</t>
  </si>
  <si>
    <t>Loại 2</t>
  </si>
  <si>
    <t>Giảm giá</t>
  </si>
  <si>
    <t>Loại bánh mứt</t>
  </si>
  <si>
    <t>BC</t>
  </si>
  <si>
    <t>HS</t>
  </si>
  <si>
    <t>MB</t>
  </si>
  <si>
    <t>Bánh chưng</t>
  </si>
  <si>
    <t>Hạt sen</t>
  </si>
  <si>
    <t>Mứt bí</t>
  </si>
  <si>
    <t>GIẢM GIÁ</t>
  </si>
  <si>
    <t>1</t>
  </si>
  <si>
    <t>2</t>
  </si>
  <si>
    <t>&gt;=50</t>
  </si>
  <si>
    <t>BÁO CÁO BÁN HÀNG THÉP XÂY DỰNG</t>
  </si>
  <si>
    <t>Đơn vị tính:USD</t>
  </si>
  <si>
    <t>Mã QG</t>
  </si>
  <si>
    <t>Ngày bán</t>
  </si>
  <si>
    <t>Trị giá</t>
  </si>
  <si>
    <t>Phí
vận chuyển</t>
  </si>
  <si>
    <t>TR20C</t>
  </si>
  <si>
    <t>TA10C</t>
  </si>
  <si>
    <t>TR20T</t>
  </si>
  <si>
    <t>GO55C</t>
  </si>
  <si>
    <t>GO55T</t>
  </si>
  <si>
    <t>TA10T</t>
  </si>
  <si>
    <t>BẢNG 1</t>
  </si>
  <si>
    <t>Giá Cao cấp</t>
  </si>
  <si>
    <t>Giá Thường</t>
  </si>
  <si>
    <t>TR20</t>
  </si>
  <si>
    <t>TA10</t>
  </si>
  <si>
    <t>GO55</t>
  </si>
  <si>
    <t>Thép tròn 20mm</t>
  </si>
  <si>
    <t>Thép tấm 10mm</t>
  </si>
  <si>
    <t>Thép góc 5x5mm</t>
  </si>
  <si>
    <t>AU</t>
  </si>
  <si>
    <t>KO</t>
  </si>
  <si>
    <t>GE</t>
  </si>
  <si>
    <t>BẢNG 2</t>
  </si>
  <si>
    <t>Xuất xứ</t>
  </si>
  <si>
    <t>Giá VC</t>
  </si>
  <si>
    <t>Australia</t>
  </si>
  <si>
    <t>Korea</t>
  </si>
  <si>
    <t>Gemany</t>
  </si>
  <si>
    <t>Mặt Hàng</t>
  </si>
  <si>
    <t>&lt;50</t>
  </si>
  <si>
    <t>ĐỀ XUẤT NHẬP HÀNG</t>
  </si>
  <si>
    <t>Tỷ giá</t>
  </si>
  <si>
    <t>Mã DX</t>
  </si>
  <si>
    <t>Số lượng DX</t>
  </si>
  <si>
    <t>Giá đề xuất</t>
  </si>
  <si>
    <t>Loại Tiền</t>
  </si>
  <si>
    <t>Thành tiền
(VNĐ)</t>
  </si>
  <si>
    <t>Thuế NK</t>
  </si>
  <si>
    <t>Phí VC</t>
  </si>
  <si>
    <t>Tổng GT</t>
  </si>
  <si>
    <t>TE3NK</t>
  </si>
  <si>
    <t>XD2TD</t>
  </si>
  <si>
    <t>DP1TN</t>
  </si>
  <si>
    <t>TE1TN</t>
  </si>
  <si>
    <t>DP2NK</t>
  </si>
  <si>
    <t>XD3NK</t>
  </si>
  <si>
    <t>USD</t>
  </si>
  <si>
    <t>VND</t>
  </si>
  <si>
    <t>Bảng 2</t>
  </si>
  <si>
    <t>DL Hàng Hóa</t>
  </si>
  <si>
    <t>DP</t>
  </si>
  <si>
    <t>XD</t>
  </si>
  <si>
    <t>TE</t>
  </si>
  <si>
    <t>Xe đường phố</t>
  </si>
  <si>
    <t>Xe đua</t>
  </si>
  <si>
    <t>Xe trẻ em</t>
  </si>
  <si>
    <t>Bảng 3</t>
  </si>
  <si>
    <t>Mã số lượng</t>
  </si>
  <si>
    <t>Bảng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</si>
</sst>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&quot;Hạng &quot;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NewRoman"/>
    </font>
    <font>
      <b/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9FF7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14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164" fontId="3" fillId="0" borderId="1" xfId="1" applyNumberFormat="1" applyFont="1" applyBorder="1"/>
    <xf numFmtId="0" fontId="5" fillId="0" borderId="1" xfId="0" applyFont="1" applyBorder="1" applyAlignment="1">
      <alignment horizontal="center"/>
    </xf>
    <xf numFmtId="20" fontId="4" fillId="0" borderId="1" xfId="0" applyNumberFormat="1" applyFont="1" applyBorder="1"/>
    <xf numFmtId="3" fontId="4" fillId="0" borderId="1" xfId="0" applyNumberFormat="1" applyFont="1" applyBorder="1"/>
    <xf numFmtId="0" fontId="3" fillId="0" borderId="1" xfId="0" applyFont="1" applyBorder="1" applyAlignment="1">
      <alignment horizontal="right"/>
    </xf>
    <xf numFmtId="165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1" fontId="3" fillId="0" borderId="1" xfId="0" applyNumberFormat="1" applyFont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9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 wrapText="1"/>
    </xf>
    <xf numFmtId="10" fontId="3" fillId="0" borderId="1" xfId="0" applyNumberFormat="1" applyFont="1" applyBorder="1"/>
    <xf numFmtId="0" fontId="8" fillId="0" borderId="0" xfId="0" applyFont="1"/>
    <xf numFmtId="9" fontId="3" fillId="0" borderId="1" xfId="2" applyFont="1" applyBorder="1"/>
    <xf numFmtId="3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3" fillId="0" borderId="0" xfId="1" applyNumberFormat="1" applyFont="1"/>
    <xf numFmtId="164" fontId="3" fillId="0" borderId="0" xfId="0" applyNumberFormat="1" applyFont="1"/>
    <xf numFmtId="0" fontId="0" fillId="0" borderId="1" xfId="0" applyBorder="1"/>
    <xf numFmtId="6" fontId="3" fillId="0" borderId="1" xfId="0" applyNumberFormat="1" applyFon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0" fillId="2" borderId="1" xfId="0" applyFill="1" applyBorder="1"/>
    <xf numFmtId="0" fontId="11" fillId="2" borderId="1" xfId="0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3" fillId="3" borderId="1" xfId="0" applyFont="1" applyFill="1" applyBorder="1"/>
    <xf numFmtId="0" fontId="5" fillId="3" borderId="1" xfId="0" applyFont="1" applyFill="1" applyBorder="1" applyAlignment="1">
      <alignment horizontal="center"/>
    </xf>
    <xf numFmtId="2" fontId="3" fillId="0" borderId="0" xfId="0" applyNumberFormat="1" applyFont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9" fontId="3" fillId="0" borderId="1" xfId="0" applyNumberFormat="1" applyFont="1" applyBorder="1"/>
    <xf numFmtId="0" fontId="5" fillId="4" borderId="1" xfId="0" applyFont="1" applyFill="1" applyBorder="1"/>
    <xf numFmtId="0" fontId="3" fillId="0" borderId="0" xfId="0" applyFont="1" applyAlignment="1">
      <alignment horizontal="center" wrapText="1"/>
    </xf>
    <xf numFmtId="16" fontId="3" fillId="0" borderId="0" xfId="0" applyNumberFormat="1" applyFont="1"/>
    <xf numFmtId="3" fontId="3" fillId="0" borderId="0" xfId="0" applyNumberFormat="1" applyFont="1"/>
    <xf numFmtId="0" fontId="5" fillId="5" borderId="0" xfId="0" applyFont="1" applyFill="1"/>
    <xf numFmtId="0" fontId="5" fillId="5" borderId="0" xfId="0" applyFont="1" applyFill="1" applyAlignment="1">
      <alignment horizontal="center" wrapText="1"/>
    </xf>
    <xf numFmtId="0" fontId="5" fillId="5" borderId="1" xfId="0" applyFont="1" applyFill="1" applyBorder="1"/>
    <xf numFmtId="0" fontId="14" fillId="0" borderId="0" xfId="0" applyFont="1"/>
    <xf numFmtId="0" fontId="3" fillId="0" borderId="0" xfId="0" applyFont="1" applyAlignment="1"/>
    <xf numFmtId="0" fontId="3" fillId="0" borderId="0" xfId="0" applyFont="1" applyFill="1"/>
    <xf numFmtId="164" fontId="3" fillId="0" borderId="0" xfId="1" applyNumberFormat="1" applyFont="1" applyFill="1"/>
    <xf numFmtId="3" fontId="3" fillId="0" borderId="0" xfId="0" applyNumberFormat="1" applyFont="1" applyFill="1"/>
    <xf numFmtId="14" fontId="3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9FF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Bảng</a:t>
            </a:r>
            <a:r>
              <a:rPr lang="en-US" baseline="0"/>
              <a:t> Thống Kê Doanh Thu</a:t>
            </a:r>
            <a:endParaRPr lang="en-US"/>
          </a:p>
        </c:rich>
      </c:tx>
      <c:layout>
        <c:manualLayout>
          <c:xMode val="edge"/>
          <c:yMode val="edge"/>
          <c:x val="0.28635658914728684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Tổng Tiền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Sheet2!$B$15:$E$15</c:f>
              <c:strCache>
                <c:ptCount val="4"/>
                <c:pt idx="0">
                  <c:v>AT</c:v>
                </c:pt>
                <c:pt idx="1">
                  <c:v>SM</c:v>
                </c:pt>
                <c:pt idx="2">
                  <c:v>QK</c:v>
                </c:pt>
                <c:pt idx="3">
                  <c:v>QJ</c:v>
                </c:pt>
              </c:strCache>
            </c:strRef>
          </c:cat>
          <c:val>
            <c:numRef>
              <c:f>Sheet2!$B$16:$E$16</c:f>
              <c:numCache>
                <c:formatCode>_(* #,##0_);_(* \(#,##0\);_(* "-"??_);_(@_)</c:formatCode>
                <c:ptCount val="4"/>
                <c:pt idx="0">
                  <c:v>20130000</c:v>
                </c:pt>
                <c:pt idx="1">
                  <c:v>28424000</c:v>
                </c:pt>
                <c:pt idx="2">
                  <c:v>65373000.000000007</c:v>
                </c:pt>
                <c:pt idx="3">
                  <c:v>68761000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A-4BF0-8BC8-E1D16EAB49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18651439"/>
        <c:axId val="1118652687"/>
        <c:axId val="0"/>
      </c:bar3DChart>
      <c:catAx>
        <c:axId val="111865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52687"/>
        <c:crosses val="autoZero"/>
        <c:auto val="1"/>
        <c:lblAlgn val="ctr"/>
        <c:lblOffset val="100"/>
        <c:noMultiLvlLbl val="0"/>
      </c:catAx>
      <c:valAx>
        <c:axId val="11186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5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BẢNG THỐNG KÊ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'Thống Kê'!$B$12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Kê'!$C$10:$E$11</c:f>
              <c:strCache>
                <c:ptCount val="3"/>
                <c:pt idx="0">
                  <c:v>TR20</c:v>
                </c:pt>
                <c:pt idx="1">
                  <c:v>TA10</c:v>
                </c:pt>
                <c:pt idx="2">
                  <c:v>GO55</c:v>
                </c:pt>
              </c:strCache>
            </c:strRef>
          </c:cat>
          <c:val>
            <c:numRef>
              <c:f>'Thống Kê'!$C$12:$E$12</c:f>
              <c:numCache>
                <c:formatCode>General</c:formatCode>
                <c:ptCount val="3"/>
                <c:pt idx="0">
                  <c:v>45795</c:v>
                </c:pt>
                <c:pt idx="1">
                  <c:v>105200</c:v>
                </c:pt>
                <c:pt idx="2">
                  <c:v>51995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F-4385-B25A-BB3053A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1646528"/>
        <c:axId val="1911647776"/>
        <c:axId val="0"/>
      </c:bar3DChart>
      <c:catAx>
        <c:axId val="19116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47776"/>
        <c:crosses val="autoZero"/>
        <c:auto val="1"/>
        <c:lblAlgn val="ctr"/>
        <c:lblOffset val="100"/>
        <c:noMultiLvlLbl val="0"/>
      </c:catAx>
      <c:valAx>
        <c:axId val="19116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4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TỔNG</a:t>
            </a:r>
            <a:r>
              <a:rPr lang="en-US" baseline="0"/>
              <a:t> GT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'Bài 5'!$J$13:$J$15</c:f>
              <c:strCache>
                <c:ptCount val="3"/>
                <c:pt idx="0">
                  <c:v>Xe đường phố</c:v>
                </c:pt>
                <c:pt idx="1">
                  <c:v>Xe đua</c:v>
                </c:pt>
                <c:pt idx="2">
                  <c:v>Xe trẻ em</c:v>
                </c:pt>
              </c:strCache>
            </c:strRef>
          </c:cat>
          <c:val>
            <c:numRef>
              <c:f>'Bài 5'!$K$13:$K$15</c:f>
              <c:numCache>
                <c:formatCode>_(* #,##0_);_(* \(#,##0\);_(* "-"??_);_(@_)</c:formatCode>
                <c:ptCount val="3"/>
                <c:pt idx="0">
                  <c:v>521928000</c:v>
                </c:pt>
                <c:pt idx="1">
                  <c:v>1271722500</c:v>
                </c:pt>
                <c:pt idx="2">
                  <c:v>207830000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9-4F69-892C-0844E53183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1504672"/>
        <c:axId val="601505000"/>
        <c:axId val="0"/>
      </c:bar3DChart>
      <c:catAx>
        <c:axId val="6015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05000"/>
        <c:crosses val="autoZero"/>
        <c:auto val="1"/>
        <c:lblAlgn val="ctr"/>
        <c:lblOffset val="100"/>
        <c:noMultiLvlLbl val="0"/>
      </c:catAx>
      <c:valAx>
        <c:axId val="6015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0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10</xdr:row>
      <xdr:rowOff>0</xdr:rowOff>
    </xdr:from>
    <xdr:to>
      <xdr:col>8</xdr:col>
      <xdr:colOff>746760</xdr:colOff>
      <xdr:row>21</xdr:row>
      <xdr:rowOff>160020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139E13-2C38-460E-A16A-5376A27EE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2392680"/>
          <a:ext cx="6553200" cy="2171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</xdr:colOff>
      <xdr:row>0</xdr:row>
      <xdr:rowOff>68581</xdr:rowOff>
    </xdr:from>
    <xdr:to>
      <xdr:col>20</xdr:col>
      <xdr:colOff>75890</xdr:colOff>
      <xdr:row>21</xdr:row>
      <xdr:rowOff>144781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5B6F6B-C904-49A6-AE39-C8D2483E0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0320" y="68581"/>
          <a:ext cx="6720530" cy="44500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106681</xdr:rowOff>
    </xdr:from>
    <xdr:to>
      <xdr:col>19</xdr:col>
      <xdr:colOff>384717</xdr:colOff>
      <xdr:row>14</xdr:row>
      <xdr:rowOff>137161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0EB77-9EE3-4B9F-B3BF-2454B44CA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00" y="327661"/>
          <a:ext cx="5063397" cy="298704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1</xdr:row>
      <xdr:rowOff>137160</xdr:rowOff>
    </xdr:from>
    <xdr:to>
      <xdr:col>18</xdr:col>
      <xdr:colOff>186622</xdr:colOff>
      <xdr:row>18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F9A4AD-59D9-4C0A-8CAE-406868C34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4440" y="365760"/>
          <a:ext cx="5657782" cy="355854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576261</xdr:colOff>
      <xdr:row>17</xdr:row>
      <xdr:rowOff>166687</xdr:rowOff>
    </xdr:from>
    <xdr:to>
      <xdr:col>6</xdr:col>
      <xdr:colOff>876299</xdr:colOff>
      <xdr:row>32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16</xdr:row>
      <xdr:rowOff>7620</xdr:rowOff>
    </xdr:from>
    <xdr:to>
      <xdr:col>7</xdr:col>
      <xdr:colOff>510540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BE501-218D-4AC9-8AD4-1BCDB8179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9</xdr:col>
      <xdr:colOff>22860</xdr:colOff>
      <xdr:row>25</xdr:row>
      <xdr:rowOff>129805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73D866-64CC-45CC-961D-06C24E078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2004060"/>
          <a:ext cx="6858000" cy="30558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99060</xdr:rowOff>
    </xdr:from>
    <xdr:to>
      <xdr:col>11</xdr:col>
      <xdr:colOff>281940</xdr:colOff>
      <xdr:row>24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32B8C9-2083-41EE-A857-49CE8DAB7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060" y="1775460"/>
          <a:ext cx="7772400" cy="2735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22860</xdr:colOff>
      <xdr:row>25</xdr:row>
      <xdr:rowOff>171857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BCD61C-F583-4699-BC11-25053F1E5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1965960"/>
          <a:ext cx="5257800" cy="29150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14</xdr:col>
      <xdr:colOff>358140</xdr:colOff>
      <xdr:row>23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53B6DD-CCB9-4F25-AB8E-15F47D6CB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040" y="2362200"/>
          <a:ext cx="7772400" cy="2011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76200</xdr:rowOff>
    </xdr:from>
    <xdr:to>
      <xdr:col>12</xdr:col>
      <xdr:colOff>518160</xdr:colOff>
      <xdr:row>16</xdr:row>
      <xdr:rowOff>9654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BD14E5-4429-4F54-8DC3-62FA263A1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100" y="2293620"/>
          <a:ext cx="5958840" cy="10307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335280</xdr:colOff>
      <xdr:row>16</xdr:row>
      <xdr:rowOff>0</xdr:rowOff>
    </xdr:from>
    <xdr:to>
      <xdr:col>7</xdr:col>
      <xdr:colOff>251460</xdr:colOff>
      <xdr:row>23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37759A-6427-47D0-BA44-535B1B134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" y="3535680"/>
          <a:ext cx="6393180" cy="14401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0</xdr:row>
      <xdr:rowOff>205741</xdr:rowOff>
    </xdr:from>
    <xdr:to>
      <xdr:col>18</xdr:col>
      <xdr:colOff>236220</xdr:colOff>
      <xdr:row>16</xdr:row>
      <xdr:rowOff>70779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657803-EB38-408F-83F3-CCDD292E1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2380" y="205741"/>
          <a:ext cx="5707380" cy="325593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16</xdr:row>
      <xdr:rowOff>123825</xdr:rowOff>
    </xdr:from>
    <xdr:to>
      <xdr:col>6</xdr:col>
      <xdr:colOff>566737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zoomScaleNormal="100" workbookViewId="0">
      <selection activeCell="J17" sqref="J17"/>
    </sheetView>
  </sheetViews>
  <sheetFormatPr defaultRowHeight="14.4"/>
  <cols>
    <col min="1" max="1" width="10.6640625" customWidth="1"/>
    <col min="2" max="2" width="15.109375" customWidth="1"/>
    <col min="3" max="3" width="9.6640625" bestFit="1" customWidth="1"/>
    <col min="4" max="4" width="21.5546875" customWidth="1"/>
    <col min="5" max="5" width="13" customWidth="1"/>
    <col min="6" max="6" width="9.6640625" customWidth="1"/>
    <col min="9" max="9" width="11.109375" customWidth="1"/>
    <col min="10" max="10" width="11.6640625" customWidth="1"/>
    <col min="11" max="11" width="9.5546875" customWidth="1"/>
  </cols>
  <sheetData>
    <row r="1" spans="1:12" ht="15.6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ht="21" customHeight="1">
      <c r="A2" s="1"/>
      <c r="B2" s="2" t="s">
        <v>1</v>
      </c>
      <c r="C2" s="1">
        <f ca="1">TODAY()</f>
        <v>45870</v>
      </c>
      <c r="D2" s="2"/>
      <c r="E2" s="2"/>
      <c r="F2" s="2"/>
      <c r="G2" s="2"/>
      <c r="H2" s="2"/>
      <c r="I2" s="2"/>
      <c r="J2" s="2"/>
      <c r="K2" s="2"/>
      <c r="L2" s="2"/>
    </row>
    <row r="3" spans="1:12" ht="51" customHeight="1">
      <c r="A3" s="3" t="s">
        <v>2</v>
      </c>
      <c r="B3" s="4" t="s">
        <v>3</v>
      </c>
      <c r="C3" s="4" t="s">
        <v>4</v>
      </c>
      <c r="D3" s="4" t="s">
        <v>31</v>
      </c>
      <c r="E3" s="3" t="s">
        <v>5</v>
      </c>
      <c r="F3" s="3" t="s">
        <v>7</v>
      </c>
      <c r="G3" s="3" t="s">
        <v>6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</row>
    <row r="4" spans="1:12">
      <c r="A4" s="2" t="s">
        <v>13</v>
      </c>
      <c r="B4" s="2" t="s">
        <v>19</v>
      </c>
      <c r="C4" s="2" t="s">
        <v>25</v>
      </c>
      <c r="D4" s="2" t="str">
        <f>B4&amp;" "&amp;C4</f>
        <v>Ly Thanh Trung</v>
      </c>
      <c r="E4" s="2" t="str">
        <f>LEFT(A4,2)</f>
        <v>HD</v>
      </c>
      <c r="F4" s="2" t="str">
        <f>MID(A4,3,2)</f>
        <v>04</v>
      </c>
      <c r="G4" s="2" t="str">
        <f>RIGHT(A4,1)</f>
        <v>A</v>
      </c>
      <c r="H4" s="2" t="str">
        <f>MID(A4,5,1)</f>
        <v>2</v>
      </c>
      <c r="I4" s="1">
        <v>25282</v>
      </c>
      <c r="J4" s="1">
        <v>32936</v>
      </c>
      <c r="K4" s="2">
        <f ca="1">INT(($C$2-I4)/365)</f>
        <v>56</v>
      </c>
      <c r="L4" s="2">
        <f ca="1">ROUND(($C$2-J4)/365,0)</f>
        <v>35</v>
      </c>
    </row>
    <row r="5" spans="1:12">
      <c r="A5" s="2" t="s">
        <v>14</v>
      </c>
      <c r="B5" s="2" t="s">
        <v>20</v>
      </c>
      <c r="C5" s="2" t="s">
        <v>26</v>
      </c>
      <c r="D5" s="2" t="str">
        <f t="shared" ref="D5:D9" si="0">B5&amp;" "&amp;C5</f>
        <v>Truong Vinh Phuc</v>
      </c>
      <c r="E5" s="2" t="str">
        <f t="shared" ref="E5:E9" si="1">LEFT(A5,2)</f>
        <v>BC</v>
      </c>
      <c r="F5" s="2" t="str">
        <f t="shared" ref="F5:F9" si="2">MID(A5,3,2)</f>
        <v>01</v>
      </c>
      <c r="G5" s="2" t="str">
        <f t="shared" ref="G5:G9" si="3">RIGHT(A5,1)</f>
        <v>A</v>
      </c>
      <c r="H5" s="2" t="str">
        <f t="shared" ref="H5:H9" si="4">MID(A5,5,1)</f>
        <v>1</v>
      </c>
      <c r="I5" s="1">
        <v>25841</v>
      </c>
      <c r="J5" s="1">
        <v>33763</v>
      </c>
      <c r="K5" s="2">
        <f t="shared" ref="K5:K9" ca="1" si="5">INT(($C$2-I5)/365)</f>
        <v>54</v>
      </c>
      <c r="L5" s="2">
        <f t="shared" ref="L5:L9" ca="1" si="6">ROUND(($C$2-J5)/365,0)</f>
        <v>33</v>
      </c>
    </row>
    <row r="6" spans="1:12">
      <c r="A6" s="2" t="s">
        <v>15</v>
      </c>
      <c r="B6" s="2" t="s">
        <v>21</v>
      </c>
      <c r="C6" s="2" t="s">
        <v>27</v>
      </c>
      <c r="D6" s="2" t="str">
        <f t="shared" si="0"/>
        <v>Tran Tien Tinh</v>
      </c>
      <c r="E6" s="2" t="str">
        <f t="shared" si="1"/>
        <v>BC</v>
      </c>
      <c r="F6" s="2" t="str">
        <f t="shared" si="2"/>
        <v>02</v>
      </c>
      <c r="G6" s="2" t="str">
        <f t="shared" si="3"/>
        <v>B</v>
      </c>
      <c r="H6" s="2" t="str">
        <f t="shared" si="4"/>
        <v>1</v>
      </c>
      <c r="I6" s="1">
        <v>26589</v>
      </c>
      <c r="J6" s="1">
        <v>32726</v>
      </c>
      <c r="K6" s="2">
        <f t="shared" ca="1" si="5"/>
        <v>52</v>
      </c>
      <c r="L6" s="2">
        <f t="shared" ca="1" si="6"/>
        <v>36</v>
      </c>
    </row>
    <row r="7" spans="1:12">
      <c r="A7" s="2" t="s">
        <v>16</v>
      </c>
      <c r="B7" s="2" t="s">
        <v>22</v>
      </c>
      <c r="C7" s="2" t="s">
        <v>28</v>
      </c>
      <c r="D7" s="2" t="str">
        <f t="shared" si="0"/>
        <v>Nguyen Ngoc Thinh</v>
      </c>
      <c r="E7" s="2" t="str">
        <f t="shared" si="1"/>
        <v>BC</v>
      </c>
      <c r="F7" s="2" t="str">
        <f t="shared" si="2"/>
        <v>02</v>
      </c>
      <c r="G7" s="2" t="str">
        <f t="shared" si="3"/>
        <v>A</v>
      </c>
      <c r="H7" s="2" t="str">
        <f t="shared" si="4"/>
        <v>1</v>
      </c>
      <c r="I7" s="1">
        <v>22948</v>
      </c>
      <c r="J7" s="1">
        <v>31190</v>
      </c>
      <c r="K7" s="2">
        <f t="shared" ca="1" si="5"/>
        <v>62</v>
      </c>
      <c r="L7" s="2">
        <f t="shared" ca="1" si="6"/>
        <v>40</v>
      </c>
    </row>
    <row r="8" spans="1:12">
      <c r="A8" s="2" t="s">
        <v>17</v>
      </c>
      <c r="B8" s="2" t="s">
        <v>23</v>
      </c>
      <c r="C8" s="2" t="s">
        <v>29</v>
      </c>
      <c r="D8" s="2" t="str">
        <f t="shared" si="0"/>
        <v>Nguyen Thi Thao</v>
      </c>
      <c r="E8" s="2" t="str">
        <f t="shared" si="1"/>
        <v>HD</v>
      </c>
      <c r="F8" s="2" t="str">
        <f t="shared" si="2"/>
        <v>03</v>
      </c>
      <c r="G8" s="2" t="str">
        <f t="shared" si="3"/>
        <v>B</v>
      </c>
      <c r="H8" s="2" t="str">
        <f t="shared" si="4"/>
        <v>2</v>
      </c>
      <c r="I8" s="1">
        <v>20451</v>
      </c>
      <c r="J8" s="1">
        <v>29341</v>
      </c>
      <c r="K8" s="2">
        <f t="shared" ca="1" si="5"/>
        <v>69</v>
      </c>
      <c r="L8" s="2">
        <f t="shared" ca="1" si="6"/>
        <v>45</v>
      </c>
    </row>
    <row r="9" spans="1:12">
      <c r="A9" s="2" t="s">
        <v>18</v>
      </c>
      <c r="B9" s="2" t="s">
        <v>24</v>
      </c>
      <c r="C9" s="2" t="s">
        <v>30</v>
      </c>
      <c r="D9" s="2" t="str">
        <f t="shared" si="0"/>
        <v>Doan Thanh Toan</v>
      </c>
      <c r="E9" s="2" t="str">
        <f t="shared" si="1"/>
        <v>HD</v>
      </c>
      <c r="F9" s="2" t="str">
        <f t="shared" si="2"/>
        <v>05</v>
      </c>
      <c r="G9" s="2" t="str">
        <f t="shared" si="3"/>
        <v>A</v>
      </c>
      <c r="H9" s="2" t="str">
        <f t="shared" si="4"/>
        <v>2</v>
      </c>
      <c r="I9" s="1">
        <v>25983</v>
      </c>
      <c r="J9" s="1">
        <v>34335</v>
      </c>
      <c r="K9" s="2">
        <f t="shared" ca="1" si="5"/>
        <v>54</v>
      </c>
      <c r="L9" s="2">
        <f t="shared" ca="1" si="6"/>
        <v>32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6"/>
  <sheetViews>
    <sheetView workbookViewId="0">
      <selection activeCell="E4" sqref="E4"/>
    </sheetView>
  </sheetViews>
  <sheetFormatPr defaultRowHeight="14.4"/>
  <cols>
    <col min="1" max="1" width="13.44140625" customWidth="1"/>
    <col min="2" max="2" width="10.5546875" customWidth="1"/>
    <col min="3" max="3" width="13.109375" customWidth="1"/>
    <col min="5" max="5" width="11.44140625" customWidth="1"/>
    <col min="6" max="6" width="10.109375" bestFit="1" customWidth="1"/>
    <col min="7" max="7" width="14.33203125" customWidth="1"/>
  </cols>
  <sheetData>
    <row r="1" spans="1:7" ht="15.6">
      <c r="A1" s="70" t="s">
        <v>188</v>
      </c>
      <c r="B1" s="70"/>
      <c r="C1" s="70"/>
      <c r="D1" s="70"/>
      <c r="E1" s="70"/>
      <c r="F1" s="70"/>
      <c r="G1" s="70"/>
    </row>
    <row r="3" spans="1:7" ht="31.2">
      <c r="A3" s="21" t="s">
        <v>189</v>
      </c>
      <c r="B3" s="22" t="s">
        <v>190</v>
      </c>
      <c r="C3" s="22" t="s">
        <v>191</v>
      </c>
      <c r="D3" s="22" t="s">
        <v>192</v>
      </c>
      <c r="E3" s="22" t="s">
        <v>193</v>
      </c>
      <c r="F3" s="22" t="s">
        <v>194</v>
      </c>
      <c r="G3" s="22" t="s">
        <v>195</v>
      </c>
    </row>
    <row r="4" spans="1:7" ht="15.6">
      <c r="A4" s="5" t="s">
        <v>196</v>
      </c>
      <c r="B4" s="8">
        <v>42384</v>
      </c>
      <c r="C4" s="5" t="s">
        <v>204</v>
      </c>
      <c r="D4" s="5">
        <v>120</v>
      </c>
      <c r="E4" s="5">
        <f>D4*VLOOKUP(C4,$A$15:$C$19,IF(RIGHT(A4,1)="2",3,2),0)</f>
        <v>780000</v>
      </c>
      <c r="F4" s="5">
        <f>E4*VLOOKUP(MONTH(B4),$D$14:$E$17,2,1)</f>
        <v>9360</v>
      </c>
      <c r="G4" s="5">
        <f>E4+F4</f>
        <v>789360</v>
      </c>
    </row>
    <row r="5" spans="1:7" ht="15.6">
      <c r="A5" s="5" t="s">
        <v>197</v>
      </c>
      <c r="B5" s="8">
        <v>42385</v>
      </c>
      <c r="C5" s="5" t="s">
        <v>205</v>
      </c>
      <c r="D5" s="5">
        <v>200</v>
      </c>
      <c r="E5" s="5">
        <f t="shared" ref="E5:E11" si="0">D5*VLOOKUP(C5,$A$15:$C$19,IF(RIGHT(A5,1)="2",3,2),0)</f>
        <v>6000000</v>
      </c>
      <c r="F5" s="5">
        <f t="shared" ref="F5:F11" si="1">E5*VLOOKUP(MONTH(B5),$D$14:$E$17,2,1)</f>
        <v>72000</v>
      </c>
      <c r="G5" s="5">
        <f t="shared" ref="G5:G11" si="2">E5+F5</f>
        <v>6072000</v>
      </c>
    </row>
    <row r="6" spans="1:7" ht="15.6">
      <c r="A6" s="5" t="s">
        <v>198</v>
      </c>
      <c r="B6" s="8">
        <v>42417</v>
      </c>
      <c r="C6" s="5" t="s">
        <v>206</v>
      </c>
      <c r="D6" s="5">
        <v>150</v>
      </c>
      <c r="E6" s="5">
        <f t="shared" si="0"/>
        <v>1725000</v>
      </c>
      <c r="F6" s="5">
        <f t="shared" si="1"/>
        <v>20700</v>
      </c>
      <c r="G6" s="5">
        <f t="shared" si="2"/>
        <v>1745700</v>
      </c>
    </row>
    <row r="7" spans="1:7" ht="15.6">
      <c r="A7" s="5" t="s">
        <v>199</v>
      </c>
      <c r="B7" s="8">
        <v>42447</v>
      </c>
      <c r="C7" s="5" t="s">
        <v>204</v>
      </c>
      <c r="D7" s="5">
        <v>180</v>
      </c>
      <c r="E7" s="5">
        <f t="shared" si="0"/>
        <v>1260000</v>
      </c>
      <c r="F7" s="5">
        <f t="shared" si="1"/>
        <v>15120</v>
      </c>
      <c r="G7" s="5">
        <f t="shared" si="2"/>
        <v>1275120</v>
      </c>
    </row>
    <row r="8" spans="1:7" ht="15.6">
      <c r="A8" s="5" t="s">
        <v>200</v>
      </c>
      <c r="B8" s="8">
        <v>42388</v>
      </c>
      <c r="C8" s="5" t="s">
        <v>207</v>
      </c>
      <c r="D8" s="5">
        <v>250</v>
      </c>
      <c r="E8" s="5">
        <f t="shared" si="0"/>
        <v>18750000</v>
      </c>
      <c r="F8" s="5">
        <f t="shared" si="1"/>
        <v>225000</v>
      </c>
      <c r="G8" s="5">
        <f t="shared" si="2"/>
        <v>18975000</v>
      </c>
    </row>
    <row r="9" spans="1:7" ht="15.6">
      <c r="A9" s="5" t="s">
        <v>201</v>
      </c>
      <c r="B9" s="8">
        <v>42500</v>
      </c>
      <c r="C9" s="5" t="s">
        <v>208</v>
      </c>
      <c r="D9" s="5">
        <v>140</v>
      </c>
      <c r="E9" s="5">
        <f t="shared" si="0"/>
        <v>420000</v>
      </c>
      <c r="F9" s="5">
        <f t="shared" si="1"/>
        <v>6300</v>
      </c>
      <c r="G9" s="5">
        <f t="shared" si="2"/>
        <v>426300</v>
      </c>
    </row>
    <row r="10" spans="1:7" ht="15.6">
      <c r="A10" s="5" t="s">
        <v>202</v>
      </c>
      <c r="B10" s="8">
        <v>42390</v>
      </c>
      <c r="C10" s="5" t="s">
        <v>205</v>
      </c>
      <c r="D10" s="5">
        <v>180</v>
      </c>
      <c r="E10" s="5">
        <f t="shared" si="0"/>
        <v>5400000</v>
      </c>
      <c r="F10" s="5">
        <f t="shared" si="1"/>
        <v>64800</v>
      </c>
      <c r="G10" s="5">
        <f t="shared" si="2"/>
        <v>5464800</v>
      </c>
    </row>
    <row r="11" spans="1:7" ht="15.6">
      <c r="A11" s="5" t="s">
        <v>203</v>
      </c>
      <c r="B11" s="8">
        <v>42541</v>
      </c>
      <c r="C11" s="5" t="s">
        <v>207</v>
      </c>
      <c r="D11" s="5">
        <v>100</v>
      </c>
      <c r="E11" s="5">
        <f t="shared" si="0"/>
        <v>7500000</v>
      </c>
      <c r="F11" s="5">
        <f t="shared" si="1"/>
        <v>112500</v>
      </c>
      <c r="G11" s="5">
        <f t="shared" si="2"/>
        <v>7612500</v>
      </c>
    </row>
    <row r="12" spans="1:7" ht="15.6">
      <c r="A12" s="75" t="s">
        <v>209</v>
      </c>
      <c r="B12" s="75"/>
      <c r="C12" s="75"/>
      <c r="D12" s="75" t="s">
        <v>210</v>
      </c>
      <c r="E12" s="75"/>
      <c r="F12" s="75"/>
      <c r="G12" s="5"/>
    </row>
    <row r="13" spans="1:7" ht="15.6">
      <c r="A13" s="75" t="s">
        <v>211</v>
      </c>
      <c r="B13" s="75" t="s">
        <v>212</v>
      </c>
      <c r="C13" s="75"/>
      <c r="D13" s="11" t="s">
        <v>215</v>
      </c>
      <c r="E13" s="11" t="s">
        <v>216</v>
      </c>
      <c r="F13" s="75" t="s">
        <v>217</v>
      </c>
      <c r="G13" s="75"/>
    </row>
    <row r="14" spans="1:7" ht="15.6">
      <c r="A14" s="75"/>
      <c r="B14" s="21" t="s">
        <v>213</v>
      </c>
      <c r="C14" s="21" t="s">
        <v>214</v>
      </c>
      <c r="D14" s="7">
        <v>1</v>
      </c>
      <c r="E14" s="27">
        <v>1.2E-2</v>
      </c>
      <c r="F14" s="72" t="s">
        <v>218</v>
      </c>
      <c r="G14" s="72"/>
    </row>
    <row r="15" spans="1:7" ht="15.6">
      <c r="A15" s="5" t="s">
        <v>204</v>
      </c>
      <c r="B15" s="5">
        <v>6500</v>
      </c>
      <c r="C15" s="5">
        <v>7000</v>
      </c>
      <c r="D15" s="7">
        <v>4</v>
      </c>
      <c r="E15" s="27">
        <v>1.4999999999999999E-2</v>
      </c>
      <c r="F15" s="72" t="s">
        <v>219</v>
      </c>
      <c r="G15" s="72"/>
    </row>
    <row r="16" spans="1:7" ht="15.6">
      <c r="A16" s="5" t="s">
        <v>207</v>
      </c>
      <c r="B16" s="5">
        <v>74500</v>
      </c>
      <c r="C16" s="5">
        <v>75000</v>
      </c>
      <c r="D16" s="7">
        <v>7</v>
      </c>
      <c r="E16" s="27">
        <v>1.7999999999999999E-2</v>
      </c>
      <c r="F16" s="72" t="s">
        <v>220</v>
      </c>
      <c r="G16" s="72"/>
    </row>
    <row r="17" spans="1:7" ht="15.6">
      <c r="A17" s="5" t="s">
        <v>206</v>
      </c>
      <c r="B17" s="5">
        <v>11500</v>
      </c>
      <c r="C17" s="5">
        <v>12000</v>
      </c>
      <c r="D17" s="7">
        <v>10</v>
      </c>
      <c r="E17" s="27">
        <v>0.02</v>
      </c>
      <c r="F17" s="72" t="s">
        <v>221</v>
      </c>
      <c r="G17" s="72"/>
    </row>
    <row r="18" spans="1:7" ht="15.6">
      <c r="A18" s="5" t="s">
        <v>205</v>
      </c>
      <c r="B18" s="5">
        <v>29500</v>
      </c>
      <c r="C18" s="5">
        <v>30000</v>
      </c>
      <c r="D18" s="5"/>
      <c r="E18" s="5"/>
      <c r="F18" s="5"/>
      <c r="G18" s="5"/>
    </row>
    <row r="19" spans="1:7" ht="15.6">
      <c r="A19" s="5" t="s">
        <v>208</v>
      </c>
      <c r="B19" s="5">
        <v>3000</v>
      </c>
      <c r="C19" s="5">
        <v>3500</v>
      </c>
      <c r="D19" s="5"/>
      <c r="E19" s="5"/>
      <c r="F19" s="5"/>
      <c r="G19" s="5"/>
    </row>
    <row r="21" spans="1:7" ht="15.6">
      <c r="A21" s="28" t="s">
        <v>270</v>
      </c>
    </row>
    <row r="22" spans="1:7" ht="15.6">
      <c r="A22" s="28" t="s">
        <v>271</v>
      </c>
    </row>
    <row r="23" spans="1:7" ht="15.6">
      <c r="A23" s="28" t="s">
        <v>272</v>
      </c>
    </row>
    <row r="24" spans="1:7" ht="15.6">
      <c r="A24" s="28" t="s">
        <v>273</v>
      </c>
    </row>
    <row r="25" spans="1:7" ht="15.6">
      <c r="A25" s="28" t="s">
        <v>274</v>
      </c>
    </row>
    <row r="26" spans="1:7" ht="15.6">
      <c r="A26" s="28" t="s">
        <v>275</v>
      </c>
    </row>
  </sheetData>
  <mergeCells count="10">
    <mergeCell ref="F17:G17"/>
    <mergeCell ref="A1:G1"/>
    <mergeCell ref="A12:C12"/>
    <mergeCell ref="D12:F12"/>
    <mergeCell ref="A13:A14"/>
    <mergeCell ref="B13:C13"/>
    <mergeCell ref="F13:G13"/>
    <mergeCell ref="F14:G14"/>
    <mergeCell ref="F15:G15"/>
    <mergeCell ref="F16:G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6"/>
  <sheetViews>
    <sheetView workbookViewId="0">
      <selection activeCell="D3" sqref="D3"/>
    </sheetView>
  </sheetViews>
  <sheetFormatPr defaultRowHeight="14.4"/>
  <cols>
    <col min="2" max="2" width="18.44140625" customWidth="1"/>
    <col min="3" max="3" width="23.44140625" customWidth="1"/>
    <col min="5" max="5" width="9.5546875" customWidth="1"/>
    <col min="7" max="7" width="14.88671875" customWidth="1"/>
  </cols>
  <sheetData>
    <row r="1" spans="1:10" ht="17.399999999999999">
      <c r="A1" s="76" t="s">
        <v>276</v>
      </c>
      <c r="B1" s="76"/>
      <c r="C1" s="76"/>
      <c r="D1" s="76"/>
      <c r="E1" s="76"/>
      <c r="F1" s="76"/>
      <c r="G1" s="76"/>
      <c r="H1" s="76"/>
      <c r="I1" s="25"/>
      <c r="J1" s="25"/>
    </row>
    <row r="2" spans="1:10" ht="46.8">
      <c r="A2" s="5" t="s">
        <v>277</v>
      </c>
      <c r="B2" s="5" t="s">
        <v>133</v>
      </c>
      <c r="C2" s="17" t="s">
        <v>109</v>
      </c>
      <c r="D2" s="17" t="s">
        <v>278</v>
      </c>
      <c r="E2" s="17" t="s">
        <v>279</v>
      </c>
      <c r="F2" s="17" t="s">
        <v>280</v>
      </c>
      <c r="G2" s="17" t="s">
        <v>60</v>
      </c>
      <c r="H2" s="25"/>
      <c r="I2" s="25"/>
      <c r="J2" s="25"/>
    </row>
    <row r="3" spans="1:10" ht="15.6">
      <c r="A3" s="7">
        <v>1</v>
      </c>
      <c r="B3" s="5" t="s">
        <v>281</v>
      </c>
      <c r="C3" s="5" t="str">
        <f>VLOOKUP(LEFT(B3,FIND("-",B3)-1),$F$20:$J$24,2,0)&amp;" "&amp;HLOOKUP(RIGHT(B3,2),$B$19:$D$20,2,0)</f>
        <v>Tivi Samsung</v>
      </c>
      <c r="D3" s="5">
        <f>MID(B3,FIND("-",B3)+1,3)*1</f>
        <v>240</v>
      </c>
      <c r="E3" s="5">
        <f>VLOOKUP(LEFT(B3,FIND("-",B3)-1),$F$20:$J$24,IF(RIGHT(B3,2)="SA",3,IF(RIGHT(B3,2)="LG",4,5)),0)</f>
        <v>125</v>
      </c>
      <c r="F3" s="5">
        <f>IF(D3&gt;=100,5%,IF(D3&gt;=50,3%,0))*D3*E3</f>
        <v>1500</v>
      </c>
      <c r="G3" s="5">
        <f>D3*E3-F3</f>
        <v>28500</v>
      </c>
      <c r="H3" s="25"/>
      <c r="I3" s="25"/>
      <c r="J3" s="25"/>
    </row>
    <row r="4" spans="1:10" ht="15.6">
      <c r="A4" s="7">
        <v>2</v>
      </c>
      <c r="B4" s="5" t="s">
        <v>282</v>
      </c>
      <c r="C4" s="5" t="str">
        <f t="shared" ref="C4:C16" si="0">VLOOKUP(LEFT(B4,FIND("-",B4)-1),$F$20:$J$24,2,0)&amp;" "&amp;HLOOKUP(RIGHT(B4,2),$B$19:$D$20,2,0)</f>
        <v>Máy giặt LG</v>
      </c>
      <c r="D4" s="5">
        <f t="shared" ref="D4:D16" si="1">MID(B4,FIND("-",B4)+1,3)*1</f>
        <v>32</v>
      </c>
      <c r="E4" s="5">
        <f t="shared" ref="E4:E16" si="2">VLOOKUP(LEFT(B4,FIND("-",B4)-1),$F$20:$J$24,IF(RIGHT(B4,2)="SA",3,IF(RIGHT(B4,2)="LG",4,5)),0)</f>
        <v>250</v>
      </c>
      <c r="F4" s="5">
        <f t="shared" ref="F4:F16" si="3">IF(D4&gt;=100,5%,IF(D4&gt;=50,3%,0))*D4*E4</f>
        <v>0</v>
      </c>
      <c r="G4" s="5">
        <f t="shared" ref="G4:G16" si="4">D4*E4-F4</f>
        <v>8000</v>
      </c>
      <c r="H4" s="25"/>
      <c r="I4" s="25"/>
      <c r="J4" s="25"/>
    </row>
    <row r="5" spans="1:10" ht="15.6">
      <c r="A5" s="7">
        <v>3</v>
      </c>
      <c r="B5" s="5" t="s">
        <v>283</v>
      </c>
      <c r="C5" s="5" t="str">
        <f t="shared" si="0"/>
        <v>Máy ảnh KTS LG</v>
      </c>
      <c r="D5" s="5">
        <f t="shared" si="1"/>
        <v>101</v>
      </c>
      <c r="E5" s="5">
        <f t="shared" si="2"/>
        <v>225</v>
      </c>
      <c r="F5" s="5">
        <f t="shared" si="3"/>
        <v>1136.2500000000002</v>
      </c>
      <c r="G5" s="5">
        <f t="shared" si="4"/>
        <v>21588.75</v>
      </c>
      <c r="H5" s="25"/>
      <c r="I5" s="25"/>
      <c r="J5" s="25"/>
    </row>
    <row r="6" spans="1:10" ht="15.6">
      <c r="A6" s="7">
        <v>4</v>
      </c>
      <c r="B6" s="5" t="s">
        <v>284</v>
      </c>
      <c r="C6" s="5" t="str">
        <f t="shared" si="0"/>
        <v>Tivi LG</v>
      </c>
      <c r="D6" s="5">
        <f t="shared" si="1"/>
        <v>105</v>
      </c>
      <c r="E6" s="5">
        <f t="shared" si="2"/>
        <v>140</v>
      </c>
      <c r="F6" s="5">
        <f t="shared" si="3"/>
        <v>735</v>
      </c>
      <c r="G6" s="5">
        <f t="shared" si="4"/>
        <v>13965</v>
      </c>
      <c r="H6" s="25"/>
      <c r="I6" s="25"/>
      <c r="J6" s="25"/>
    </row>
    <row r="7" spans="1:10" ht="15.6">
      <c r="A7" s="7">
        <v>5</v>
      </c>
      <c r="B7" s="5" t="s">
        <v>285</v>
      </c>
      <c r="C7" s="5" t="str">
        <f t="shared" si="0"/>
        <v>Máy giặt Samsung</v>
      </c>
      <c r="D7" s="5">
        <f t="shared" si="1"/>
        <v>220</v>
      </c>
      <c r="E7" s="5">
        <f t="shared" si="2"/>
        <v>225</v>
      </c>
      <c r="F7" s="5">
        <f t="shared" si="3"/>
        <v>2475</v>
      </c>
      <c r="G7" s="5">
        <f t="shared" si="4"/>
        <v>47025</v>
      </c>
      <c r="H7" s="25"/>
      <c r="I7" s="25"/>
      <c r="J7" s="25"/>
    </row>
    <row r="8" spans="1:10" ht="15.6">
      <c r="A8" s="7">
        <v>6</v>
      </c>
      <c r="B8" s="5" t="s">
        <v>286</v>
      </c>
      <c r="C8" s="5" t="str">
        <f t="shared" si="0"/>
        <v>Tivi Samsung</v>
      </c>
      <c r="D8" s="5">
        <f t="shared" si="1"/>
        <v>90</v>
      </c>
      <c r="E8" s="5">
        <f t="shared" si="2"/>
        <v>125</v>
      </c>
      <c r="F8" s="5">
        <f t="shared" si="3"/>
        <v>337.49999999999994</v>
      </c>
      <c r="G8" s="5">
        <f t="shared" si="4"/>
        <v>10912.5</v>
      </c>
      <c r="H8" s="25"/>
      <c r="I8" s="25"/>
      <c r="J8" s="25"/>
    </row>
    <row r="9" spans="1:10" ht="15.6">
      <c r="A9" s="7">
        <v>7</v>
      </c>
      <c r="B9" s="5" t="s">
        <v>287</v>
      </c>
      <c r="C9" s="5" t="str">
        <f t="shared" si="0"/>
        <v>Máy quay phim  Samsung</v>
      </c>
      <c r="D9" s="5">
        <f t="shared" si="1"/>
        <v>25</v>
      </c>
      <c r="E9" s="5">
        <f t="shared" si="2"/>
        <v>150</v>
      </c>
      <c r="F9" s="5">
        <f t="shared" si="3"/>
        <v>0</v>
      </c>
      <c r="G9" s="5">
        <f t="shared" si="4"/>
        <v>3750</v>
      </c>
      <c r="H9" s="25"/>
      <c r="I9" s="25"/>
      <c r="J9" s="25"/>
    </row>
    <row r="10" spans="1:10" ht="15.6">
      <c r="A10" s="7">
        <v>8</v>
      </c>
      <c r="B10" s="5" t="s">
        <v>288</v>
      </c>
      <c r="C10" s="5" t="str">
        <f t="shared" si="0"/>
        <v>Đầu đĩa  DVD LG</v>
      </c>
      <c r="D10" s="5">
        <f t="shared" si="1"/>
        <v>200</v>
      </c>
      <c r="E10" s="5">
        <f t="shared" si="2"/>
        <v>33</v>
      </c>
      <c r="F10" s="5">
        <f t="shared" si="3"/>
        <v>330</v>
      </c>
      <c r="G10" s="5">
        <f t="shared" si="4"/>
        <v>6270</v>
      </c>
      <c r="H10" s="25"/>
      <c r="I10" s="25"/>
      <c r="J10" s="25"/>
    </row>
    <row r="11" spans="1:10" ht="15.6">
      <c r="A11" s="7">
        <v>9</v>
      </c>
      <c r="B11" s="5" t="s">
        <v>289</v>
      </c>
      <c r="C11" s="5" t="str">
        <f t="shared" si="0"/>
        <v>Máy quay phim  LG</v>
      </c>
      <c r="D11" s="5">
        <f t="shared" si="1"/>
        <v>50</v>
      </c>
      <c r="E11" s="5">
        <f t="shared" si="2"/>
        <v>160</v>
      </c>
      <c r="F11" s="5">
        <f t="shared" si="3"/>
        <v>240</v>
      </c>
      <c r="G11" s="5">
        <f t="shared" si="4"/>
        <v>7760</v>
      </c>
      <c r="H11" s="25"/>
      <c r="I11" s="25"/>
      <c r="J11" s="25"/>
    </row>
    <row r="12" spans="1:10" ht="15.6">
      <c r="A12" s="7">
        <v>10</v>
      </c>
      <c r="B12" s="5" t="s">
        <v>290</v>
      </c>
      <c r="C12" s="5" t="str">
        <f t="shared" si="0"/>
        <v>Đầu đĩa  DVD Samsung</v>
      </c>
      <c r="D12" s="5">
        <f t="shared" si="1"/>
        <v>57</v>
      </c>
      <c r="E12" s="5">
        <f t="shared" si="2"/>
        <v>30</v>
      </c>
      <c r="F12" s="5">
        <f t="shared" si="3"/>
        <v>51.3</v>
      </c>
      <c r="G12" s="5">
        <f t="shared" si="4"/>
        <v>1658.7</v>
      </c>
      <c r="H12" s="25"/>
      <c r="I12" s="25"/>
      <c r="J12" s="25"/>
    </row>
    <row r="13" spans="1:10" ht="15.6">
      <c r="A13" s="7">
        <v>11</v>
      </c>
      <c r="B13" s="5" t="s">
        <v>291</v>
      </c>
      <c r="C13" s="5" t="str">
        <f t="shared" si="0"/>
        <v>Đầu đĩa  DVD Toshiba</v>
      </c>
      <c r="D13" s="5">
        <f t="shared" si="1"/>
        <v>103</v>
      </c>
      <c r="E13" s="5">
        <f t="shared" si="2"/>
        <v>32</v>
      </c>
      <c r="F13" s="5">
        <f t="shared" si="3"/>
        <v>164.8</v>
      </c>
      <c r="G13" s="5">
        <f t="shared" si="4"/>
        <v>3131.2</v>
      </c>
      <c r="H13" s="25"/>
      <c r="I13" s="25"/>
      <c r="J13" s="25"/>
    </row>
    <row r="14" spans="1:10" ht="15.6">
      <c r="A14" s="7">
        <v>12</v>
      </c>
      <c r="B14" s="5" t="s">
        <v>292</v>
      </c>
      <c r="C14" s="5" t="str">
        <f t="shared" si="0"/>
        <v>Máy giặt Samsung</v>
      </c>
      <c r="D14" s="5">
        <f t="shared" si="1"/>
        <v>110</v>
      </c>
      <c r="E14" s="5">
        <f t="shared" si="2"/>
        <v>225</v>
      </c>
      <c r="F14" s="5">
        <f t="shared" si="3"/>
        <v>1237.5</v>
      </c>
      <c r="G14" s="5">
        <f t="shared" si="4"/>
        <v>23512.5</v>
      </c>
      <c r="H14" s="25"/>
      <c r="I14" s="25"/>
      <c r="J14" s="25"/>
    </row>
    <row r="15" spans="1:10" ht="15.6">
      <c r="A15" s="7">
        <v>13</v>
      </c>
      <c r="B15" s="5" t="s">
        <v>293</v>
      </c>
      <c r="C15" s="5" t="str">
        <f t="shared" si="0"/>
        <v>Máy ảnh KTS Toshiba</v>
      </c>
      <c r="D15" s="5">
        <f t="shared" si="1"/>
        <v>104</v>
      </c>
      <c r="E15" s="5">
        <f t="shared" si="2"/>
        <v>120</v>
      </c>
      <c r="F15" s="5">
        <f t="shared" si="3"/>
        <v>624</v>
      </c>
      <c r="G15" s="5">
        <f t="shared" si="4"/>
        <v>11856</v>
      </c>
      <c r="H15" s="25"/>
      <c r="I15" s="25"/>
      <c r="J15" s="25"/>
    </row>
    <row r="16" spans="1:10" ht="15.6">
      <c r="A16" s="7">
        <v>14</v>
      </c>
      <c r="B16" s="5" t="s">
        <v>294</v>
      </c>
      <c r="C16" s="5" t="str">
        <f t="shared" si="0"/>
        <v>Đầu đĩa  DVD LG</v>
      </c>
      <c r="D16" s="5">
        <f t="shared" si="1"/>
        <v>116</v>
      </c>
      <c r="E16" s="5">
        <f t="shared" si="2"/>
        <v>33</v>
      </c>
      <c r="F16" s="5">
        <f t="shared" si="3"/>
        <v>191.40000000000003</v>
      </c>
      <c r="G16" s="5">
        <f t="shared" si="4"/>
        <v>3636.6</v>
      </c>
      <c r="H16" s="25"/>
      <c r="I16" s="25"/>
      <c r="J16" s="25"/>
    </row>
    <row r="17" spans="1:10" ht="15.6">
      <c r="A17" s="25"/>
      <c r="B17" s="25"/>
      <c r="C17" s="25"/>
      <c r="D17" s="25"/>
      <c r="E17" s="25"/>
      <c r="F17" s="25"/>
      <c r="G17" s="25"/>
      <c r="H17" s="25"/>
      <c r="I17" s="25"/>
      <c r="J17" s="25"/>
    </row>
    <row r="18" spans="1:10" ht="17.399999999999999">
      <c r="A18" s="74" t="s">
        <v>295</v>
      </c>
      <c r="B18" s="74"/>
      <c r="C18" s="74"/>
      <c r="D18" s="74"/>
      <c r="E18" s="25"/>
      <c r="F18" s="74" t="s">
        <v>296</v>
      </c>
      <c r="G18" s="74"/>
      <c r="H18" s="74"/>
      <c r="I18" s="74"/>
      <c r="J18" s="74"/>
    </row>
    <row r="19" spans="1:10" ht="31.2">
      <c r="A19" s="5" t="s">
        <v>113</v>
      </c>
      <c r="B19" s="5" t="s">
        <v>297</v>
      </c>
      <c r="C19" s="5" t="s">
        <v>298</v>
      </c>
      <c r="D19" s="5" t="s">
        <v>299</v>
      </c>
      <c r="E19" s="25"/>
      <c r="F19" s="17" t="s">
        <v>303</v>
      </c>
      <c r="G19" s="5" t="s">
        <v>304</v>
      </c>
      <c r="H19" s="5" t="s">
        <v>297</v>
      </c>
      <c r="I19" s="5" t="s">
        <v>298</v>
      </c>
      <c r="J19" s="5" t="s">
        <v>299</v>
      </c>
    </row>
    <row r="20" spans="1:10" ht="46.8">
      <c r="A20" s="17" t="s">
        <v>300</v>
      </c>
      <c r="B20" s="5" t="s">
        <v>301</v>
      </c>
      <c r="C20" s="5" t="s">
        <v>298</v>
      </c>
      <c r="D20" s="5" t="s">
        <v>302</v>
      </c>
      <c r="E20" s="25"/>
      <c r="F20" s="5" t="s">
        <v>305</v>
      </c>
      <c r="G20" s="5" t="s">
        <v>306</v>
      </c>
      <c r="H20" s="5">
        <v>125</v>
      </c>
      <c r="I20" s="5">
        <v>140</v>
      </c>
      <c r="J20" s="5">
        <v>135</v>
      </c>
    </row>
    <row r="21" spans="1:10" ht="15.6">
      <c r="A21" s="25"/>
      <c r="B21" s="25"/>
      <c r="C21" s="25"/>
      <c r="D21" s="25"/>
      <c r="E21" s="25"/>
      <c r="F21" s="5" t="s">
        <v>149</v>
      </c>
      <c r="G21" s="5" t="s">
        <v>307</v>
      </c>
      <c r="H21" s="5">
        <v>30</v>
      </c>
      <c r="I21" s="5">
        <v>33</v>
      </c>
      <c r="J21" s="5">
        <v>32</v>
      </c>
    </row>
    <row r="22" spans="1:10" ht="15.6">
      <c r="A22" s="25"/>
      <c r="B22" s="25"/>
      <c r="C22" s="25"/>
      <c r="D22" s="25"/>
      <c r="E22" s="25"/>
      <c r="F22" s="5" t="s">
        <v>308</v>
      </c>
      <c r="G22" s="5" t="s">
        <v>309</v>
      </c>
      <c r="H22" s="5">
        <v>150</v>
      </c>
      <c r="I22" s="5">
        <v>160</v>
      </c>
      <c r="J22" s="5">
        <v>155</v>
      </c>
    </row>
    <row r="23" spans="1:10" ht="15.6">
      <c r="A23" s="25"/>
      <c r="B23" s="25"/>
      <c r="C23" s="25"/>
      <c r="D23" s="25"/>
      <c r="E23" s="25"/>
      <c r="F23" s="5" t="s">
        <v>310</v>
      </c>
      <c r="G23" s="5" t="s">
        <v>311</v>
      </c>
      <c r="H23" s="5">
        <v>225</v>
      </c>
      <c r="I23" s="5">
        <v>250</v>
      </c>
      <c r="J23" s="5">
        <v>230</v>
      </c>
    </row>
    <row r="24" spans="1:10" ht="15.6">
      <c r="A24" s="25"/>
      <c r="B24" s="25"/>
      <c r="C24" s="25"/>
      <c r="D24" s="25"/>
      <c r="E24" s="25"/>
      <c r="F24" s="5" t="s">
        <v>312</v>
      </c>
      <c r="G24" s="5" t="s">
        <v>313</v>
      </c>
      <c r="H24" s="5">
        <v>115</v>
      </c>
      <c r="I24" s="5">
        <v>225</v>
      </c>
      <c r="J24" s="5">
        <v>120</v>
      </c>
    </row>
    <row r="26" spans="1:10">
      <c r="A26" t="s">
        <v>314</v>
      </c>
    </row>
    <row r="27" spans="1:10">
      <c r="A27" t="s">
        <v>323</v>
      </c>
    </row>
    <row r="29" spans="1:10">
      <c r="A29" t="s">
        <v>315</v>
      </c>
    </row>
    <row r="30" spans="1:10">
      <c r="A30" t="s">
        <v>316</v>
      </c>
    </row>
    <row r="31" spans="1:10">
      <c r="A31" t="s">
        <v>317</v>
      </c>
    </row>
    <row r="32" spans="1:10">
      <c r="A32" t="s">
        <v>318</v>
      </c>
    </row>
    <row r="33" spans="1:1">
      <c r="A33" t="s">
        <v>319</v>
      </c>
    </row>
    <row r="34" spans="1:1">
      <c r="A34" t="s">
        <v>320</v>
      </c>
    </row>
    <row r="35" spans="1:1">
      <c r="A35" t="s">
        <v>321</v>
      </c>
    </row>
    <row r="36" spans="1:1">
      <c r="A36" t="s">
        <v>322</v>
      </c>
    </row>
  </sheetData>
  <mergeCells count="3">
    <mergeCell ref="A1:H1"/>
    <mergeCell ref="A18:D18"/>
    <mergeCell ref="F18:J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2"/>
  <sheetViews>
    <sheetView workbookViewId="0">
      <selection activeCell="G3" sqref="G3"/>
    </sheetView>
  </sheetViews>
  <sheetFormatPr defaultRowHeight="14.4"/>
  <cols>
    <col min="2" max="2" width="9.88671875" customWidth="1"/>
    <col min="3" max="3" width="16.109375" customWidth="1"/>
    <col min="4" max="4" width="15.88671875" customWidth="1"/>
    <col min="5" max="5" width="11.6640625" customWidth="1"/>
    <col min="6" max="6" width="12.88671875" customWidth="1"/>
    <col min="8" max="8" width="13.33203125" customWidth="1"/>
  </cols>
  <sheetData>
    <row r="1" spans="1:8" ht="22.8">
      <c r="A1" s="77" t="s">
        <v>324</v>
      </c>
      <c r="B1" s="77"/>
      <c r="C1" s="77"/>
      <c r="D1" s="77"/>
      <c r="E1" s="77"/>
      <c r="F1" s="77"/>
      <c r="G1" s="77"/>
      <c r="H1" s="77"/>
    </row>
    <row r="2" spans="1:8" ht="31.2">
      <c r="A2" s="11" t="s">
        <v>277</v>
      </c>
      <c r="B2" s="26" t="s">
        <v>325</v>
      </c>
      <c r="C2" s="11" t="s">
        <v>326</v>
      </c>
      <c r="D2" s="26" t="s">
        <v>327</v>
      </c>
      <c r="E2" s="26" t="s">
        <v>328</v>
      </c>
      <c r="F2" s="26" t="s">
        <v>329</v>
      </c>
      <c r="G2" s="26" t="s">
        <v>330</v>
      </c>
      <c r="H2" s="26" t="s">
        <v>331</v>
      </c>
    </row>
    <row r="3" spans="1:8" ht="15.6">
      <c r="A3" s="5">
        <v>1</v>
      </c>
      <c r="B3" s="5" t="s">
        <v>332</v>
      </c>
      <c r="C3" s="8">
        <v>38108</v>
      </c>
      <c r="D3" s="5" t="str">
        <f>VLOOKUP(MID(B3,2,1),$B$18:$E$22,2,0)</f>
        <v>Mực HP</v>
      </c>
      <c r="E3" s="5">
        <f>(RIGHT(B3,LEN(B3)-2)*1)</f>
        <v>199</v>
      </c>
      <c r="F3" s="5">
        <f>VLOOKUP(MID(B3,2,1),$B$18:$E$22,IF(LEFT(B3,1)="1",3,4),0)</f>
        <v>100000</v>
      </c>
      <c r="G3" s="29">
        <f>IF(D3="Văn phòng phẩm",5%,10%)</f>
        <v>0.1</v>
      </c>
      <c r="H3" s="5">
        <f>E3*F3*(1+G3)</f>
        <v>21890000</v>
      </c>
    </row>
    <row r="4" spans="1:8" ht="15.6">
      <c r="A4" s="5">
        <v>2</v>
      </c>
      <c r="B4" s="5" t="s">
        <v>333</v>
      </c>
      <c r="C4" s="8">
        <v>38112</v>
      </c>
      <c r="D4" s="5" t="str">
        <f t="shared" ref="D4:D14" si="0">VLOOKUP(MID(B4,2,1),$B$18:$E$22,2,0)</f>
        <v>Văn phòng phẩm</v>
      </c>
      <c r="E4" s="5">
        <f t="shared" ref="E4:E14" si="1">(RIGHT(B4,LEN(B4)-2)*1)</f>
        <v>1506</v>
      </c>
      <c r="F4" s="5">
        <f t="shared" ref="F4:F14" si="2">VLOOKUP(MID(B4,2,1),$B$18:$E$22,IF(LEFT(B4,1)="1",3,4),0)</f>
        <v>250000</v>
      </c>
      <c r="G4" s="29">
        <f t="shared" ref="G4:G14" si="3">IF(D4="Văn phòng phẩm",5%,10%)</f>
        <v>0.05</v>
      </c>
      <c r="H4" s="5">
        <f t="shared" ref="H4:H14" si="4">E4*F4*(1+G4)</f>
        <v>395325000</v>
      </c>
    </row>
    <row r="5" spans="1:8" ht="15.6">
      <c r="A5" s="5">
        <v>3</v>
      </c>
      <c r="B5" s="5" t="s">
        <v>334</v>
      </c>
      <c r="C5" s="8">
        <v>38121</v>
      </c>
      <c r="D5" s="5" t="str">
        <f t="shared" si="0"/>
        <v>Mực HP</v>
      </c>
      <c r="E5" s="5">
        <f t="shared" si="1"/>
        <v>90</v>
      </c>
      <c r="F5" s="5">
        <f t="shared" si="2"/>
        <v>120000</v>
      </c>
      <c r="G5" s="29">
        <f t="shared" si="3"/>
        <v>0.1</v>
      </c>
      <c r="H5" s="5">
        <f t="shared" si="4"/>
        <v>11880000.000000002</v>
      </c>
    </row>
    <row r="6" spans="1:8" ht="15.6">
      <c r="A6" s="5">
        <v>4</v>
      </c>
      <c r="B6" s="5" t="s">
        <v>335</v>
      </c>
      <c r="C6" s="8">
        <v>38109</v>
      </c>
      <c r="D6" s="5" t="str">
        <f t="shared" si="0"/>
        <v>RAM 128 MB</v>
      </c>
      <c r="E6" s="5">
        <f t="shared" si="1"/>
        <v>9090</v>
      </c>
      <c r="F6" s="5">
        <f t="shared" si="2"/>
        <v>250000</v>
      </c>
      <c r="G6" s="29">
        <f t="shared" si="3"/>
        <v>0.1</v>
      </c>
      <c r="H6" s="5">
        <f t="shared" si="4"/>
        <v>2499750000</v>
      </c>
    </row>
    <row r="7" spans="1:8" ht="15.6">
      <c r="A7" s="5">
        <v>5</v>
      </c>
      <c r="B7" s="5" t="s">
        <v>336</v>
      </c>
      <c r="C7" s="8">
        <v>38126</v>
      </c>
      <c r="D7" s="5" t="str">
        <f t="shared" si="0"/>
        <v>RAM 128 MB</v>
      </c>
      <c r="E7" s="5">
        <f t="shared" si="1"/>
        <v>3555</v>
      </c>
      <c r="F7" s="5">
        <f t="shared" si="2"/>
        <v>300000</v>
      </c>
      <c r="G7" s="29">
        <f t="shared" si="3"/>
        <v>0.1</v>
      </c>
      <c r="H7" s="5">
        <f t="shared" si="4"/>
        <v>1173150000</v>
      </c>
    </row>
    <row r="8" spans="1:8" ht="15.6">
      <c r="A8" s="5">
        <v>6</v>
      </c>
      <c r="B8" s="5" t="s">
        <v>337</v>
      </c>
      <c r="C8" s="8">
        <v>38117</v>
      </c>
      <c r="D8" s="5" t="str">
        <f t="shared" si="0"/>
        <v>Văn phòng phẩm</v>
      </c>
      <c r="E8" s="5">
        <f t="shared" si="1"/>
        <v>2406</v>
      </c>
      <c r="F8" s="5">
        <f t="shared" si="2"/>
        <v>200000</v>
      </c>
      <c r="G8" s="29">
        <f t="shared" si="3"/>
        <v>0.05</v>
      </c>
      <c r="H8" s="5">
        <f t="shared" si="4"/>
        <v>505260000</v>
      </c>
    </row>
    <row r="9" spans="1:8" ht="15.6">
      <c r="A9" s="5">
        <v>7</v>
      </c>
      <c r="B9" s="5" t="s">
        <v>338</v>
      </c>
      <c r="C9" s="8">
        <v>38119</v>
      </c>
      <c r="D9" s="5" t="str">
        <f t="shared" si="0"/>
        <v>Hardisk 40GB</v>
      </c>
      <c r="E9" s="5">
        <f t="shared" si="1"/>
        <v>3000</v>
      </c>
      <c r="F9" s="5">
        <f t="shared" si="2"/>
        <v>990000</v>
      </c>
      <c r="G9" s="29">
        <f t="shared" si="3"/>
        <v>0.1</v>
      </c>
      <c r="H9" s="5">
        <f t="shared" si="4"/>
        <v>3267000000.0000005</v>
      </c>
    </row>
    <row r="10" spans="1:8" ht="15.6">
      <c r="A10" s="5">
        <v>8</v>
      </c>
      <c r="B10" s="5" t="s">
        <v>339</v>
      </c>
      <c r="C10" s="8">
        <v>38124</v>
      </c>
      <c r="D10" s="5" t="str">
        <f t="shared" si="0"/>
        <v>CD ROM LG</v>
      </c>
      <c r="E10" s="5">
        <f t="shared" si="1"/>
        <v>1212</v>
      </c>
      <c r="F10" s="5">
        <f t="shared" si="2"/>
        <v>450000</v>
      </c>
      <c r="G10" s="29">
        <f t="shared" si="3"/>
        <v>0.1</v>
      </c>
      <c r="H10" s="5">
        <f t="shared" si="4"/>
        <v>599940000</v>
      </c>
    </row>
    <row r="11" spans="1:8" ht="15.6">
      <c r="A11" s="5">
        <v>9</v>
      </c>
      <c r="B11" s="5" t="s">
        <v>340</v>
      </c>
      <c r="C11" s="8">
        <v>38123</v>
      </c>
      <c r="D11" s="5" t="str">
        <f t="shared" si="0"/>
        <v>Hardisk 40GB</v>
      </c>
      <c r="E11" s="5">
        <f t="shared" si="1"/>
        <v>17</v>
      </c>
      <c r="F11" s="5">
        <f t="shared" si="2"/>
        <v>990000</v>
      </c>
      <c r="G11" s="29">
        <f t="shared" si="3"/>
        <v>0.1</v>
      </c>
      <c r="H11" s="5">
        <f t="shared" si="4"/>
        <v>18513000</v>
      </c>
    </row>
    <row r="12" spans="1:8" ht="15.6">
      <c r="A12" s="5">
        <v>10</v>
      </c>
      <c r="B12" s="5" t="s">
        <v>341</v>
      </c>
      <c r="C12" s="8">
        <v>38114</v>
      </c>
      <c r="D12" s="5" t="str">
        <f t="shared" si="0"/>
        <v>Văn phòng phẩm</v>
      </c>
      <c r="E12" s="5">
        <f t="shared" si="1"/>
        <v>9951</v>
      </c>
      <c r="F12" s="5">
        <f t="shared" si="2"/>
        <v>250000</v>
      </c>
      <c r="G12" s="29">
        <f t="shared" si="3"/>
        <v>0.05</v>
      </c>
      <c r="H12" s="5">
        <f t="shared" si="4"/>
        <v>2612137500</v>
      </c>
    </row>
    <row r="13" spans="1:8" ht="15.6">
      <c r="A13" s="5">
        <v>11</v>
      </c>
      <c r="B13" s="5" t="s">
        <v>342</v>
      </c>
      <c r="C13" s="8">
        <v>38118</v>
      </c>
      <c r="D13" s="5" t="str">
        <f t="shared" si="0"/>
        <v>Mực HP</v>
      </c>
      <c r="E13" s="5">
        <f t="shared" si="1"/>
        <v>124</v>
      </c>
      <c r="F13" s="5">
        <f t="shared" si="2"/>
        <v>120000</v>
      </c>
      <c r="G13" s="29">
        <f t="shared" si="3"/>
        <v>0.1</v>
      </c>
      <c r="H13" s="5">
        <f t="shared" si="4"/>
        <v>16368000.000000002</v>
      </c>
    </row>
    <row r="14" spans="1:8" ht="15.6">
      <c r="A14" s="5">
        <v>12</v>
      </c>
      <c r="B14" s="5" t="s">
        <v>343</v>
      </c>
      <c r="C14" s="8">
        <v>38126</v>
      </c>
      <c r="D14" s="5" t="str">
        <f t="shared" si="0"/>
        <v>Văn phòng phẩm</v>
      </c>
      <c r="E14" s="5">
        <f t="shared" si="1"/>
        <v>1550</v>
      </c>
      <c r="F14" s="5">
        <f t="shared" si="2"/>
        <v>200000</v>
      </c>
      <c r="G14" s="29">
        <f t="shared" si="3"/>
        <v>0.05</v>
      </c>
      <c r="H14" s="5">
        <f t="shared" si="4"/>
        <v>325500000</v>
      </c>
    </row>
    <row r="15" spans="1:8" ht="15.6">
      <c r="A15" s="25"/>
      <c r="B15" s="25"/>
      <c r="C15" s="25"/>
      <c r="D15" s="25"/>
      <c r="E15" s="25"/>
      <c r="F15" s="25"/>
      <c r="G15" s="25"/>
      <c r="H15" s="25"/>
    </row>
    <row r="16" spans="1:8" ht="22.8">
      <c r="A16" s="78" t="s">
        <v>344</v>
      </c>
      <c r="B16" s="78"/>
      <c r="C16" s="78"/>
      <c r="D16" s="78"/>
      <c r="E16" s="78"/>
      <c r="F16" s="78"/>
      <c r="G16" s="25"/>
      <c r="H16" s="25"/>
    </row>
    <row r="17" spans="1:8" ht="31.2">
      <c r="A17" s="25"/>
      <c r="B17" s="26" t="s">
        <v>345</v>
      </c>
      <c r="C17" s="11" t="s">
        <v>114</v>
      </c>
      <c r="D17" s="26" t="s">
        <v>346</v>
      </c>
      <c r="E17" s="26" t="s">
        <v>347</v>
      </c>
      <c r="F17" s="26" t="s">
        <v>348</v>
      </c>
      <c r="G17" s="25"/>
      <c r="H17" s="25"/>
    </row>
    <row r="18" spans="1:8" ht="15.6">
      <c r="A18" s="25"/>
      <c r="B18" s="11" t="s">
        <v>47</v>
      </c>
      <c r="C18" s="5" t="s">
        <v>350</v>
      </c>
      <c r="D18" s="5">
        <v>120000</v>
      </c>
      <c r="E18" s="5">
        <v>100000</v>
      </c>
      <c r="F18" s="5">
        <f>SUMIF($D$3:$D$14,C18,$H$3:$H$14)</f>
        <v>50138000</v>
      </c>
      <c r="G18" s="25"/>
      <c r="H18" s="25"/>
    </row>
    <row r="19" spans="1:8" ht="15.6">
      <c r="A19" s="25"/>
      <c r="B19" s="11" t="s">
        <v>48</v>
      </c>
      <c r="C19" s="5" t="s">
        <v>351</v>
      </c>
      <c r="D19" s="5">
        <v>300000</v>
      </c>
      <c r="E19" s="5">
        <v>250000</v>
      </c>
      <c r="F19" s="5">
        <f t="shared" ref="F19:F22" si="5">SUMIF($D$3:$D$14,C19,$H$3:$H$14)</f>
        <v>3672900000</v>
      </c>
      <c r="G19" s="25"/>
      <c r="H19" s="25"/>
    </row>
    <row r="20" spans="1:8" ht="15.6">
      <c r="A20" s="25"/>
      <c r="B20" s="11" t="s">
        <v>49</v>
      </c>
      <c r="C20" s="5" t="s">
        <v>352</v>
      </c>
      <c r="D20" s="5">
        <v>990000</v>
      </c>
      <c r="E20" s="5">
        <v>910000</v>
      </c>
      <c r="F20" s="5">
        <f t="shared" si="5"/>
        <v>3285513000.0000005</v>
      </c>
      <c r="G20" s="25"/>
      <c r="H20" s="25"/>
    </row>
    <row r="21" spans="1:8" ht="15.6">
      <c r="A21" s="25"/>
      <c r="B21" s="11" t="s">
        <v>149</v>
      </c>
      <c r="C21" s="5" t="s">
        <v>353</v>
      </c>
      <c r="D21" s="5">
        <v>500000</v>
      </c>
      <c r="E21" s="5">
        <v>450000</v>
      </c>
      <c r="F21" s="5">
        <f t="shared" si="5"/>
        <v>599940000</v>
      </c>
      <c r="G21" s="25"/>
      <c r="H21" s="25"/>
    </row>
    <row r="22" spans="1:8" ht="15.6">
      <c r="A22" s="25"/>
      <c r="B22" s="11" t="s">
        <v>349</v>
      </c>
      <c r="C22" s="5" t="s">
        <v>354</v>
      </c>
      <c r="D22" s="5">
        <v>250000</v>
      </c>
      <c r="E22" s="5">
        <v>200000</v>
      </c>
      <c r="F22" s="5">
        <f t="shared" si="5"/>
        <v>3838222500</v>
      </c>
      <c r="G22" s="25"/>
      <c r="H22" s="25"/>
    </row>
  </sheetData>
  <mergeCells count="2">
    <mergeCell ref="A1:H1"/>
    <mergeCell ref="A16:F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54"/>
  <sheetViews>
    <sheetView workbookViewId="0">
      <selection activeCell="G3" sqref="G3"/>
    </sheetView>
  </sheetViews>
  <sheetFormatPr defaultRowHeight="14.4"/>
  <cols>
    <col min="2" max="2" width="10.6640625" customWidth="1"/>
    <col min="3" max="3" width="12.109375" customWidth="1"/>
    <col min="4" max="4" width="11.6640625" customWidth="1"/>
    <col min="5" max="5" width="11.44140625" customWidth="1"/>
    <col min="6" max="6" width="13.44140625" customWidth="1"/>
    <col min="7" max="7" width="15.33203125" customWidth="1"/>
    <col min="8" max="8" width="18.33203125" customWidth="1"/>
  </cols>
  <sheetData>
    <row r="1" spans="1:8" ht="17.399999999999999">
      <c r="A1" s="76" t="s">
        <v>355</v>
      </c>
      <c r="B1" s="76"/>
      <c r="C1" s="76"/>
      <c r="D1" s="76"/>
      <c r="E1" s="76"/>
      <c r="F1" s="76"/>
      <c r="G1" s="76"/>
      <c r="H1" s="76"/>
    </row>
    <row r="2" spans="1:8" ht="31.2">
      <c r="A2" s="38" t="s">
        <v>277</v>
      </c>
      <c r="B2" s="38" t="s">
        <v>170</v>
      </c>
      <c r="C2" s="38" t="s">
        <v>171</v>
      </c>
      <c r="D2" s="38" t="s">
        <v>134</v>
      </c>
      <c r="E2" s="38" t="s">
        <v>356</v>
      </c>
      <c r="F2" s="39" t="s">
        <v>357</v>
      </c>
      <c r="G2" s="38" t="s">
        <v>40</v>
      </c>
      <c r="H2" s="38" t="s">
        <v>358</v>
      </c>
    </row>
    <row r="3" spans="1:8" ht="15.6">
      <c r="A3" s="25">
        <v>1</v>
      </c>
      <c r="B3" s="25" t="s">
        <v>359</v>
      </c>
      <c r="C3" s="25" t="str">
        <f>VLOOKUP(MID(B3,2,2),$B$18:$E$21,2,0)</f>
        <v>Áo thun</v>
      </c>
      <c r="D3" s="25">
        <f>VALUE(RIGHT(B3,3))</f>
        <v>95</v>
      </c>
      <c r="E3" s="34">
        <f>VLOOKUP(MID(B3,2,2),$B$18:$E$21,IF(LEFT(B3,1)="1",3,4),0)</f>
        <v>80000</v>
      </c>
      <c r="F3" s="35">
        <f>D3*E3</f>
        <v>7600000</v>
      </c>
      <c r="G3" s="35">
        <f>IF(AND(OR(LEFT(C3,4)="Quần",C3="Áo thun"),D3&gt;=100),10%,IF(AND(C3="Áo sơ mi",D3&gt;=50),5%,0))*F3</f>
        <v>0</v>
      </c>
      <c r="H3" s="34">
        <f>(F3-G3)*(1+10%)</f>
        <v>8360000.0000000009</v>
      </c>
    </row>
    <row r="4" spans="1:8" ht="15.6">
      <c r="A4" s="25">
        <v>2</v>
      </c>
      <c r="B4" s="25" t="s">
        <v>360</v>
      </c>
      <c r="C4" s="25" t="str">
        <f t="shared" ref="C4:C14" si="0">VLOOKUP(MID(B4,2,2),$B$18:$E$21,2,0)</f>
        <v>Quần Jean</v>
      </c>
      <c r="D4" s="25">
        <f t="shared" ref="D4:D14" si="1">VALUE(RIGHT(B4,3))</f>
        <v>105</v>
      </c>
      <c r="E4" s="34">
        <f t="shared" ref="E4:E14" si="2">VLOOKUP(MID(B4,2,2),$B$18:$E$21,IF(LEFT(B4,1)="1",3,4),0)</f>
        <v>280000</v>
      </c>
      <c r="F4" s="35">
        <f t="shared" ref="F4:F14" si="3">D4*E4</f>
        <v>29400000</v>
      </c>
      <c r="G4" s="35">
        <f t="shared" ref="G4:G14" si="4">IF(AND(OR(LEFT(C4,4)="Quần",C4="Áo thun"),D4&gt;=100),10%,IF(AND(C4="Áo sơ mi",D4&gt;=50),5%,0))*F4</f>
        <v>2940000</v>
      </c>
      <c r="H4" s="34">
        <f t="shared" ref="H4:H14" si="5">(F4-G4)*(1+10%)</f>
        <v>29106000.000000004</v>
      </c>
    </row>
    <row r="5" spans="1:8" ht="15.6">
      <c r="A5" s="25">
        <v>3</v>
      </c>
      <c r="B5" s="25" t="s">
        <v>361</v>
      </c>
      <c r="C5" s="25" t="str">
        <f t="shared" si="0"/>
        <v>Quần Kaki</v>
      </c>
      <c r="D5" s="25">
        <f t="shared" si="1"/>
        <v>285</v>
      </c>
      <c r="E5" s="34">
        <f t="shared" si="2"/>
        <v>220000</v>
      </c>
      <c r="F5" s="35">
        <f t="shared" si="3"/>
        <v>62700000</v>
      </c>
      <c r="G5" s="35">
        <f t="shared" si="4"/>
        <v>6270000</v>
      </c>
      <c r="H5" s="34">
        <f t="shared" si="5"/>
        <v>62073000.000000007</v>
      </c>
    </row>
    <row r="6" spans="1:8" ht="15.6">
      <c r="A6" s="25">
        <v>4</v>
      </c>
      <c r="B6" s="25" t="s">
        <v>362</v>
      </c>
      <c r="C6" s="25" t="str">
        <f t="shared" si="0"/>
        <v>Áo thun</v>
      </c>
      <c r="D6" s="25">
        <f t="shared" si="1"/>
        <v>50</v>
      </c>
      <c r="E6" s="34">
        <f t="shared" si="2"/>
        <v>45000</v>
      </c>
      <c r="F6" s="35">
        <f t="shared" si="3"/>
        <v>2250000</v>
      </c>
      <c r="G6" s="35">
        <f t="shared" si="4"/>
        <v>0</v>
      </c>
      <c r="H6" s="34">
        <f t="shared" si="5"/>
        <v>2475000</v>
      </c>
    </row>
    <row r="7" spans="1:8" ht="15.6">
      <c r="A7" s="25">
        <v>5</v>
      </c>
      <c r="B7" s="25" t="s">
        <v>363</v>
      </c>
      <c r="C7" s="25" t="str">
        <f t="shared" si="0"/>
        <v>Áo sơ mi</v>
      </c>
      <c r="D7" s="25">
        <f t="shared" si="1"/>
        <v>85</v>
      </c>
      <c r="E7" s="34">
        <f t="shared" si="2"/>
        <v>120000</v>
      </c>
      <c r="F7" s="35">
        <f t="shared" si="3"/>
        <v>10200000</v>
      </c>
      <c r="G7" s="35">
        <f t="shared" si="4"/>
        <v>510000</v>
      </c>
      <c r="H7" s="34">
        <f t="shared" si="5"/>
        <v>10659000</v>
      </c>
    </row>
    <row r="8" spans="1:8" ht="15.6">
      <c r="A8" s="25">
        <v>6</v>
      </c>
      <c r="B8" s="25" t="s">
        <v>364</v>
      </c>
      <c r="C8" s="25" t="str">
        <f t="shared" si="0"/>
        <v>Áo thun</v>
      </c>
      <c r="D8" s="25">
        <f t="shared" si="1"/>
        <v>100</v>
      </c>
      <c r="E8" s="34">
        <f t="shared" si="2"/>
        <v>45000</v>
      </c>
      <c r="F8" s="35">
        <f t="shared" si="3"/>
        <v>4500000</v>
      </c>
      <c r="G8" s="35">
        <f t="shared" si="4"/>
        <v>450000</v>
      </c>
      <c r="H8" s="34">
        <f t="shared" si="5"/>
        <v>4455000</v>
      </c>
    </row>
    <row r="9" spans="1:8" ht="15.6">
      <c r="A9" s="25">
        <v>7</v>
      </c>
      <c r="B9" s="25" t="s">
        <v>365</v>
      </c>
      <c r="C9" s="25" t="str">
        <f t="shared" si="0"/>
        <v>Quần Jean</v>
      </c>
      <c r="D9" s="25">
        <f t="shared" si="1"/>
        <v>75</v>
      </c>
      <c r="E9" s="34">
        <f t="shared" si="2"/>
        <v>350000</v>
      </c>
      <c r="F9" s="35">
        <f t="shared" si="3"/>
        <v>26250000</v>
      </c>
      <c r="G9" s="35">
        <f t="shared" si="4"/>
        <v>0</v>
      </c>
      <c r="H9" s="34">
        <f t="shared" si="5"/>
        <v>28875000.000000004</v>
      </c>
    </row>
    <row r="10" spans="1:8" ht="15.6">
      <c r="A10" s="25">
        <v>8</v>
      </c>
      <c r="B10" s="25" t="s">
        <v>366</v>
      </c>
      <c r="C10" s="25" t="str">
        <f t="shared" si="0"/>
        <v>Quần Jean</v>
      </c>
      <c r="D10" s="25">
        <f t="shared" si="1"/>
        <v>35</v>
      </c>
      <c r="E10" s="34">
        <f t="shared" si="2"/>
        <v>280000</v>
      </c>
      <c r="F10" s="35">
        <f t="shared" si="3"/>
        <v>9800000</v>
      </c>
      <c r="G10" s="35">
        <f t="shared" si="4"/>
        <v>0</v>
      </c>
      <c r="H10" s="34">
        <f t="shared" si="5"/>
        <v>10780000</v>
      </c>
    </row>
    <row r="11" spans="1:8" ht="15.6">
      <c r="A11" s="25">
        <v>9</v>
      </c>
      <c r="B11" s="25" t="s">
        <v>367</v>
      </c>
      <c r="C11" s="25" t="str">
        <f t="shared" si="0"/>
        <v>Áo thun</v>
      </c>
      <c r="D11" s="25">
        <f t="shared" si="1"/>
        <v>55</v>
      </c>
      <c r="E11" s="34">
        <f t="shared" si="2"/>
        <v>80000</v>
      </c>
      <c r="F11" s="35">
        <f t="shared" si="3"/>
        <v>4400000</v>
      </c>
      <c r="G11" s="35">
        <f t="shared" si="4"/>
        <v>0</v>
      </c>
      <c r="H11" s="34">
        <f t="shared" si="5"/>
        <v>4840000</v>
      </c>
    </row>
    <row r="12" spans="1:8" ht="15.6">
      <c r="A12" s="25">
        <v>10</v>
      </c>
      <c r="B12" s="25" t="s">
        <v>368</v>
      </c>
      <c r="C12" s="25" t="str">
        <f t="shared" si="0"/>
        <v>Áo sơ mi</v>
      </c>
      <c r="D12" s="25">
        <f t="shared" si="1"/>
        <v>140</v>
      </c>
      <c r="E12" s="34">
        <f t="shared" si="2"/>
        <v>85000</v>
      </c>
      <c r="F12" s="35">
        <f t="shared" si="3"/>
        <v>11900000</v>
      </c>
      <c r="G12" s="35">
        <f t="shared" si="4"/>
        <v>595000</v>
      </c>
      <c r="H12" s="34">
        <f t="shared" si="5"/>
        <v>12435500.000000002</v>
      </c>
    </row>
    <row r="13" spans="1:8" ht="15.6">
      <c r="A13" s="25">
        <v>11</v>
      </c>
      <c r="B13" s="25" t="s">
        <v>369</v>
      </c>
      <c r="C13" s="25" t="str">
        <f t="shared" si="0"/>
        <v>Quần Kaki</v>
      </c>
      <c r="D13" s="25">
        <f t="shared" si="1"/>
        <v>20</v>
      </c>
      <c r="E13" s="34">
        <f t="shared" si="2"/>
        <v>150000</v>
      </c>
      <c r="F13" s="35">
        <f t="shared" si="3"/>
        <v>3000000</v>
      </c>
      <c r="G13" s="35">
        <f t="shared" si="4"/>
        <v>0</v>
      </c>
      <c r="H13" s="34">
        <f t="shared" si="5"/>
        <v>3300000.0000000005</v>
      </c>
    </row>
    <row r="14" spans="1:8" ht="15.6">
      <c r="A14" s="25">
        <v>12</v>
      </c>
      <c r="B14" s="25" t="s">
        <v>370</v>
      </c>
      <c r="C14" s="25" t="str">
        <f t="shared" si="0"/>
        <v>Áo sơ mi</v>
      </c>
      <c r="D14" s="25">
        <f t="shared" si="1"/>
        <v>60</v>
      </c>
      <c r="E14" s="34">
        <f t="shared" si="2"/>
        <v>85000</v>
      </c>
      <c r="F14" s="35">
        <f t="shared" si="3"/>
        <v>5100000</v>
      </c>
      <c r="G14" s="35">
        <f t="shared" si="4"/>
        <v>255000</v>
      </c>
      <c r="H14" s="34">
        <f t="shared" si="5"/>
        <v>5329500</v>
      </c>
    </row>
    <row r="15" spans="1:8" ht="15.6">
      <c r="A15" s="25"/>
      <c r="B15" s="25"/>
      <c r="C15" s="25"/>
      <c r="D15" s="25"/>
      <c r="E15" s="25"/>
      <c r="F15" s="25"/>
      <c r="G15" s="25"/>
      <c r="H15" s="25"/>
    </row>
    <row r="16" spans="1:8" ht="15.6">
      <c r="A16" s="25"/>
      <c r="B16" s="75" t="s">
        <v>371</v>
      </c>
      <c r="C16" s="75"/>
      <c r="D16" s="75"/>
      <c r="E16" s="75"/>
      <c r="F16" s="24"/>
      <c r="G16" s="25"/>
      <c r="H16" s="25"/>
    </row>
    <row r="17" spans="1:24" ht="15.6">
      <c r="A17" s="25"/>
      <c r="B17" s="33" t="s">
        <v>170</v>
      </c>
      <c r="C17" s="33" t="s">
        <v>171</v>
      </c>
      <c r="D17" s="33" t="s">
        <v>372</v>
      </c>
      <c r="E17" s="33" t="s">
        <v>373</v>
      </c>
      <c r="F17" s="24"/>
      <c r="G17" s="25"/>
      <c r="H17" s="25"/>
    </row>
    <row r="18" spans="1:24" ht="15.6">
      <c r="A18" s="25"/>
      <c r="B18" s="7" t="s">
        <v>374</v>
      </c>
      <c r="C18" s="7" t="s">
        <v>378</v>
      </c>
      <c r="D18" s="30">
        <v>80000</v>
      </c>
      <c r="E18" s="30">
        <v>45000</v>
      </c>
      <c r="F18" s="24"/>
      <c r="G18" s="25"/>
      <c r="H18" s="25"/>
    </row>
    <row r="19" spans="1:24" ht="15.6">
      <c r="A19" s="25"/>
      <c r="B19" s="7" t="s">
        <v>375</v>
      </c>
      <c r="C19" s="7" t="s">
        <v>379</v>
      </c>
      <c r="D19" s="30">
        <v>120000</v>
      </c>
      <c r="E19" s="30">
        <v>85000</v>
      </c>
      <c r="F19" s="24"/>
      <c r="G19" s="25"/>
      <c r="H19" s="25"/>
    </row>
    <row r="20" spans="1:24" ht="15.6">
      <c r="A20" s="25"/>
      <c r="B20" s="7" t="s">
        <v>376</v>
      </c>
      <c r="C20" s="7" t="s">
        <v>380</v>
      </c>
      <c r="D20" s="30">
        <v>220000</v>
      </c>
      <c r="E20" s="30">
        <v>150000</v>
      </c>
      <c r="F20" s="24"/>
      <c r="G20" s="25"/>
      <c r="H20" s="25"/>
    </row>
    <row r="21" spans="1:24" ht="15.6">
      <c r="A21" s="25"/>
      <c r="B21" s="31" t="s">
        <v>377</v>
      </c>
      <c r="C21" s="31" t="s">
        <v>381</v>
      </c>
      <c r="D21" s="32">
        <v>350000</v>
      </c>
      <c r="E21" s="32">
        <v>280000</v>
      </c>
      <c r="F21" s="24"/>
      <c r="G21" s="25"/>
      <c r="H21" s="25"/>
    </row>
    <row r="22" spans="1:24" ht="15.6">
      <c r="A22" s="25"/>
      <c r="B22" s="75" t="s">
        <v>382</v>
      </c>
      <c r="C22" s="75"/>
      <c r="D22" s="75"/>
      <c r="E22" s="75"/>
      <c r="F22" s="75"/>
      <c r="G22" s="25"/>
      <c r="H22" s="25"/>
    </row>
    <row r="23" spans="1:24" ht="15.6">
      <c r="A23" s="25"/>
      <c r="B23" s="7" t="s">
        <v>170</v>
      </c>
      <c r="C23" s="7" t="s">
        <v>374</v>
      </c>
      <c r="D23" s="7" t="s">
        <v>375</v>
      </c>
      <c r="E23" s="7" t="s">
        <v>376</v>
      </c>
      <c r="F23" s="7" t="s">
        <v>377</v>
      </c>
      <c r="G23" s="25"/>
      <c r="H23" s="25"/>
    </row>
    <row r="24" spans="1:24" ht="18" customHeight="1">
      <c r="A24" s="25"/>
      <c r="B24" s="7" t="s">
        <v>358</v>
      </c>
      <c r="C24" s="7">
        <f>SUMIF($B$3:$B$14,"?"&amp;C23&amp;"*",$H$3:$H$14)</f>
        <v>20130000</v>
      </c>
      <c r="D24" s="7">
        <f t="shared" ref="D24:F24" si="6">SUMIF($B$3:$B$14,"?"&amp;D23&amp;"*",$H$3:$H$14)</f>
        <v>28424000</v>
      </c>
      <c r="E24" s="7">
        <f t="shared" si="6"/>
        <v>65373000.000000007</v>
      </c>
      <c r="F24" s="7">
        <f t="shared" si="6"/>
        <v>68761000</v>
      </c>
      <c r="G24" s="25"/>
      <c r="H24" s="25"/>
    </row>
    <row r="26" spans="1:24" ht="15.6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4" ht="15.6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4" ht="15.6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ht="15.6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4" ht="15.6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4" ht="15.6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4" ht="15.6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2:24" ht="15.6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spans="2:24" ht="15.6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spans="2:24" ht="15.6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2:24" ht="15.6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spans="2:24" ht="15.6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spans="2:24" ht="15.6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 spans="2:24" ht="15.6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</row>
    <row r="40" spans="2:24" ht="15.6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 spans="2:24" ht="15.6">
      <c r="B41" s="25"/>
      <c r="C41" s="25"/>
      <c r="D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 spans="2:24" ht="15.6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 spans="2:24" ht="15.6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</row>
    <row r="44" spans="2:24" ht="15.6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</row>
    <row r="45" spans="2:24" ht="15.6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 spans="2:24" ht="15.6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 spans="2:24" ht="15.6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 spans="2:24" ht="15.6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spans="2:24" ht="15.6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 spans="2:24" ht="15.6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 spans="2:24" ht="15.6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</row>
    <row r="52" spans="2:24" ht="15.6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 spans="2:24" ht="15.6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 spans="2:24" ht="15.6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</sheetData>
  <mergeCells count="3">
    <mergeCell ref="A1:H1"/>
    <mergeCell ref="B16:E16"/>
    <mergeCell ref="B22:F2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6"/>
  <sheetViews>
    <sheetView workbookViewId="0">
      <selection activeCell="B16" sqref="B16"/>
    </sheetView>
  </sheetViews>
  <sheetFormatPr defaultRowHeight="14.4"/>
  <cols>
    <col min="2" max="2" width="14.33203125" bestFit="1" customWidth="1"/>
    <col min="3" max="3" width="12.44140625" customWidth="1"/>
    <col min="4" max="5" width="14.33203125" bestFit="1" customWidth="1"/>
    <col min="11" max="11" width="10.5546875" customWidth="1"/>
  </cols>
  <sheetData>
    <row r="1" spans="1:18">
      <c r="A1" s="41" t="s">
        <v>277</v>
      </c>
      <c r="B1" s="41" t="s">
        <v>170</v>
      </c>
      <c r="C1" s="41" t="s">
        <v>171</v>
      </c>
      <c r="D1" s="41" t="s">
        <v>134</v>
      </c>
      <c r="E1" s="41" t="s">
        <v>356</v>
      </c>
      <c r="F1" s="41" t="s">
        <v>357</v>
      </c>
      <c r="G1" s="41" t="s">
        <v>40</v>
      </c>
      <c r="H1" s="41" t="s">
        <v>358</v>
      </c>
    </row>
    <row r="2" spans="1:18">
      <c r="A2" s="36">
        <v>10</v>
      </c>
      <c r="B2" s="36" t="s">
        <v>368</v>
      </c>
      <c r="C2" s="36" t="s">
        <v>379</v>
      </c>
      <c r="D2" s="36">
        <v>140</v>
      </c>
      <c r="E2" s="36">
        <v>85000</v>
      </c>
      <c r="F2" s="36">
        <v>11900000</v>
      </c>
      <c r="G2" s="36">
        <v>595000</v>
      </c>
      <c r="H2" s="36">
        <v>12435500.000000002</v>
      </c>
      <c r="K2" t="s">
        <v>171</v>
      </c>
      <c r="L2" t="s">
        <v>134</v>
      </c>
    </row>
    <row r="3" spans="1:18">
      <c r="A3" s="36">
        <v>5</v>
      </c>
      <c r="B3" s="36" t="s">
        <v>363</v>
      </c>
      <c r="C3" s="36" t="s">
        <v>379</v>
      </c>
      <c r="D3" s="36">
        <v>85</v>
      </c>
      <c r="E3" s="36">
        <v>120000</v>
      </c>
      <c r="F3" s="36">
        <v>10200000</v>
      </c>
      <c r="G3" s="36">
        <v>510000</v>
      </c>
      <c r="H3" s="36">
        <v>10659000</v>
      </c>
      <c r="K3" t="s">
        <v>378</v>
      </c>
      <c r="L3" t="s">
        <v>384</v>
      </c>
    </row>
    <row r="4" spans="1:18">
      <c r="A4" s="36">
        <v>12</v>
      </c>
      <c r="B4" s="36" t="s">
        <v>370</v>
      </c>
      <c r="C4" s="36" t="s">
        <v>379</v>
      </c>
      <c r="D4" s="36">
        <v>60</v>
      </c>
      <c r="E4" s="36">
        <v>85000</v>
      </c>
      <c r="F4" s="36">
        <v>5100000</v>
      </c>
      <c r="G4" s="36">
        <v>255000</v>
      </c>
      <c r="H4" s="36">
        <v>5329500</v>
      </c>
      <c r="K4" t="s">
        <v>379</v>
      </c>
      <c r="L4" t="s">
        <v>384</v>
      </c>
    </row>
    <row r="5" spans="1:18">
      <c r="A5" s="36">
        <v>6</v>
      </c>
      <c r="B5" s="36" t="s">
        <v>364</v>
      </c>
      <c r="C5" s="36" t="s">
        <v>378</v>
      </c>
      <c r="D5" s="36">
        <v>100</v>
      </c>
      <c r="E5" s="36">
        <v>45000</v>
      </c>
      <c r="F5" s="36">
        <v>4500000</v>
      </c>
      <c r="G5" s="36">
        <v>450000</v>
      </c>
      <c r="H5" s="36">
        <v>4455000</v>
      </c>
      <c r="K5" t="s">
        <v>380</v>
      </c>
      <c r="L5" t="s">
        <v>385</v>
      </c>
    </row>
    <row r="6" spans="1:18">
      <c r="A6" s="36">
        <v>1</v>
      </c>
      <c r="B6" s="36" t="s">
        <v>359</v>
      </c>
      <c r="C6" s="36" t="s">
        <v>378</v>
      </c>
      <c r="D6" s="36">
        <v>95</v>
      </c>
      <c r="E6" s="36">
        <v>80000</v>
      </c>
      <c r="F6" s="36">
        <v>7600000</v>
      </c>
      <c r="G6" s="36">
        <v>0</v>
      </c>
      <c r="H6" s="36">
        <v>8360000.0000000009</v>
      </c>
      <c r="K6" t="s">
        <v>381</v>
      </c>
      <c r="L6" t="s">
        <v>385</v>
      </c>
    </row>
    <row r="7" spans="1:18">
      <c r="A7" s="36">
        <v>9</v>
      </c>
      <c r="B7" s="36" t="s">
        <v>367</v>
      </c>
      <c r="C7" s="36" t="s">
        <v>378</v>
      </c>
      <c r="D7" s="36">
        <v>55</v>
      </c>
      <c r="E7" s="36">
        <v>80000</v>
      </c>
      <c r="F7" s="36">
        <v>4400000</v>
      </c>
      <c r="G7" s="36">
        <v>0</v>
      </c>
      <c r="H7" s="36">
        <v>4840000</v>
      </c>
    </row>
    <row r="8" spans="1:18">
      <c r="A8" s="36">
        <v>4</v>
      </c>
      <c r="B8" s="36" t="s">
        <v>362</v>
      </c>
      <c r="C8" s="36" t="s">
        <v>378</v>
      </c>
      <c r="D8" s="36">
        <v>50</v>
      </c>
      <c r="E8" s="36">
        <v>45000</v>
      </c>
      <c r="F8" s="36">
        <v>2250000</v>
      </c>
      <c r="G8" s="36">
        <v>0</v>
      </c>
      <c r="H8" s="36">
        <v>2475000</v>
      </c>
    </row>
    <row r="9" spans="1:18">
      <c r="A9" s="36">
        <v>2</v>
      </c>
      <c r="B9" s="36" t="s">
        <v>360</v>
      </c>
      <c r="C9" s="36" t="s">
        <v>381</v>
      </c>
      <c r="D9" s="36">
        <v>105</v>
      </c>
      <c r="E9" s="36">
        <v>280000</v>
      </c>
      <c r="F9" s="36">
        <v>29400000</v>
      </c>
      <c r="G9" s="36">
        <v>2940000</v>
      </c>
      <c r="H9" s="36">
        <v>29106000.000000004</v>
      </c>
      <c r="K9" s="44" t="s">
        <v>277</v>
      </c>
      <c r="L9" s="40" t="s">
        <v>170</v>
      </c>
      <c r="M9" s="40" t="s">
        <v>171</v>
      </c>
      <c r="N9" s="40" t="s">
        <v>134</v>
      </c>
      <c r="O9" s="40" t="s">
        <v>356</v>
      </c>
      <c r="P9" s="40" t="s">
        <v>357</v>
      </c>
      <c r="Q9" s="40" t="s">
        <v>40</v>
      </c>
      <c r="R9" s="40" t="s">
        <v>358</v>
      </c>
    </row>
    <row r="10" spans="1:18">
      <c r="A10" s="36">
        <v>7</v>
      </c>
      <c r="B10" s="36" t="s">
        <v>365</v>
      </c>
      <c r="C10" s="36" t="s">
        <v>381</v>
      </c>
      <c r="D10" s="36">
        <v>75</v>
      </c>
      <c r="E10" s="36">
        <v>350000</v>
      </c>
      <c r="F10" s="36">
        <v>26250000</v>
      </c>
      <c r="G10" s="36">
        <v>0</v>
      </c>
      <c r="H10" s="36">
        <v>28875000.000000004</v>
      </c>
      <c r="K10" s="36">
        <v>10</v>
      </c>
      <c r="L10" s="36" t="s">
        <v>368</v>
      </c>
      <c r="M10" s="36" t="s">
        <v>379</v>
      </c>
      <c r="N10" s="36">
        <v>140</v>
      </c>
      <c r="O10" s="36">
        <v>85000</v>
      </c>
      <c r="P10" s="36">
        <v>11900000</v>
      </c>
      <c r="Q10" s="36">
        <v>595000</v>
      </c>
      <c r="R10" s="36">
        <v>12435500.000000002</v>
      </c>
    </row>
    <row r="11" spans="1:18">
      <c r="A11" s="36">
        <v>8</v>
      </c>
      <c r="B11" s="36" t="s">
        <v>366</v>
      </c>
      <c r="C11" s="36" t="s">
        <v>381</v>
      </c>
      <c r="D11" s="36">
        <v>35</v>
      </c>
      <c r="E11" s="36">
        <v>280000</v>
      </c>
      <c r="F11" s="36">
        <v>9800000</v>
      </c>
      <c r="G11" s="36">
        <v>0</v>
      </c>
      <c r="H11" s="36">
        <v>10780000</v>
      </c>
      <c r="K11" s="36">
        <v>6</v>
      </c>
      <c r="L11" s="36" t="s">
        <v>364</v>
      </c>
      <c r="M11" s="36" t="s">
        <v>378</v>
      </c>
      <c r="N11" s="36">
        <v>100</v>
      </c>
      <c r="O11" s="36">
        <v>45000</v>
      </c>
      <c r="P11" s="36">
        <v>4500000</v>
      </c>
      <c r="Q11" s="36">
        <v>450000</v>
      </c>
      <c r="R11" s="36">
        <v>4455000</v>
      </c>
    </row>
    <row r="12" spans="1:18">
      <c r="A12" s="36">
        <v>3</v>
      </c>
      <c r="B12" s="36" t="s">
        <v>361</v>
      </c>
      <c r="C12" s="36" t="s">
        <v>380</v>
      </c>
      <c r="D12" s="36">
        <v>285</v>
      </c>
      <c r="E12" s="36">
        <v>220000</v>
      </c>
      <c r="F12" s="36">
        <v>62700000</v>
      </c>
      <c r="G12" s="36">
        <v>6270000</v>
      </c>
      <c r="H12" s="36">
        <v>62073000.000000007</v>
      </c>
      <c r="K12" s="36">
        <v>7</v>
      </c>
      <c r="L12" s="36" t="s">
        <v>365</v>
      </c>
      <c r="M12" s="36" t="s">
        <v>381</v>
      </c>
      <c r="N12" s="36">
        <v>75</v>
      </c>
      <c r="O12" s="36">
        <v>350000</v>
      </c>
      <c r="P12" s="36">
        <v>26250000</v>
      </c>
      <c r="Q12" s="36">
        <v>0</v>
      </c>
      <c r="R12" s="36">
        <v>28875000.000000004</v>
      </c>
    </row>
    <row r="13" spans="1:18">
      <c r="A13" s="36">
        <v>11</v>
      </c>
      <c r="B13" s="36" t="s">
        <v>369</v>
      </c>
      <c r="C13" s="36" t="s">
        <v>380</v>
      </c>
      <c r="D13" s="36">
        <v>20</v>
      </c>
      <c r="E13" s="36">
        <v>150000</v>
      </c>
      <c r="F13" s="36">
        <v>3000000</v>
      </c>
      <c r="G13" s="36">
        <v>0</v>
      </c>
      <c r="H13" s="36">
        <v>3300000.0000000005</v>
      </c>
      <c r="K13" s="36">
        <v>8</v>
      </c>
      <c r="L13" s="36" t="s">
        <v>366</v>
      </c>
      <c r="M13" s="36" t="s">
        <v>381</v>
      </c>
      <c r="N13" s="36">
        <v>35</v>
      </c>
      <c r="O13" s="36">
        <v>280000</v>
      </c>
      <c r="P13" s="36">
        <v>9800000</v>
      </c>
      <c r="Q13" s="36">
        <v>0</v>
      </c>
      <c r="R13" s="36">
        <v>10780000</v>
      </c>
    </row>
    <row r="14" spans="1:18">
      <c r="A14" s="79" t="s">
        <v>382</v>
      </c>
      <c r="B14" s="79"/>
      <c r="C14" s="79"/>
      <c r="K14" s="36">
        <v>11</v>
      </c>
      <c r="L14" s="36" t="s">
        <v>369</v>
      </c>
      <c r="M14" s="36" t="s">
        <v>380</v>
      </c>
      <c r="N14" s="36">
        <v>20</v>
      </c>
      <c r="O14" s="36">
        <v>150000</v>
      </c>
      <c r="P14" s="36">
        <v>3000000</v>
      </c>
      <c r="Q14" s="36">
        <v>0</v>
      </c>
      <c r="R14" s="36">
        <v>3300000.0000000005</v>
      </c>
    </row>
    <row r="15" spans="1:18">
      <c r="A15" s="42" t="s">
        <v>170</v>
      </c>
      <c r="B15" s="42" t="s">
        <v>374</v>
      </c>
      <c r="C15" s="42" t="s">
        <v>375</v>
      </c>
      <c r="D15" s="42" t="s">
        <v>376</v>
      </c>
      <c r="E15" s="42" t="s">
        <v>377</v>
      </c>
    </row>
    <row r="16" spans="1:18">
      <c r="A16" s="42" t="s">
        <v>358</v>
      </c>
      <c r="B16" s="43">
        <v>20130000</v>
      </c>
      <c r="C16" s="43">
        <v>28424000</v>
      </c>
      <c r="D16" s="43">
        <v>65373000.000000007</v>
      </c>
      <c r="E16" s="43">
        <v>68761000</v>
      </c>
    </row>
  </sheetData>
  <sortState xmlns:xlrd2="http://schemas.microsoft.com/office/spreadsheetml/2017/richdata2" ref="A2:H13">
    <sortCondition ref="C2:C13"/>
    <sortCondition descending="1" ref="D2:D13"/>
  </sortState>
  <mergeCells count="1">
    <mergeCell ref="A14:C1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9"/>
  <sheetViews>
    <sheetView workbookViewId="0">
      <selection activeCell="D3" sqref="D3"/>
    </sheetView>
  </sheetViews>
  <sheetFormatPr defaultRowHeight="14.4"/>
  <cols>
    <col min="3" max="3" width="11.5546875" customWidth="1"/>
    <col min="4" max="4" width="12.33203125" customWidth="1"/>
    <col min="6" max="6" width="12.33203125" customWidth="1"/>
    <col min="7" max="7" width="10.5546875" customWidth="1"/>
    <col min="8" max="8" width="14.6640625" customWidth="1"/>
  </cols>
  <sheetData>
    <row r="1" spans="1:8" ht="17.399999999999999">
      <c r="A1" s="76" t="s">
        <v>383</v>
      </c>
      <c r="B1" s="76"/>
      <c r="C1" s="76"/>
      <c r="D1" s="76"/>
      <c r="E1" s="76"/>
      <c r="F1" s="76"/>
      <c r="G1" s="76"/>
      <c r="H1" s="76"/>
    </row>
    <row r="2" spans="1:8" ht="31.2">
      <c r="A2" s="38" t="s">
        <v>277</v>
      </c>
      <c r="B2" s="45" t="s">
        <v>386</v>
      </c>
      <c r="C2" s="45" t="s">
        <v>387</v>
      </c>
      <c r="D2" s="45" t="s">
        <v>388</v>
      </c>
      <c r="E2" s="45" t="s">
        <v>389</v>
      </c>
      <c r="F2" s="46" t="s">
        <v>328</v>
      </c>
      <c r="G2" s="45" t="s">
        <v>391</v>
      </c>
      <c r="H2" s="45" t="s">
        <v>392</v>
      </c>
    </row>
    <row r="3" spans="1:8" ht="15.6">
      <c r="A3" s="25">
        <v>1</v>
      </c>
      <c r="B3" s="25" t="s">
        <v>393</v>
      </c>
      <c r="C3" s="25" t="str">
        <f>LEFT(B3,2)</f>
        <v>FE</v>
      </c>
      <c r="D3" s="25" t="str">
        <f>VLOOKUP(C3,$C$17:$F$19,2,0)</f>
        <v>SẮT</v>
      </c>
      <c r="E3" s="25">
        <f>VALUE(RIGHT(B3,1))</f>
        <v>2</v>
      </c>
      <c r="F3" s="25">
        <v>78</v>
      </c>
      <c r="G3" s="25">
        <f>VLOOKUP(LEFT(B3,2),$C$17:$F$19,IF(RIGHT(B3,1)="1",3,4),0)</f>
        <v>25</v>
      </c>
      <c r="H3" s="25">
        <f>IF(F3&gt;=100,F3*G3*5%,F3*G3)</f>
        <v>1950</v>
      </c>
    </row>
    <row r="4" spans="1:8" ht="15.6">
      <c r="A4" s="25">
        <v>2</v>
      </c>
      <c r="B4" s="25" t="s">
        <v>394</v>
      </c>
      <c r="C4" s="25" t="str">
        <f t="shared" ref="C4:C12" si="0">LEFT(B4,2)</f>
        <v>AL</v>
      </c>
      <c r="D4" s="25" t="str">
        <f t="shared" ref="D4:D12" si="1">VLOOKUP(C4,$C$17:$F$19,2,0)</f>
        <v>NHÔM</v>
      </c>
      <c r="E4" s="25">
        <f t="shared" ref="E4:E12" si="2">VALUE(RIGHT(B4,1))</f>
        <v>1</v>
      </c>
      <c r="F4" s="25">
        <v>35</v>
      </c>
      <c r="G4" s="25">
        <f t="shared" ref="G4:G12" si="3">VLOOKUP(LEFT(B4,2),$C$17:$F$19,IF(RIGHT(B4,1)="1",3,4),0)</f>
        <v>55</v>
      </c>
      <c r="H4" s="25">
        <f t="shared" ref="H4:H12" si="4">IF(F4&gt;=100,F4*G4*5%,F4*G4)</f>
        <v>1925</v>
      </c>
    </row>
    <row r="5" spans="1:8" ht="15.6">
      <c r="A5" s="25">
        <v>3</v>
      </c>
      <c r="B5" s="25" t="s">
        <v>395</v>
      </c>
      <c r="C5" s="25" t="str">
        <f t="shared" si="0"/>
        <v>CE</v>
      </c>
      <c r="D5" s="25" t="str">
        <f t="shared" si="1"/>
        <v>XI MĂNG</v>
      </c>
      <c r="E5" s="25">
        <f t="shared" si="2"/>
        <v>2</v>
      </c>
      <c r="F5" s="25">
        <v>100</v>
      </c>
      <c r="G5" s="25">
        <f t="shared" si="3"/>
        <v>45</v>
      </c>
      <c r="H5" s="25">
        <f t="shared" si="4"/>
        <v>225</v>
      </c>
    </row>
    <row r="6" spans="1:8" ht="15.6">
      <c r="A6" s="25">
        <v>4</v>
      </c>
      <c r="B6" s="25" t="s">
        <v>396</v>
      </c>
      <c r="C6" s="25" t="str">
        <f t="shared" si="0"/>
        <v>FE</v>
      </c>
      <c r="D6" s="25" t="str">
        <f t="shared" si="1"/>
        <v>SẮT</v>
      </c>
      <c r="E6" s="25">
        <f t="shared" si="2"/>
        <v>1</v>
      </c>
      <c r="F6" s="25">
        <v>125</v>
      </c>
      <c r="G6" s="25">
        <f t="shared" si="3"/>
        <v>32</v>
      </c>
      <c r="H6" s="25">
        <f t="shared" si="4"/>
        <v>200</v>
      </c>
    </row>
    <row r="7" spans="1:8" ht="15.6">
      <c r="A7" s="25">
        <v>5</v>
      </c>
      <c r="B7" s="25" t="s">
        <v>397</v>
      </c>
      <c r="C7" s="25" t="str">
        <f t="shared" si="0"/>
        <v>CE</v>
      </c>
      <c r="D7" s="25" t="str">
        <f t="shared" si="1"/>
        <v>XI MĂNG</v>
      </c>
      <c r="E7" s="25">
        <f t="shared" si="2"/>
        <v>1</v>
      </c>
      <c r="F7" s="25">
        <v>300</v>
      </c>
      <c r="G7" s="25">
        <f t="shared" si="3"/>
        <v>50</v>
      </c>
      <c r="H7" s="25">
        <f t="shared" si="4"/>
        <v>750</v>
      </c>
    </row>
    <row r="8" spans="1:8" ht="15.6">
      <c r="A8" s="25">
        <v>6</v>
      </c>
      <c r="B8" s="25" t="s">
        <v>398</v>
      </c>
      <c r="C8" s="25" t="str">
        <f t="shared" si="0"/>
        <v>AL</v>
      </c>
      <c r="D8" s="25" t="str">
        <f t="shared" si="1"/>
        <v>NHÔM</v>
      </c>
      <c r="E8" s="25">
        <f t="shared" si="2"/>
        <v>2</v>
      </c>
      <c r="F8" s="25">
        <v>55</v>
      </c>
      <c r="G8" s="25">
        <f t="shared" si="3"/>
        <v>48</v>
      </c>
      <c r="H8" s="25">
        <f t="shared" si="4"/>
        <v>2640</v>
      </c>
    </row>
    <row r="9" spans="1:8" ht="15.6">
      <c r="A9" s="25">
        <v>7</v>
      </c>
      <c r="B9" s="25" t="s">
        <v>398</v>
      </c>
      <c r="C9" s="25" t="str">
        <f t="shared" si="0"/>
        <v>AL</v>
      </c>
      <c r="D9" s="25" t="str">
        <f t="shared" si="1"/>
        <v>NHÔM</v>
      </c>
      <c r="E9" s="25">
        <f t="shared" si="2"/>
        <v>2</v>
      </c>
      <c r="F9" s="25">
        <v>25</v>
      </c>
      <c r="G9" s="25">
        <f t="shared" si="3"/>
        <v>48</v>
      </c>
      <c r="H9" s="25">
        <f t="shared" si="4"/>
        <v>1200</v>
      </c>
    </row>
    <row r="10" spans="1:8" ht="15.6">
      <c r="A10" s="25">
        <v>8</v>
      </c>
      <c r="B10" s="25" t="s">
        <v>396</v>
      </c>
      <c r="C10" s="25" t="str">
        <f t="shared" si="0"/>
        <v>FE</v>
      </c>
      <c r="D10" s="25" t="str">
        <f t="shared" si="1"/>
        <v>SẮT</v>
      </c>
      <c r="E10" s="25">
        <f t="shared" si="2"/>
        <v>1</v>
      </c>
      <c r="F10" s="25">
        <v>110</v>
      </c>
      <c r="G10" s="25">
        <f t="shared" si="3"/>
        <v>32</v>
      </c>
      <c r="H10" s="25">
        <f t="shared" si="4"/>
        <v>176</v>
      </c>
    </row>
    <row r="11" spans="1:8" ht="15.6">
      <c r="A11" s="25">
        <v>9</v>
      </c>
      <c r="B11" s="25" t="s">
        <v>394</v>
      </c>
      <c r="C11" s="25" t="str">
        <f t="shared" si="0"/>
        <v>AL</v>
      </c>
      <c r="D11" s="25" t="str">
        <f t="shared" si="1"/>
        <v>NHÔM</v>
      </c>
      <c r="E11" s="25">
        <f t="shared" si="2"/>
        <v>1</v>
      </c>
      <c r="F11" s="25">
        <v>65</v>
      </c>
      <c r="G11" s="25">
        <f t="shared" si="3"/>
        <v>55</v>
      </c>
      <c r="H11" s="25">
        <f t="shared" si="4"/>
        <v>3575</v>
      </c>
    </row>
    <row r="12" spans="1:8" ht="15.6">
      <c r="A12" s="25">
        <v>10</v>
      </c>
      <c r="B12" s="25" t="s">
        <v>395</v>
      </c>
      <c r="C12" s="25" t="str">
        <f t="shared" si="0"/>
        <v>CE</v>
      </c>
      <c r="D12" s="25" t="str">
        <f t="shared" si="1"/>
        <v>XI MĂNG</v>
      </c>
      <c r="E12" s="25">
        <f t="shared" si="2"/>
        <v>2</v>
      </c>
      <c r="F12" s="25">
        <v>115</v>
      </c>
      <c r="G12" s="25">
        <f t="shared" si="3"/>
        <v>45</v>
      </c>
      <c r="H12" s="49">
        <f t="shared" si="4"/>
        <v>258.75</v>
      </c>
    </row>
    <row r="13" spans="1:8" ht="15.6">
      <c r="A13" s="25"/>
      <c r="B13" s="25"/>
      <c r="C13" s="25"/>
      <c r="D13" s="25"/>
      <c r="E13" s="25"/>
      <c r="F13" s="25"/>
      <c r="G13" s="25"/>
      <c r="H13" s="25"/>
    </row>
    <row r="14" spans="1:8" ht="17.399999999999999">
      <c r="A14" s="25"/>
      <c r="B14" s="25"/>
      <c r="C14" s="74" t="s">
        <v>371</v>
      </c>
      <c r="D14" s="74"/>
      <c r="E14" s="74"/>
      <c r="F14" s="74"/>
      <c r="G14" s="25"/>
      <c r="H14" s="25"/>
    </row>
    <row r="15" spans="1:8" ht="15.6">
      <c r="A15" s="25"/>
      <c r="B15" s="25"/>
      <c r="C15" s="80" t="s">
        <v>387</v>
      </c>
      <c r="D15" s="80" t="s">
        <v>388</v>
      </c>
      <c r="E15" s="80" t="s">
        <v>391</v>
      </c>
      <c r="F15" s="80"/>
      <c r="G15" s="25"/>
      <c r="H15" s="25"/>
    </row>
    <row r="16" spans="1:8" ht="15.6">
      <c r="A16" s="25"/>
      <c r="B16" s="25"/>
      <c r="C16" s="80"/>
      <c r="D16" s="80"/>
      <c r="E16" s="47" t="s">
        <v>399</v>
      </c>
      <c r="F16" s="47" t="s">
        <v>400</v>
      </c>
      <c r="G16" s="25"/>
      <c r="H16" s="25"/>
    </row>
    <row r="17" spans="1:8" ht="15.6">
      <c r="A17" s="25"/>
      <c r="B17" s="25"/>
      <c r="C17" s="5" t="s">
        <v>401</v>
      </c>
      <c r="D17" s="5" t="s">
        <v>404</v>
      </c>
      <c r="E17" s="5">
        <v>55</v>
      </c>
      <c r="F17" s="5">
        <v>48</v>
      </c>
      <c r="G17" s="25"/>
      <c r="H17" s="25"/>
    </row>
    <row r="18" spans="1:8" ht="15.6">
      <c r="A18" s="25"/>
      <c r="B18" s="25"/>
      <c r="C18" s="5" t="s">
        <v>402</v>
      </c>
      <c r="D18" s="5" t="s">
        <v>405</v>
      </c>
      <c r="E18" s="5">
        <v>32</v>
      </c>
      <c r="F18" s="5">
        <v>25</v>
      </c>
      <c r="G18" s="25"/>
      <c r="H18" s="25"/>
    </row>
    <row r="19" spans="1:8" ht="15.6">
      <c r="A19" s="25"/>
      <c r="B19" s="25"/>
      <c r="C19" s="5" t="s">
        <v>403</v>
      </c>
      <c r="D19" s="5" t="s">
        <v>406</v>
      </c>
      <c r="E19" s="5">
        <v>50</v>
      </c>
      <c r="F19" s="5">
        <v>45</v>
      </c>
      <c r="G19" s="25"/>
      <c r="H19" s="25"/>
    </row>
  </sheetData>
  <mergeCells count="5">
    <mergeCell ref="A1:H1"/>
    <mergeCell ref="C14:F14"/>
    <mergeCell ref="E15:F15"/>
    <mergeCell ref="C15:C16"/>
    <mergeCell ref="D15:D16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9"/>
  <sheetViews>
    <sheetView workbookViewId="0">
      <selection activeCell="C5" sqref="C5"/>
    </sheetView>
  </sheetViews>
  <sheetFormatPr defaultRowHeight="14.4"/>
  <cols>
    <col min="2" max="2" width="19.33203125" customWidth="1"/>
    <col min="3" max="3" width="11.5546875" customWidth="1"/>
    <col min="4" max="4" width="12.44140625" customWidth="1"/>
    <col min="5" max="5" width="10.5546875" customWidth="1"/>
    <col min="6" max="6" width="12" customWidth="1"/>
    <col min="7" max="7" width="10.5546875" customWidth="1"/>
    <col min="8" max="8" width="14.6640625" customWidth="1"/>
    <col min="17" max="17" width="12.109375" customWidth="1"/>
  </cols>
  <sheetData>
    <row r="1" spans="1:17" ht="15.6">
      <c r="A1" s="33" t="s">
        <v>277</v>
      </c>
      <c r="B1" s="48" t="s">
        <v>386</v>
      </c>
      <c r="C1" s="48" t="s">
        <v>387</v>
      </c>
      <c r="D1" s="48" t="s">
        <v>388</v>
      </c>
      <c r="E1" s="48" t="s">
        <v>389</v>
      </c>
      <c r="F1" s="48" t="s">
        <v>390</v>
      </c>
      <c r="G1" s="48" t="s">
        <v>391</v>
      </c>
      <c r="H1" s="48" t="s">
        <v>392</v>
      </c>
    </row>
    <row r="2" spans="1:17" ht="15.6">
      <c r="A2" s="5">
        <v>9</v>
      </c>
      <c r="B2" s="5" t="s">
        <v>394</v>
      </c>
      <c r="C2" s="5" t="s">
        <v>401</v>
      </c>
      <c r="D2" s="5" t="s">
        <v>404</v>
      </c>
      <c r="E2" s="5">
        <v>1</v>
      </c>
      <c r="F2" s="5">
        <v>65</v>
      </c>
      <c r="G2" s="5">
        <v>55</v>
      </c>
      <c r="H2" s="5">
        <v>3575</v>
      </c>
      <c r="J2" t="s">
        <v>114</v>
      </c>
      <c r="K2" t="s">
        <v>134</v>
      </c>
    </row>
    <row r="3" spans="1:17" ht="15.6">
      <c r="A3" s="5">
        <v>6</v>
      </c>
      <c r="B3" s="5" t="s">
        <v>398</v>
      </c>
      <c r="C3" s="5" t="s">
        <v>401</v>
      </c>
      <c r="D3" s="5" t="s">
        <v>404</v>
      </c>
      <c r="E3" s="5">
        <v>2</v>
      </c>
      <c r="F3" s="5">
        <v>55</v>
      </c>
      <c r="G3" s="5">
        <v>48</v>
      </c>
      <c r="H3" s="5">
        <v>2640</v>
      </c>
      <c r="J3" t="s">
        <v>407</v>
      </c>
      <c r="K3" t="s">
        <v>409</v>
      </c>
    </row>
    <row r="4" spans="1:17" ht="15.6">
      <c r="A4" s="5">
        <v>2</v>
      </c>
      <c r="B4" s="5" t="s">
        <v>394</v>
      </c>
      <c r="C4" s="5" t="s">
        <v>401</v>
      </c>
      <c r="D4" s="5" t="s">
        <v>404</v>
      </c>
      <c r="E4" s="5">
        <v>1</v>
      </c>
      <c r="F4" s="5">
        <v>35</v>
      </c>
      <c r="G4" s="5">
        <v>55</v>
      </c>
      <c r="H4" s="5">
        <v>1925</v>
      </c>
      <c r="J4" t="s">
        <v>408</v>
      </c>
      <c r="K4" t="s">
        <v>409</v>
      </c>
    </row>
    <row r="5" spans="1:17" ht="15.6">
      <c r="A5" s="5">
        <v>7</v>
      </c>
      <c r="B5" s="5" t="s">
        <v>398</v>
      </c>
      <c r="C5" s="5" t="s">
        <v>401</v>
      </c>
      <c r="D5" s="5" t="s">
        <v>404</v>
      </c>
      <c r="E5" s="5">
        <v>2</v>
      </c>
      <c r="F5" s="5">
        <v>25</v>
      </c>
      <c r="G5" s="5">
        <v>48</v>
      </c>
      <c r="H5" s="5">
        <v>1200</v>
      </c>
    </row>
    <row r="6" spans="1:17" ht="15.6">
      <c r="A6" s="5">
        <v>5</v>
      </c>
      <c r="B6" s="5" t="s">
        <v>397</v>
      </c>
      <c r="C6" s="5" t="s">
        <v>403</v>
      </c>
      <c r="D6" s="5" t="s">
        <v>406</v>
      </c>
      <c r="E6" s="5">
        <v>1</v>
      </c>
      <c r="F6" s="5">
        <v>300</v>
      </c>
      <c r="G6" s="5">
        <v>50</v>
      </c>
      <c r="H6" s="5">
        <v>750</v>
      </c>
    </row>
    <row r="7" spans="1:17" ht="15.6">
      <c r="A7" s="5">
        <v>10</v>
      </c>
      <c r="B7" s="5" t="s">
        <v>395</v>
      </c>
      <c r="C7" s="5" t="s">
        <v>403</v>
      </c>
      <c r="D7" s="5" t="s">
        <v>406</v>
      </c>
      <c r="E7" s="5">
        <v>2</v>
      </c>
      <c r="F7" s="5">
        <v>115</v>
      </c>
      <c r="G7" s="5">
        <v>45</v>
      </c>
      <c r="H7" s="5">
        <v>258.75</v>
      </c>
    </row>
    <row r="8" spans="1:17" ht="15.6">
      <c r="A8" s="5">
        <v>3</v>
      </c>
      <c r="B8" s="5" t="s">
        <v>395</v>
      </c>
      <c r="C8" s="5" t="s">
        <v>403</v>
      </c>
      <c r="D8" s="5" t="s">
        <v>406</v>
      </c>
      <c r="E8" s="5">
        <v>2</v>
      </c>
      <c r="F8" s="5">
        <v>100</v>
      </c>
      <c r="G8" s="5">
        <v>45</v>
      </c>
      <c r="H8" s="5">
        <v>225</v>
      </c>
    </row>
    <row r="9" spans="1:17" ht="15.6">
      <c r="A9" s="5">
        <v>1</v>
      </c>
      <c r="B9" s="5" t="s">
        <v>393</v>
      </c>
      <c r="C9" s="5" t="s">
        <v>402</v>
      </c>
      <c r="D9" s="5" t="s">
        <v>405</v>
      </c>
      <c r="E9" s="5">
        <v>2</v>
      </c>
      <c r="F9" s="5">
        <v>78</v>
      </c>
      <c r="G9" s="5">
        <v>25</v>
      </c>
      <c r="H9" s="5">
        <v>1950</v>
      </c>
    </row>
    <row r="10" spans="1:17" ht="15.6">
      <c r="A10" s="5">
        <v>4</v>
      </c>
      <c r="B10" s="5" t="s">
        <v>396</v>
      </c>
      <c r="C10" s="5" t="s">
        <v>402</v>
      </c>
      <c r="D10" s="5" t="s">
        <v>405</v>
      </c>
      <c r="E10" s="5">
        <v>1</v>
      </c>
      <c r="F10" s="5">
        <v>125</v>
      </c>
      <c r="G10" s="5">
        <v>32</v>
      </c>
      <c r="H10" s="5">
        <v>200</v>
      </c>
    </row>
    <row r="11" spans="1:17" ht="15.6">
      <c r="A11" s="5">
        <v>8</v>
      </c>
      <c r="B11" s="5" t="s">
        <v>396</v>
      </c>
      <c r="C11" s="5" t="s">
        <v>402</v>
      </c>
      <c r="D11" s="5" t="s">
        <v>405</v>
      </c>
      <c r="E11" s="5">
        <v>1</v>
      </c>
      <c r="F11" s="5">
        <v>110</v>
      </c>
      <c r="G11" s="5">
        <v>32</v>
      </c>
      <c r="H11" s="5">
        <v>176</v>
      </c>
    </row>
    <row r="12" spans="1:17">
      <c r="J12" s="36" t="s">
        <v>277</v>
      </c>
      <c r="K12" s="36" t="s">
        <v>386</v>
      </c>
      <c r="L12" s="36" t="s">
        <v>387</v>
      </c>
      <c r="M12" s="36" t="s">
        <v>388</v>
      </c>
      <c r="N12" s="36" t="s">
        <v>389</v>
      </c>
      <c r="O12" s="36" t="s">
        <v>390</v>
      </c>
      <c r="P12" s="36" t="s">
        <v>391</v>
      </c>
      <c r="Q12" s="36" t="s">
        <v>392</v>
      </c>
    </row>
    <row r="13" spans="1:17" ht="15.6">
      <c r="B13" s="25"/>
      <c r="C13" s="25"/>
      <c r="D13" s="25"/>
      <c r="E13" s="25"/>
      <c r="J13" s="36">
        <v>9</v>
      </c>
      <c r="K13" s="36" t="s">
        <v>394</v>
      </c>
      <c r="L13" s="36" t="s">
        <v>401</v>
      </c>
      <c r="M13" s="36" t="s">
        <v>404</v>
      </c>
      <c r="N13" s="36">
        <v>1</v>
      </c>
      <c r="O13" s="36">
        <v>65</v>
      </c>
      <c r="P13" s="36">
        <v>55</v>
      </c>
      <c r="Q13" s="36">
        <v>3575</v>
      </c>
    </row>
    <row r="14" spans="1:17" ht="15.6">
      <c r="B14" s="25"/>
      <c r="C14" s="25"/>
      <c r="D14" s="25"/>
      <c r="E14" s="25"/>
      <c r="J14" s="36">
        <v>6</v>
      </c>
      <c r="K14" s="36" t="s">
        <v>398</v>
      </c>
      <c r="L14" s="36" t="s">
        <v>401</v>
      </c>
      <c r="M14" s="36" t="s">
        <v>404</v>
      </c>
      <c r="N14" s="36">
        <v>2</v>
      </c>
      <c r="O14" s="36">
        <v>55</v>
      </c>
      <c r="P14" s="36">
        <v>48</v>
      </c>
      <c r="Q14" s="36">
        <v>2640</v>
      </c>
    </row>
    <row r="15" spans="1:17" ht="15.6">
      <c r="B15" s="25"/>
      <c r="C15" s="25"/>
      <c r="D15" s="25"/>
      <c r="E15" s="25"/>
      <c r="J15" s="36">
        <v>1</v>
      </c>
      <c r="K15" s="36" t="s">
        <v>393</v>
      </c>
      <c r="L15" s="36" t="s">
        <v>402</v>
      </c>
      <c r="M15" s="36" t="s">
        <v>405</v>
      </c>
      <c r="N15" s="36">
        <v>2</v>
      </c>
      <c r="O15" s="36">
        <v>78</v>
      </c>
      <c r="P15" s="36">
        <v>25</v>
      </c>
      <c r="Q15" s="36">
        <v>1950</v>
      </c>
    </row>
    <row r="16" spans="1:17" ht="17.399999999999999">
      <c r="B16" s="74" t="s">
        <v>412</v>
      </c>
      <c r="C16" s="79"/>
      <c r="D16" s="79"/>
      <c r="E16" s="79"/>
      <c r="J16" s="36">
        <v>4</v>
      </c>
      <c r="K16" s="36" t="s">
        <v>396</v>
      </c>
      <c r="L16" s="36" t="s">
        <v>402</v>
      </c>
      <c r="M16" s="36" t="s">
        <v>405</v>
      </c>
      <c r="N16" s="36">
        <v>1</v>
      </c>
      <c r="O16" s="36">
        <v>125</v>
      </c>
      <c r="P16" s="36">
        <v>32</v>
      </c>
      <c r="Q16" s="36">
        <v>200</v>
      </c>
    </row>
    <row r="17" spans="2:17" ht="15.6">
      <c r="B17" s="5" t="s">
        <v>170</v>
      </c>
      <c r="C17" s="5" t="s">
        <v>401</v>
      </c>
      <c r="D17" s="5" t="s">
        <v>403</v>
      </c>
      <c r="E17" s="5" t="s">
        <v>402</v>
      </c>
      <c r="J17" s="36">
        <v>8</v>
      </c>
      <c r="K17" s="36" t="s">
        <v>396</v>
      </c>
      <c r="L17" s="36" t="s">
        <v>402</v>
      </c>
      <c r="M17" s="36" t="s">
        <v>405</v>
      </c>
      <c r="N17" s="36">
        <v>1</v>
      </c>
      <c r="O17" s="36">
        <v>110</v>
      </c>
      <c r="P17" s="36">
        <v>32</v>
      </c>
      <c r="Q17" s="36">
        <v>176</v>
      </c>
    </row>
    <row r="18" spans="2:17" ht="15.6">
      <c r="B18" s="5" t="s">
        <v>410</v>
      </c>
      <c r="C18" s="5">
        <f>SUMIFS($F$2:$F$11,$C$2:$C$11,C17)</f>
        <v>180</v>
      </c>
      <c r="D18" s="5">
        <f t="shared" ref="D18" si="0">SUMIFS($F$2:$F$11,$C$2:$C$11,D17)</f>
        <v>515</v>
      </c>
      <c r="E18" s="5">
        <f t="shared" ref="E18" si="1">SUMIFS($F$2:$F$11,$C$2:$C$11,E17)</f>
        <v>313</v>
      </c>
    </row>
    <row r="19" spans="2:17" ht="15.6">
      <c r="B19" s="5" t="s">
        <v>411</v>
      </c>
      <c r="C19" s="5">
        <f>SUMIFS($H$2:$H$11,$C$2:$C$11,C17)</f>
        <v>9340</v>
      </c>
      <c r="D19" s="5">
        <f t="shared" ref="D19:E19" si="2">SUMIFS($H$2:$H$11,$C$2:$C$11,D17)</f>
        <v>1233.75</v>
      </c>
      <c r="E19" s="5">
        <f t="shared" si="2"/>
        <v>2326</v>
      </c>
    </row>
  </sheetData>
  <sortState xmlns:xlrd2="http://schemas.microsoft.com/office/spreadsheetml/2017/richdata2" ref="A2:H11">
    <sortCondition ref="C2:C11"/>
    <sortCondition descending="1" ref="H2:H11"/>
  </sortState>
  <mergeCells count="1">
    <mergeCell ref="B16:E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7"/>
  <sheetViews>
    <sheetView topLeftCell="A2" workbookViewId="0">
      <selection activeCell="H26" sqref="H26"/>
    </sheetView>
  </sheetViews>
  <sheetFormatPr defaultRowHeight="14.4"/>
  <cols>
    <col min="1" max="1" width="9.33203125" bestFit="1" customWidth="1"/>
    <col min="3" max="3" width="14" customWidth="1"/>
    <col min="5" max="5" width="10.109375" bestFit="1" customWidth="1"/>
    <col min="6" max="6" width="9.33203125" bestFit="1" customWidth="1"/>
    <col min="7" max="7" width="10.88671875" customWidth="1"/>
    <col min="8" max="8" width="20.109375" customWidth="1"/>
    <col min="9" max="9" width="16.109375" customWidth="1"/>
    <col min="10" max="10" width="10.109375" customWidth="1"/>
    <col min="11" max="11" width="10.44140625" customWidth="1"/>
  </cols>
  <sheetData>
    <row r="1" spans="1:11" ht="17.399999999999999">
      <c r="A1" s="76" t="s">
        <v>413</v>
      </c>
      <c r="B1" s="76"/>
      <c r="C1" s="76"/>
      <c r="D1" s="76"/>
      <c r="E1" s="76"/>
      <c r="F1" s="76"/>
      <c r="G1" s="76"/>
      <c r="H1" s="76"/>
      <c r="I1" s="76"/>
      <c r="J1" s="25"/>
      <c r="K1" s="25"/>
    </row>
    <row r="2" spans="1:11" ht="46.8">
      <c r="A2" s="51" t="s">
        <v>277</v>
      </c>
      <c r="B2" s="52" t="s">
        <v>414</v>
      </c>
      <c r="C2" s="51" t="s">
        <v>415</v>
      </c>
      <c r="D2" s="51" t="s">
        <v>389</v>
      </c>
      <c r="E2" s="52" t="s">
        <v>416</v>
      </c>
      <c r="F2" s="52" t="s">
        <v>328</v>
      </c>
      <c r="G2" s="52" t="s">
        <v>417</v>
      </c>
      <c r="H2" s="52" t="s">
        <v>418</v>
      </c>
      <c r="I2" s="52" t="s">
        <v>392</v>
      </c>
      <c r="J2" s="52" t="s">
        <v>436</v>
      </c>
      <c r="K2" s="52" t="s">
        <v>243</v>
      </c>
    </row>
    <row r="3" spans="1:11" ht="15.6">
      <c r="A3" s="5">
        <v>1</v>
      </c>
      <c r="B3" s="5" t="s">
        <v>419</v>
      </c>
      <c r="C3" s="5" t="str">
        <f>VLOOKUP(LEFT(B3,2),$B$15:$F$17,2,0)</f>
        <v>Mứt bí</v>
      </c>
      <c r="D3" s="5" t="str">
        <f>RIGHT(B3,1)</f>
        <v>1</v>
      </c>
      <c r="E3" s="8">
        <v>43107</v>
      </c>
      <c r="F3" s="5">
        <v>10</v>
      </c>
      <c r="G3" s="5">
        <f>VLOOKUP(LEFT(B3,2),$B$15:$F$17,IF(RIGHT(B3,1)="1",3,4),0)</f>
        <v>80000</v>
      </c>
      <c r="H3" s="5">
        <f>IF(F3&lt;20,0,IF(F3&lt;=50,5%*I3,10%*I3))</f>
        <v>0</v>
      </c>
      <c r="I3" s="5">
        <f>F3*G3</f>
        <v>800000</v>
      </c>
      <c r="J3" s="5">
        <f>IF(G3&gt;=20,VLOOKUP(LEFT(B3,2),$B$15:$F$17,5,0)*I3,0)</f>
        <v>24000</v>
      </c>
      <c r="K3" s="5">
        <f>I3+H3-J3</f>
        <v>776000</v>
      </c>
    </row>
    <row r="4" spans="1:11" ht="15.6">
      <c r="A4" s="5">
        <v>2</v>
      </c>
      <c r="B4" s="5" t="s">
        <v>421</v>
      </c>
      <c r="C4" s="5" t="str">
        <f t="shared" ref="C4:C11" si="0">VLOOKUP(LEFT(B4,2),$B$15:$F$17,2,0)</f>
        <v>Bánh chưng</v>
      </c>
      <c r="D4" s="5" t="str">
        <f t="shared" ref="D4:D11" si="1">RIGHT(B4,1)</f>
        <v>2</v>
      </c>
      <c r="E4" s="8">
        <v>43114</v>
      </c>
      <c r="F4" s="5">
        <v>50</v>
      </c>
      <c r="G4" s="5">
        <f t="shared" ref="G4:G11" si="2">VLOOKUP(LEFT(B4,2),$B$15:$F$17,IF(RIGHT(B4,1)="1",3,4),0)</f>
        <v>100000</v>
      </c>
      <c r="H4" s="5">
        <f t="shared" ref="H4:H11" si="3">IF(F4&lt;20,0,IF(F4&lt;=50,5%*I4,10%*I4))</f>
        <v>250000</v>
      </c>
      <c r="I4" s="5">
        <f t="shared" ref="I4:I11" si="4">F4*G4</f>
        <v>5000000</v>
      </c>
      <c r="J4" s="5">
        <f t="shared" ref="J4:J11" si="5">IF(G4&gt;=20,VLOOKUP(LEFT(B4,2),$B$15:$F$17,5,0)*I4,0)</f>
        <v>250000</v>
      </c>
      <c r="K4" s="5">
        <f t="shared" ref="K4:K11" si="6">I4+H4-J4</f>
        <v>5000000</v>
      </c>
    </row>
    <row r="5" spans="1:11" ht="15.6">
      <c r="A5" s="5">
        <v>3</v>
      </c>
      <c r="B5" s="5" t="s">
        <v>422</v>
      </c>
      <c r="C5" s="5" t="str">
        <f t="shared" si="0"/>
        <v>Bánh chưng</v>
      </c>
      <c r="D5" s="5" t="str">
        <f t="shared" si="1"/>
        <v>1</v>
      </c>
      <c r="E5" s="8">
        <v>43120</v>
      </c>
      <c r="F5" s="5">
        <v>20</v>
      </c>
      <c r="G5" s="5">
        <f t="shared" si="2"/>
        <v>120000</v>
      </c>
      <c r="H5" s="5">
        <f t="shared" si="3"/>
        <v>120000</v>
      </c>
      <c r="I5" s="5">
        <f t="shared" si="4"/>
        <v>2400000</v>
      </c>
      <c r="J5" s="5">
        <f t="shared" si="5"/>
        <v>120000</v>
      </c>
      <c r="K5" s="5">
        <f t="shared" si="6"/>
        <v>2400000</v>
      </c>
    </row>
    <row r="6" spans="1:11" ht="15.6">
      <c r="A6" s="5">
        <v>4</v>
      </c>
      <c r="B6" s="5" t="s">
        <v>423</v>
      </c>
      <c r="C6" s="5" t="str">
        <f t="shared" si="0"/>
        <v>Hạt sen</v>
      </c>
      <c r="D6" s="5" t="str">
        <f t="shared" si="1"/>
        <v>1</v>
      </c>
      <c r="E6" s="8">
        <v>43127</v>
      </c>
      <c r="F6" s="5">
        <v>15</v>
      </c>
      <c r="G6" s="5">
        <f t="shared" si="2"/>
        <v>140000</v>
      </c>
      <c r="H6" s="5">
        <f t="shared" si="3"/>
        <v>0</v>
      </c>
      <c r="I6" s="5">
        <f t="shared" si="4"/>
        <v>2100000</v>
      </c>
      <c r="J6" s="5">
        <f t="shared" si="5"/>
        <v>210000</v>
      </c>
      <c r="K6" s="5">
        <f t="shared" si="6"/>
        <v>1890000</v>
      </c>
    </row>
    <row r="7" spans="1:11" ht="15.6">
      <c r="A7" s="5">
        <v>5</v>
      </c>
      <c r="B7" s="5" t="s">
        <v>422</v>
      </c>
      <c r="C7" s="5" t="str">
        <f t="shared" si="0"/>
        <v>Bánh chưng</v>
      </c>
      <c r="D7" s="5" t="str">
        <f t="shared" si="1"/>
        <v>1</v>
      </c>
      <c r="E7" s="8">
        <v>43128</v>
      </c>
      <c r="F7" s="5">
        <v>70</v>
      </c>
      <c r="G7" s="5">
        <f t="shared" si="2"/>
        <v>120000</v>
      </c>
      <c r="H7" s="5">
        <f t="shared" si="3"/>
        <v>840000</v>
      </c>
      <c r="I7" s="5">
        <f t="shared" si="4"/>
        <v>8400000</v>
      </c>
      <c r="J7" s="5">
        <f t="shared" si="5"/>
        <v>420000</v>
      </c>
      <c r="K7" s="5">
        <f t="shared" si="6"/>
        <v>8820000</v>
      </c>
    </row>
    <row r="8" spans="1:11" ht="15.6">
      <c r="A8" s="5">
        <v>6</v>
      </c>
      <c r="B8" s="5" t="s">
        <v>420</v>
      </c>
      <c r="C8" s="5" t="str">
        <f t="shared" si="0"/>
        <v>Mứt bí</v>
      </c>
      <c r="D8" s="5" t="str">
        <f t="shared" si="1"/>
        <v>2</v>
      </c>
      <c r="E8" s="8">
        <v>43133</v>
      </c>
      <c r="F8" s="5">
        <v>30</v>
      </c>
      <c r="G8" s="5">
        <f t="shared" si="2"/>
        <v>60000</v>
      </c>
      <c r="H8" s="5">
        <f t="shared" si="3"/>
        <v>90000</v>
      </c>
      <c r="I8" s="5">
        <f t="shared" si="4"/>
        <v>1800000</v>
      </c>
      <c r="J8" s="5">
        <f t="shared" si="5"/>
        <v>54000</v>
      </c>
      <c r="K8" s="5">
        <f t="shared" si="6"/>
        <v>1836000</v>
      </c>
    </row>
    <row r="9" spans="1:11" ht="15.6">
      <c r="A9" s="5">
        <v>7</v>
      </c>
      <c r="B9" s="5" t="s">
        <v>424</v>
      </c>
      <c r="C9" s="5" t="str">
        <f t="shared" si="0"/>
        <v>Hạt sen</v>
      </c>
      <c r="D9" s="5" t="str">
        <f t="shared" si="1"/>
        <v>2</v>
      </c>
      <c r="E9" s="8">
        <v>43141</v>
      </c>
      <c r="F9" s="5">
        <v>25</v>
      </c>
      <c r="G9" s="5">
        <f t="shared" si="2"/>
        <v>120000</v>
      </c>
      <c r="H9" s="5">
        <f t="shared" si="3"/>
        <v>150000</v>
      </c>
      <c r="I9" s="5">
        <f t="shared" si="4"/>
        <v>3000000</v>
      </c>
      <c r="J9" s="5">
        <f t="shared" si="5"/>
        <v>300000</v>
      </c>
      <c r="K9" s="5">
        <f t="shared" si="6"/>
        <v>2850000</v>
      </c>
    </row>
    <row r="10" spans="1:11" ht="15.6">
      <c r="A10" s="5">
        <v>8</v>
      </c>
      <c r="B10" s="5" t="s">
        <v>421</v>
      </c>
      <c r="C10" s="5" t="str">
        <f t="shared" si="0"/>
        <v>Bánh chưng</v>
      </c>
      <c r="D10" s="5" t="str">
        <f t="shared" si="1"/>
        <v>2</v>
      </c>
      <c r="E10" s="8">
        <v>43144</v>
      </c>
      <c r="F10" s="5">
        <v>35</v>
      </c>
      <c r="G10" s="5">
        <f t="shared" si="2"/>
        <v>100000</v>
      </c>
      <c r="H10" s="5">
        <f t="shared" si="3"/>
        <v>175000</v>
      </c>
      <c r="I10" s="5">
        <f t="shared" si="4"/>
        <v>3500000</v>
      </c>
      <c r="J10" s="5">
        <f t="shared" si="5"/>
        <v>175000</v>
      </c>
      <c r="K10" s="5">
        <f t="shared" si="6"/>
        <v>3500000</v>
      </c>
    </row>
    <row r="11" spans="1:11" ht="15.6">
      <c r="A11" s="5">
        <v>9</v>
      </c>
      <c r="B11" s="5" t="s">
        <v>419</v>
      </c>
      <c r="C11" s="5" t="str">
        <f t="shared" si="0"/>
        <v>Mứt bí</v>
      </c>
      <c r="D11" s="5" t="str">
        <f t="shared" si="1"/>
        <v>1</v>
      </c>
      <c r="E11" s="8">
        <v>43153</v>
      </c>
      <c r="F11" s="5">
        <v>20</v>
      </c>
      <c r="G11" s="5">
        <f t="shared" si="2"/>
        <v>80000</v>
      </c>
      <c r="H11" s="5">
        <f t="shared" si="3"/>
        <v>80000</v>
      </c>
      <c r="I11" s="5">
        <f t="shared" si="4"/>
        <v>1600000</v>
      </c>
      <c r="J11" s="5">
        <f t="shared" si="5"/>
        <v>48000</v>
      </c>
      <c r="K11" s="5">
        <f t="shared" si="6"/>
        <v>1632000</v>
      </c>
    </row>
    <row r="13" spans="1:11" ht="15.6">
      <c r="B13" s="72" t="s">
        <v>425</v>
      </c>
      <c r="C13" s="72"/>
      <c r="D13" s="72"/>
      <c r="E13" s="72"/>
      <c r="F13" s="72"/>
      <c r="G13" s="25"/>
      <c r="H13" s="72" t="s">
        <v>382</v>
      </c>
      <c r="I13" s="72"/>
    </row>
    <row r="14" spans="1:11" ht="15.6">
      <c r="B14" s="54" t="s">
        <v>133</v>
      </c>
      <c r="C14" s="54" t="s">
        <v>114</v>
      </c>
      <c r="D14" s="54" t="s">
        <v>426</v>
      </c>
      <c r="E14" s="54" t="s">
        <v>427</v>
      </c>
      <c r="F14" s="54" t="s">
        <v>428</v>
      </c>
      <c r="G14" s="25"/>
      <c r="H14" s="50" t="s">
        <v>429</v>
      </c>
      <c r="I14" s="50" t="s">
        <v>411</v>
      </c>
    </row>
    <row r="15" spans="1:11" ht="15.6">
      <c r="B15" s="5" t="s">
        <v>430</v>
      </c>
      <c r="C15" s="5" t="s">
        <v>433</v>
      </c>
      <c r="D15" s="5">
        <v>120000</v>
      </c>
      <c r="E15" s="5">
        <v>100000</v>
      </c>
      <c r="F15" s="53">
        <v>0.05</v>
      </c>
      <c r="G15" s="25"/>
      <c r="H15" s="5" t="s">
        <v>433</v>
      </c>
      <c r="I15" s="5">
        <f>SUMIF($C$3:$C$11,H15,$K$3:$K$11)</f>
        <v>19720000</v>
      </c>
    </row>
    <row r="16" spans="1:11" ht="15.6">
      <c r="B16" s="5" t="s">
        <v>431</v>
      </c>
      <c r="C16" s="5" t="s">
        <v>434</v>
      </c>
      <c r="D16" s="5">
        <v>140000</v>
      </c>
      <c r="E16" s="5">
        <v>120000</v>
      </c>
      <c r="F16" s="53">
        <v>0.1</v>
      </c>
      <c r="G16" s="25"/>
      <c r="H16" s="5" t="s">
        <v>434</v>
      </c>
      <c r="I16" s="5">
        <f t="shared" ref="I16:I17" si="7">SUMIF($C$3:$C$11,H16,$K$3:$K$11)</f>
        <v>4740000</v>
      </c>
    </row>
    <row r="17" spans="2:9" ht="15.6">
      <c r="B17" s="5" t="s">
        <v>432</v>
      </c>
      <c r="C17" s="5" t="s">
        <v>435</v>
      </c>
      <c r="D17" s="5">
        <v>80000</v>
      </c>
      <c r="E17" s="5">
        <v>60000</v>
      </c>
      <c r="F17" s="53">
        <v>0.03</v>
      </c>
      <c r="G17" s="25"/>
      <c r="H17" s="5" t="s">
        <v>435</v>
      </c>
      <c r="I17" s="5">
        <f t="shared" si="7"/>
        <v>4244000</v>
      </c>
    </row>
  </sheetData>
  <mergeCells count="3">
    <mergeCell ref="A1:I1"/>
    <mergeCell ref="B13:F13"/>
    <mergeCell ref="H13:I1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3"/>
  <sheetViews>
    <sheetView workbookViewId="0">
      <selection activeCell="C2" sqref="C2"/>
    </sheetView>
  </sheetViews>
  <sheetFormatPr defaultRowHeight="14.4"/>
  <cols>
    <col min="2" max="2" width="13.88671875" customWidth="1"/>
    <col min="3" max="3" width="20.109375" customWidth="1"/>
    <col min="4" max="4" width="12.44140625" customWidth="1"/>
    <col min="5" max="5" width="14.44140625" customWidth="1"/>
    <col min="6" max="6" width="13.6640625" customWidth="1"/>
    <col min="8" max="8" width="11.33203125" customWidth="1"/>
    <col min="9" max="9" width="11.6640625" customWidth="1"/>
  </cols>
  <sheetData>
    <row r="1" spans="1:11" ht="46.8">
      <c r="A1" s="7" t="s">
        <v>277</v>
      </c>
      <c r="B1" s="6" t="s">
        <v>414</v>
      </c>
      <c r="C1" s="7" t="s">
        <v>415</v>
      </c>
      <c r="D1" s="7" t="s">
        <v>389</v>
      </c>
      <c r="E1" s="6" t="s">
        <v>416</v>
      </c>
      <c r="F1" s="6" t="s">
        <v>328</v>
      </c>
      <c r="G1" s="6" t="s">
        <v>417</v>
      </c>
      <c r="H1" s="6" t="s">
        <v>418</v>
      </c>
      <c r="I1" s="6" t="s">
        <v>392</v>
      </c>
      <c r="J1" s="6" t="s">
        <v>436</v>
      </c>
      <c r="K1" s="6" t="s">
        <v>243</v>
      </c>
    </row>
    <row r="2" spans="1:11" ht="15.6">
      <c r="A2" s="5">
        <v>5</v>
      </c>
      <c r="B2" s="5" t="s">
        <v>422</v>
      </c>
      <c r="C2" s="5" t="s">
        <v>433</v>
      </c>
      <c r="D2" s="5" t="s">
        <v>437</v>
      </c>
      <c r="E2" s="8">
        <v>43128</v>
      </c>
      <c r="F2" s="5">
        <v>70</v>
      </c>
      <c r="G2" s="5">
        <v>120000</v>
      </c>
      <c r="H2" s="5">
        <v>840000</v>
      </c>
      <c r="I2" s="5">
        <v>8400000</v>
      </c>
      <c r="J2" s="5">
        <v>420000</v>
      </c>
      <c r="K2" s="5">
        <v>8820000</v>
      </c>
    </row>
    <row r="3" spans="1:11" ht="15.6">
      <c r="A3" s="5">
        <v>2</v>
      </c>
      <c r="B3" s="5" t="s">
        <v>421</v>
      </c>
      <c r="C3" s="5" t="s">
        <v>433</v>
      </c>
      <c r="D3" s="5" t="s">
        <v>438</v>
      </c>
      <c r="E3" s="8">
        <v>43114</v>
      </c>
      <c r="F3" s="5">
        <v>50</v>
      </c>
      <c r="G3" s="5">
        <v>100000</v>
      </c>
      <c r="H3" s="5">
        <v>250000</v>
      </c>
      <c r="I3" s="5">
        <v>5000000</v>
      </c>
      <c r="J3" s="5">
        <v>250000</v>
      </c>
      <c r="K3" s="5">
        <v>5000000</v>
      </c>
    </row>
    <row r="4" spans="1:11" ht="15.6">
      <c r="A4" s="5">
        <v>8</v>
      </c>
      <c r="B4" s="5" t="s">
        <v>421</v>
      </c>
      <c r="C4" s="5" t="s">
        <v>433</v>
      </c>
      <c r="D4" s="5" t="s">
        <v>438</v>
      </c>
      <c r="E4" s="8">
        <v>43144</v>
      </c>
      <c r="F4" s="5">
        <v>35</v>
      </c>
      <c r="G4" s="5">
        <v>100000</v>
      </c>
      <c r="H4" s="5">
        <v>175000</v>
      </c>
      <c r="I4" s="5">
        <v>3500000</v>
      </c>
      <c r="J4" s="5">
        <v>175000</v>
      </c>
      <c r="K4" s="5">
        <v>3500000</v>
      </c>
    </row>
    <row r="5" spans="1:11" ht="15.6">
      <c r="A5" s="5">
        <v>3</v>
      </c>
      <c r="B5" s="5" t="s">
        <v>422</v>
      </c>
      <c r="C5" s="5" t="s">
        <v>433</v>
      </c>
      <c r="D5" s="5" t="s">
        <v>437</v>
      </c>
      <c r="E5" s="8">
        <v>43120</v>
      </c>
      <c r="F5" s="5">
        <v>20</v>
      </c>
      <c r="G5" s="5">
        <v>120000</v>
      </c>
      <c r="H5" s="5">
        <v>120000</v>
      </c>
      <c r="I5" s="5">
        <v>2400000</v>
      </c>
      <c r="J5" s="5">
        <v>120000</v>
      </c>
      <c r="K5" s="5">
        <v>2400000</v>
      </c>
    </row>
    <row r="6" spans="1:11" ht="15.6">
      <c r="A6" s="5">
        <v>7</v>
      </c>
      <c r="B6" s="5" t="s">
        <v>424</v>
      </c>
      <c r="C6" s="5" t="s">
        <v>434</v>
      </c>
      <c r="D6" s="5" t="s">
        <v>438</v>
      </c>
      <c r="E6" s="8">
        <v>43141</v>
      </c>
      <c r="F6" s="5">
        <v>25</v>
      </c>
      <c r="G6" s="5">
        <v>120000</v>
      </c>
      <c r="H6" s="5">
        <v>150000</v>
      </c>
      <c r="I6" s="5">
        <v>3000000</v>
      </c>
      <c r="J6" s="5">
        <v>300000</v>
      </c>
      <c r="K6" s="5">
        <v>2850000</v>
      </c>
    </row>
    <row r="7" spans="1:11" ht="15.6">
      <c r="A7" s="5">
        <v>4</v>
      </c>
      <c r="B7" s="5" t="s">
        <v>423</v>
      </c>
      <c r="C7" s="5" t="s">
        <v>434</v>
      </c>
      <c r="D7" s="5" t="s">
        <v>437</v>
      </c>
      <c r="E7" s="8">
        <v>43127</v>
      </c>
      <c r="F7" s="5">
        <v>15</v>
      </c>
      <c r="G7" s="5">
        <v>140000</v>
      </c>
      <c r="H7" s="5">
        <v>0</v>
      </c>
      <c r="I7" s="5">
        <v>2100000</v>
      </c>
      <c r="J7" s="5">
        <v>210000</v>
      </c>
      <c r="K7" s="5">
        <v>1890000</v>
      </c>
    </row>
    <row r="8" spans="1:11" ht="15.6">
      <c r="A8" s="5">
        <v>6</v>
      </c>
      <c r="B8" s="5" t="s">
        <v>420</v>
      </c>
      <c r="C8" s="5" t="s">
        <v>435</v>
      </c>
      <c r="D8" s="5" t="s">
        <v>438</v>
      </c>
      <c r="E8" s="8">
        <v>43133</v>
      </c>
      <c r="F8" s="5">
        <v>30</v>
      </c>
      <c r="G8" s="5">
        <v>60000</v>
      </c>
      <c r="H8" s="5">
        <v>90000</v>
      </c>
      <c r="I8" s="5">
        <v>1800000</v>
      </c>
      <c r="J8" s="5">
        <v>54000</v>
      </c>
      <c r="K8" s="5">
        <v>1836000</v>
      </c>
    </row>
    <row r="9" spans="1:11" ht="15.6">
      <c r="A9" s="5">
        <v>9</v>
      </c>
      <c r="B9" s="5" t="s">
        <v>419</v>
      </c>
      <c r="C9" s="5" t="s">
        <v>435</v>
      </c>
      <c r="D9" s="5" t="s">
        <v>437</v>
      </c>
      <c r="E9" s="8">
        <v>43153</v>
      </c>
      <c r="F9" s="5">
        <v>20</v>
      </c>
      <c r="G9" s="5">
        <v>80000</v>
      </c>
      <c r="H9" s="5">
        <v>80000</v>
      </c>
      <c r="I9" s="5">
        <v>1600000</v>
      </c>
      <c r="J9" s="5">
        <v>48000</v>
      </c>
      <c r="K9" s="5">
        <v>1632000</v>
      </c>
    </row>
    <row r="10" spans="1:11" ht="15.6">
      <c r="A10" s="5">
        <v>1</v>
      </c>
      <c r="B10" s="5" t="s">
        <v>419</v>
      </c>
      <c r="C10" s="5" t="s">
        <v>435</v>
      </c>
      <c r="D10" s="5" t="s">
        <v>437</v>
      </c>
      <c r="E10" s="8">
        <v>43107</v>
      </c>
      <c r="F10" s="5">
        <v>10</v>
      </c>
      <c r="G10" s="5">
        <v>80000</v>
      </c>
      <c r="H10" s="5">
        <v>0</v>
      </c>
      <c r="I10" s="5">
        <v>800000</v>
      </c>
      <c r="J10" s="5">
        <v>24000</v>
      </c>
      <c r="K10" s="5">
        <v>776000</v>
      </c>
    </row>
    <row r="12" spans="1:11" ht="15.6">
      <c r="B12" s="5" t="s">
        <v>382</v>
      </c>
      <c r="C12" s="5"/>
    </row>
    <row r="13" spans="1:11" ht="15.6">
      <c r="B13" s="5" t="s">
        <v>429</v>
      </c>
      <c r="C13" s="5" t="s">
        <v>411</v>
      </c>
    </row>
    <row r="14" spans="1:11" ht="15.6">
      <c r="B14" s="5" t="s">
        <v>433</v>
      </c>
      <c r="C14" s="5">
        <v>19720000</v>
      </c>
    </row>
    <row r="15" spans="1:11" ht="15.6">
      <c r="B15" s="5" t="s">
        <v>434</v>
      </c>
      <c r="C15" s="5">
        <v>4740000</v>
      </c>
    </row>
    <row r="16" spans="1:11" ht="15.6">
      <c r="B16" s="5" t="s">
        <v>435</v>
      </c>
      <c r="C16" s="5">
        <v>4244000</v>
      </c>
    </row>
    <row r="18" spans="2:12" ht="31.2">
      <c r="B18" s="24" t="s">
        <v>415</v>
      </c>
      <c r="C18" s="55" t="s">
        <v>328</v>
      </c>
    </row>
    <row r="19" spans="2:12" ht="15.6">
      <c r="B19" s="25" t="s">
        <v>433</v>
      </c>
      <c r="C19" t="s">
        <v>439</v>
      </c>
    </row>
    <row r="21" spans="2:12" ht="31.2">
      <c r="B21" s="7" t="s">
        <v>277</v>
      </c>
      <c r="C21" s="6" t="s">
        <v>414</v>
      </c>
      <c r="D21" s="7" t="s">
        <v>415</v>
      </c>
      <c r="E21" s="7" t="s">
        <v>389</v>
      </c>
      <c r="F21" s="6" t="s">
        <v>416</v>
      </c>
      <c r="G21" s="6" t="s">
        <v>328</v>
      </c>
      <c r="H21" s="6" t="s">
        <v>417</v>
      </c>
      <c r="I21" s="6" t="s">
        <v>418</v>
      </c>
      <c r="J21" s="6" t="s">
        <v>392</v>
      </c>
      <c r="K21" s="6" t="s">
        <v>436</v>
      </c>
      <c r="L21" s="6" t="s">
        <v>243</v>
      </c>
    </row>
    <row r="22" spans="2:12" ht="15.6">
      <c r="B22" s="5">
        <v>5</v>
      </c>
      <c r="C22" s="5" t="s">
        <v>422</v>
      </c>
      <c r="D22" s="5" t="s">
        <v>433</v>
      </c>
      <c r="E22" s="5" t="s">
        <v>437</v>
      </c>
      <c r="F22" s="8">
        <v>43128</v>
      </c>
      <c r="G22" s="5">
        <v>70</v>
      </c>
      <c r="H22" s="5">
        <v>120000</v>
      </c>
      <c r="I22" s="5">
        <v>840000</v>
      </c>
      <c r="J22" s="5">
        <v>8400000</v>
      </c>
      <c r="K22" s="5">
        <v>420000</v>
      </c>
      <c r="L22" s="5">
        <v>8820000</v>
      </c>
    </row>
    <row r="23" spans="2:12" ht="15.6">
      <c r="B23" s="5">
        <v>2</v>
      </c>
      <c r="C23" s="5" t="s">
        <v>421</v>
      </c>
      <c r="D23" s="5" t="s">
        <v>433</v>
      </c>
      <c r="E23" s="5" t="s">
        <v>438</v>
      </c>
      <c r="F23" s="8">
        <v>43114</v>
      </c>
      <c r="G23" s="5">
        <v>50</v>
      </c>
      <c r="H23" s="5">
        <v>100000</v>
      </c>
      <c r="I23" s="5">
        <v>250000</v>
      </c>
      <c r="J23" s="5">
        <v>5000000</v>
      </c>
      <c r="K23" s="5">
        <v>250000</v>
      </c>
      <c r="L23" s="5">
        <v>5000000</v>
      </c>
    </row>
  </sheetData>
  <sortState xmlns:xlrd2="http://schemas.microsoft.com/office/spreadsheetml/2017/richdata2" ref="A2:K10">
    <sortCondition ref="C2:C10"/>
    <sortCondition descending="1" ref="I2:I10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3"/>
  <sheetViews>
    <sheetView tabSelected="1" zoomScale="70" zoomScaleNormal="70" workbookViewId="0">
      <selection activeCell="K27" sqref="K27"/>
    </sheetView>
  </sheetViews>
  <sheetFormatPr defaultRowHeight="14.4"/>
  <cols>
    <col min="1" max="1" width="16.33203125" customWidth="1"/>
    <col min="2" max="2" width="19.109375" customWidth="1"/>
    <col min="3" max="4" width="16.5546875" customWidth="1"/>
    <col min="5" max="5" width="14" customWidth="1"/>
    <col min="6" max="6" width="14.5546875" customWidth="1"/>
    <col min="7" max="7" width="15.44140625" customWidth="1"/>
    <col min="8" max="8" width="10.44140625" customWidth="1"/>
  </cols>
  <sheetData>
    <row r="1" spans="1:8" ht="18">
      <c r="A1" s="68" t="s">
        <v>440</v>
      </c>
      <c r="B1" s="68"/>
      <c r="C1" s="68"/>
      <c r="D1" s="68"/>
      <c r="E1" s="68"/>
      <c r="F1" s="68"/>
      <c r="G1" s="68"/>
      <c r="H1" s="68"/>
    </row>
    <row r="2" spans="1:8" ht="18">
      <c r="A2" s="68" t="str">
        <f ca="1">"QUÝ 2, NĂM " &amp; YEAR(TODAY())</f>
        <v>QUÝ 2, NĂM 2025</v>
      </c>
      <c r="B2" s="68"/>
      <c r="C2" s="68"/>
      <c r="D2" s="68"/>
      <c r="E2" s="68"/>
      <c r="F2" s="68"/>
      <c r="G2" s="68"/>
      <c r="H2" s="68"/>
    </row>
    <row r="3" spans="1:8" ht="15.6">
      <c r="A3" s="25"/>
      <c r="B3" s="25"/>
      <c r="C3" s="25"/>
      <c r="D3" s="25"/>
      <c r="E3" s="25"/>
      <c r="F3" s="25"/>
      <c r="G3" s="84" t="s">
        <v>441</v>
      </c>
      <c r="H3" s="84"/>
    </row>
    <row r="4" spans="1:8" ht="31.2">
      <c r="A4" s="38" t="s">
        <v>133</v>
      </c>
      <c r="B4" s="38" t="s">
        <v>114</v>
      </c>
      <c r="C4" s="38" t="s">
        <v>442</v>
      </c>
      <c r="D4" s="38" t="s">
        <v>134</v>
      </c>
      <c r="E4" s="38" t="s">
        <v>443</v>
      </c>
      <c r="F4" s="38" t="s">
        <v>444</v>
      </c>
      <c r="G4" s="39" t="s">
        <v>445</v>
      </c>
      <c r="H4" s="38" t="s">
        <v>60</v>
      </c>
    </row>
    <row r="5" spans="1:8" ht="15.6">
      <c r="A5" s="25" t="s">
        <v>446</v>
      </c>
      <c r="B5" s="25" t="str">
        <f>HLOOKUP(LEFT(A5,4),$A$15:$D$19,2,0)</f>
        <v>Thép tròn 20mm</v>
      </c>
      <c r="C5" s="25" t="str">
        <f>HLOOKUP(LEFT(A5,4),$A$15:$D$19,3,0)</f>
        <v>AU</v>
      </c>
      <c r="D5" s="25">
        <v>50</v>
      </c>
      <c r="E5" s="56">
        <v>45751</v>
      </c>
      <c r="F5" s="25">
        <f>IF(RIGHT(A5,1)="C",HLOOKUP(LEFT(A5,4),$A$15:$D$19,4,0),HLOOKUP(LEFT(A5,4),$A$15:$D$19,5,0))*D5</f>
        <v>22500</v>
      </c>
      <c r="G5" s="25">
        <f>D5*VLOOKUP(C5,$F$16:$H$18,3,0)</f>
        <v>6000</v>
      </c>
      <c r="H5" s="25">
        <f>IF(AND(RIGHT(A5,1)="C", MONTH(E5)=5), (F5 + G5) * 0.95, F5 + G5)</f>
        <v>28500</v>
      </c>
    </row>
    <row r="6" spans="1:8" ht="15.6">
      <c r="A6" s="25" t="s">
        <v>447</v>
      </c>
      <c r="B6" s="25" t="str">
        <f>HLOOKUP(LEFT(A6,4),$A$15:$D$19,2,0)</f>
        <v>Thép tấm 10mm</v>
      </c>
      <c r="C6" s="25" t="str">
        <f t="shared" ref="C6:C11" si="0">HLOOKUP(LEFT(A6,4),$A$15:$D$19,3,0)</f>
        <v>KO</v>
      </c>
      <c r="D6" s="25">
        <v>35</v>
      </c>
      <c r="E6" s="56">
        <v>45762</v>
      </c>
      <c r="F6" s="25">
        <f t="shared" ref="F6:F11" si="1">IF(RIGHT(A6,1)="C",HLOOKUP(LEFT(A6,4),$A$15:$D$19,4,0),HLOOKUP(LEFT(A6,4),$A$15:$D$19,5,0))*D6</f>
        <v>24500</v>
      </c>
      <c r="G6" s="25">
        <f t="shared" ref="G6:G11" si="2">D6*VLOOKUP(C6,$F$16:$H$18,3,0)</f>
        <v>3500</v>
      </c>
      <c r="H6" s="25">
        <f t="shared" ref="H6:H11" si="3">IF(AND(RIGHT(A6,1)="C", MONTH(E6)=5), (F6 + G6) * 0.95, F6 + G6)</f>
        <v>28000</v>
      </c>
    </row>
    <row r="7" spans="1:8" ht="15.6">
      <c r="A7" s="25" t="s">
        <v>448</v>
      </c>
      <c r="B7" s="25" t="str">
        <f t="shared" ref="B7:B11" si="4">HLOOKUP(LEFT(A7,4),$A$15:$D$19,2,0)</f>
        <v>Thép tròn 20mm</v>
      </c>
      <c r="C7" s="25" t="str">
        <f t="shared" si="0"/>
        <v>AU</v>
      </c>
      <c r="D7" s="25">
        <v>36</v>
      </c>
      <c r="E7" s="56">
        <v>45771</v>
      </c>
      <c r="F7" s="25">
        <f t="shared" si="1"/>
        <v>14400</v>
      </c>
      <c r="G7" s="25">
        <f t="shared" si="2"/>
        <v>4320</v>
      </c>
      <c r="H7" s="25">
        <f t="shared" si="3"/>
        <v>18720</v>
      </c>
    </row>
    <row r="8" spans="1:8" ht="15.6">
      <c r="A8" s="25" t="s">
        <v>449</v>
      </c>
      <c r="B8" s="25" t="str">
        <f t="shared" si="4"/>
        <v>Thép góc 5x5mm</v>
      </c>
      <c r="C8" s="25" t="str">
        <f t="shared" si="0"/>
        <v>GE</v>
      </c>
      <c r="D8" s="25">
        <v>70</v>
      </c>
      <c r="E8" s="56">
        <v>45779</v>
      </c>
      <c r="F8" s="25">
        <f t="shared" si="1"/>
        <v>36400</v>
      </c>
      <c r="G8" s="25">
        <f t="shared" si="2"/>
        <v>10500</v>
      </c>
      <c r="H8" s="25">
        <f t="shared" si="3"/>
        <v>44555</v>
      </c>
    </row>
    <row r="9" spans="1:8" ht="15.6">
      <c r="A9" s="25" t="s">
        <v>447</v>
      </c>
      <c r="B9" s="25" t="str">
        <f t="shared" si="4"/>
        <v>Thép tấm 10mm</v>
      </c>
      <c r="C9" s="25" t="str">
        <f t="shared" si="0"/>
        <v>KO</v>
      </c>
      <c r="D9" s="25">
        <v>45</v>
      </c>
      <c r="E9" s="56">
        <v>45789</v>
      </c>
      <c r="F9" s="25">
        <f t="shared" si="1"/>
        <v>31500</v>
      </c>
      <c r="G9" s="25">
        <f t="shared" si="2"/>
        <v>4500</v>
      </c>
      <c r="H9" s="25">
        <f t="shared" si="3"/>
        <v>34200</v>
      </c>
    </row>
    <row r="10" spans="1:8" ht="15.6">
      <c r="A10" s="25" t="s">
        <v>450</v>
      </c>
      <c r="B10" s="25" t="str">
        <f t="shared" si="4"/>
        <v>Thép góc 5x5mm</v>
      </c>
      <c r="C10" s="25" t="str">
        <f t="shared" si="0"/>
        <v>GE</v>
      </c>
      <c r="D10" s="25">
        <v>12</v>
      </c>
      <c r="E10" s="56">
        <v>45801</v>
      </c>
      <c r="F10" s="25">
        <f t="shared" si="1"/>
        <v>5640</v>
      </c>
      <c r="G10" s="25">
        <f t="shared" si="2"/>
        <v>1800</v>
      </c>
      <c r="H10" s="25">
        <f t="shared" si="3"/>
        <v>7440</v>
      </c>
    </row>
    <row r="11" spans="1:8" ht="15.6">
      <c r="A11" s="25" t="s">
        <v>451</v>
      </c>
      <c r="B11" s="25" t="str">
        <f t="shared" si="4"/>
        <v>Thép tấm 10mm</v>
      </c>
      <c r="C11" s="25" t="str">
        <f t="shared" si="0"/>
        <v>KO</v>
      </c>
      <c r="D11" s="25">
        <v>60</v>
      </c>
      <c r="E11" s="56">
        <v>45803</v>
      </c>
      <c r="F11" s="25">
        <f t="shared" si="1"/>
        <v>38400</v>
      </c>
      <c r="G11" s="25">
        <f t="shared" si="2"/>
        <v>6000</v>
      </c>
      <c r="H11" s="25">
        <f t="shared" si="3"/>
        <v>44400</v>
      </c>
    </row>
    <row r="12" spans="1:8" ht="15.6">
      <c r="A12" s="25"/>
      <c r="B12" s="25"/>
      <c r="C12" s="25"/>
      <c r="D12" s="25"/>
      <c r="E12" s="25"/>
      <c r="F12" s="25"/>
      <c r="G12" s="25"/>
      <c r="H12" s="25"/>
    </row>
    <row r="13" spans="1:8" ht="15.6">
      <c r="A13" s="25"/>
      <c r="B13" s="25"/>
      <c r="C13" s="25"/>
      <c r="D13" s="25"/>
      <c r="E13" s="25"/>
      <c r="F13" s="25"/>
      <c r="G13" s="25"/>
      <c r="H13" s="25"/>
    </row>
    <row r="14" spans="1:8" ht="15.6">
      <c r="A14" s="85" t="s">
        <v>452</v>
      </c>
      <c r="B14" s="85"/>
      <c r="C14" s="85"/>
      <c r="D14" s="85"/>
      <c r="E14" s="25"/>
      <c r="F14" s="86" t="s">
        <v>464</v>
      </c>
      <c r="G14" s="86"/>
      <c r="H14" s="86"/>
    </row>
    <row r="15" spans="1:8" ht="15.6">
      <c r="A15" s="5" t="s">
        <v>133</v>
      </c>
      <c r="B15" s="5" t="s">
        <v>455</v>
      </c>
      <c r="C15" s="5" t="s">
        <v>456</v>
      </c>
      <c r="D15" s="5" t="s">
        <v>457</v>
      </c>
      <c r="E15" s="25"/>
      <c r="F15" s="5" t="s">
        <v>442</v>
      </c>
      <c r="G15" s="5" t="s">
        <v>465</v>
      </c>
      <c r="H15" s="5" t="s">
        <v>466</v>
      </c>
    </row>
    <row r="16" spans="1:8" ht="15.6">
      <c r="A16" s="5" t="s">
        <v>114</v>
      </c>
      <c r="B16" s="5" t="s">
        <v>458</v>
      </c>
      <c r="C16" s="5" t="s">
        <v>459</v>
      </c>
      <c r="D16" s="5" t="s">
        <v>460</v>
      </c>
      <c r="E16" s="25"/>
      <c r="F16" s="5" t="s">
        <v>461</v>
      </c>
      <c r="G16" s="5" t="s">
        <v>467</v>
      </c>
      <c r="H16" s="5">
        <v>120</v>
      </c>
    </row>
    <row r="17" spans="1:8" ht="15.6">
      <c r="A17" s="5" t="s">
        <v>442</v>
      </c>
      <c r="B17" s="5" t="s">
        <v>461</v>
      </c>
      <c r="C17" s="5" t="s">
        <v>462</v>
      </c>
      <c r="D17" s="5" t="s">
        <v>463</v>
      </c>
      <c r="E17" s="25"/>
      <c r="F17" s="5" t="s">
        <v>462</v>
      </c>
      <c r="G17" s="5" t="s">
        <v>468</v>
      </c>
      <c r="H17" s="5">
        <v>100</v>
      </c>
    </row>
    <row r="18" spans="1:8" ht="15.6">
      <c r="A18" s="5" t="s">
        <v>453</v>
      </c>
      <c r="B18" s="5">
        <v>450</v>
      </c>
      <c r="C18" s="5">
        <v>700</v>
      </c>
      <c r="D18" s="5">
        <v>520</v>
      </c>
      <c r="E18" s="25"/>
      <c r="F18" s="5" t="s">
        <v>463</v>
      </c>
      <c r="G18" s="5" t="s">
        <v>469</v>
      </c>
      <c r="H18" s="5">
        <v>150</v>
      </c>
    </row>
    <row r="19" spans="1:8" ht="15.6">
      <c r="A19" s="5" t="s">
        <v>454</v>
      </c>
      <c r="B19" s="5">
        <v>400</v>
      </c>
      <c r="C19" s="5">
        <v>640</v>
      </c>
      <c r="D19" s="5">
        <v>470</v>
      </c>
      <c r="E19" s="25"/>
      <c r="F19" s="25"/>
      <c r="G19" s="25"/>
      <c r="H19" s="25"/>
    </row>
    <row r="21" spans="1:8" ht="15.6">
      <c r="A21" s="81" t="s">
        <v>412</v>
      </c>
      <c r="B21" s="82"/>
      <c r="C21" s="82"/>
      <c r="D21" s="83"/>
      <c r="F21" t="s">
        <v>114</v>
      </c>
      <c r="G21" t="s">
        <v>442</v>
      </c>
      <c r="H21" t="s">
        <v>134</v>
      </c>
    </row>
    <row r="22" spans="1:8" ht="15.6">
      <c r="A22" s="5" t="s">
        <v>470</v>
      </c>
      <c r="B22" s="5" t="s">
        <v>455</v>
      </c>
      <c r="C22" s="5" t="s">
        <v>456</v>
      </c>
      <c r="D22" s="5" t="s">
        <v>457</v>
      </c>
      <c r="F22" t="s">
        <v>460</v>
      </c>
      <c r="G22" t="s">
        <v>463</v>
      </c>
      <c r="H22" t="s">
        <v>439</v>
      </c>
    </row>
    <row r="23" spans="1:8" ht="15.6">
      <c r="A23" s="5" t="s">
        <v>134</v>
      </c>
      <c r="B23" s="5">
        <f>SUMIF($A$5:$A$11,B22&amp;"*",$H$5:$H$11)</f>
        <v>47220</v>
      </c>
      <c r="C23" s="5">
        <f t="shared" ref="C23:D23" si="5">SUMIF($A$5:$A$11,C22&amp;"*",$H$5:$H$11)</f>
        <v>106600</v>
      </c>
      <c r="D23" s="5">
        <f t="shared" si="5"/>
        <v>51995</v>
      </c>
      <c r="F23" t="s">
        <v>459</v>
      </c>
      <c r="G23" t="s">
        <v>462</v>
      </c>
      <c r="H23" t="s">
        <v>471</v>
      </c>
    </row>
  </sheetData>
  <mergeCells count="6">
    <mergeCell ref="A21:D21"/>
    <mergeCell ref="A1:H1"/>
    <mergeCell ref="A2:H2"/>
    <mergeCell ref="G3:H3"/>
    <mergeCell ref="A14:D14"/>
    <mergeCell ref="F14:H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L17" sqref="L17"/>
    </sheetView>
  </sheetViews>
  <sheetFormatPr defaultRowHeight="14.4"/>
  <cols>
    <col min="1" max="1" width="19.44140625" customWidth="1"/>
    <col min="2" max="2" width="16" customWidth="1"/>
    <col min="3" max="3" width="13.44140625" customWidth="1"/>
    <col min="5" max="5" width="11.109375" customWidth="1"/>
    <col min="6" max="6" width="13.5546875" customWidth="1"/>
    <col min="7" max="7" width="10.33203125" customWidth="1"/>
    <col min="8" max="8" width="14.88671875" customWidth="1"/>
    <col min="9" max="9" width="11.44140625" customWidth="1"/>
  </cols>
  <sheetData>
    <row r="1" spans="1:9" ht="18">
      <c r="A1" s="68" t="s">
        <v>32</v>
      </c>
      <c r="B1" s="69"/>
      <c r="C1" s="69"/>
      <c r="D1" s="69"/>
      <c r="E1" s="69"/>
      <c r="F1" s="69"/>
      <c r="G1" s="69"/>
      <c r="H1" s="69"/>
      <c r="I1" s="69"/>
    </row>
    <row r="2" spans="1:9" ht="32.25" customHeight="1">
      <c r="A2" s="7" t="s">
        <v>69</v>
      </c>
      <c r="B2" s="6" t="s">
        <v>33</v>
      </c>
      <c r="C2" s="7" t="s">
        <v>34</v>
      </c>
      <c r="D2" s="7" t="s">
        <v>35</v>
      </c>
      <c r="E2" s="7" t="s">
        <v>36</v>
      </c>
      <c r="F2" s="7" t="s">
        <v>37</v>
      </c>
      <c r="G2" s="7" t="s">
        <v>38</v>
      </c>
      <c r="H2" s="7" t="s">
        <v>39</v>
      </c>
      <c r="I2" s="7" t="s">
        <v>40</v>
      </c>
    </row>
    <row r="3" spans="1:9" ht="15.6">
      <c r="A3" s="5" t="s">
        <v>41</v>
      </c>
      <c r="B3" s="7" t="s">
        <v>47</v>
      </c>
      <c r="C3" s="8">
        <v>42428</v>
      </c>
      <c r="D3" s="9" t="s">
        <v>50</v>
      </c>
      <c r="E3" s="5">
        <v>35</v>
      </c>
      <c r="F3" s="5" t="str">
        <f>IF(WEEKDAY(C3)=1,"Chủ Nhật",IF(WEEKDAY(C3)=7,"Thứ Bảy",""))</f>
        <v>Chủ Nhật</v>
      </c>
      <c r="G3" s="5">
        <f>IF(B3="A",50000,IF(B3="B",80000,100000))</f>
        <v>50000</v>
      </c>
      <c r="H3" s="10">
        <f>IF(OR(F3="Chủ Nhật",F3="Thứ Bảy"),E3*G3+ 30%*E3*G3,E3*G3)</f>
        <v>2275000</v>
      </c>
      <c r="I3" s="10">
        <f>IF(AND(D3="01",B3="A"),15%*H3,0)</f>
        <v>341250</v>
      </c>
    </row>
    <row r="4" spans="1:9" ht="15.6">
      <c r="A4" s="5" t="s">
        <v>42</v>
      </c>
      <c r="B4" s="7" t="s">
        <v>48</v>
      </c>
      <c r="C4" s="8">
        <v>42430</v>
      </c>
      <c r="D4" s="9" t="s">
        <v>51</v>
      </c>
      <c r="E4" s="5">
        <v>55</v>
      </c>
      <c r="F4" s="5" t="str">
        <f t="shared" ref="F4:F8" si="0">IF(WEEKDAY(C4)=1,"Chủ Nhật",IF(WEEKDAY(C4)=7,"Thứ Bảy",""))</f>
        <v/>
      </c>
      <c r="G4" s="5">
        <f t="shared" ref="G4:G8" si="1">IF(B4="A",50000,IF(B4="B",80000,100000))</f>
        <v>80000</v>
      </c>
      <c r="H4" s="10">
        <f t="shared" ref="H4:H8" si="2">IF(OR(F4="Chủ Nhật",F4="Thứ Bảy"),E4*G4+ 30%*E4*G4,E4*G4)</f>
        <v>4400000</v>
      </c>
      <c r="I4" s="5">
        <f t="shared" ref="I4:I8" si="3">IF(AND(D4="01",B4="A"),15%*H4,0)</f>
        <v>0</v>
      </c>
    </row>
    <row r="5" spans="1:9" ht="15.6">
      <c r="A5" s="5" t="s">
        <v>43</v>
      </c>
      <c r="B5" s="7" t="s">
        <v>49</v>
      </c>
      <c r="C5" s="8">
        <v>42431</v>
      </c>
      <c r="D5" s="9" t="s">
        <v>52</v>
      </c>
      <c r="E5" s="5">
        <v>25</v>
      </c>
      <c r="F5" s="5" t="str">
        <f t="shared" si="0"/>
        <v/>
      </c>
      <c r="G5" s="5">
        <f t="shared" si="1"/>
        <v>100000</v>
      </c>
      <c r="H5" s="10">
        <f t="shared" si="2"/>
        <v>2500000</v>
      </c>
      <c r="I5" s="5">
        <f t="shared" si="3"/>
        <v>0</v>
      </c>
    </row>
    <row r="6" spans="1:9" ht="15.6">
      <c r="A6" s="5" t="s">
        <v>44</v>
      </c>
      <c r="B6" s="7" t="s">
        <v>48</v>
      </c>
      <c r="C6" s="8">
        <v>42430</v>
      </c>
      <c r="D6" s="9" t="s">
        <v>50</v>
      </c>
      <c r="E6" s="5">
        <v>60</v>
      </c>
      <c r="F6" s="5" t="str">
        <f t="shared" si="0"/>
        <v/>
      </c>
      <c r="G6" s="5">
        <f t="shared" si="1"/>
        <v>80000</v>
      </c>
      <c r="H6" s="10">
        <f t="shared" si="2"/>
        <v>4800000</v>
      </c>
      <c r="I6" s="5">
        <f t="shared" si="3"/>
        <v>0</v>
      </c>
    </row>
    <row r="7" spans="1:9" ht="15.6">
      <c r="A7" s="5" t="s">
        <v>45</v>
      </c>
      <c r="B7" s="7" t="s">
        <v>49</v>
      </c>
      <c r="C7" s="8">
        <v>42431</v>
      </c>
      <c r="D7" s="9" t="s">
        <v>51</v>
      </c>
      <c r="E7" s="5">
        <v>50</v>
      </c>
      <c r="F7" s="5" t="str">
        <f t="shared" si="0"/>
        <v/>
      </c>
      <c r="G7" s="5">
        <f t="shared" si="1"/>
        <v>100000</v>
      </c>
      <c r="H7" s="10">
        <f t="shared" si="2"/>
        <v>5000000</v>
      </c>
      <c r="I7" s="5">
        <f t="shared" si="3"/>
        <v>0</v>
      </c>
    </row>
    <row r="8" spans="1:9" ht="15.6">
      <c r="A8" s="5" t="s">
        <v>46</v>
      </c>
      <c r="B8" s="7" t="s">
        <v>49</v>
      </c>
      <c r="C8" s="8">
        <v>42434</v>
      </c>
      <c r="D8" s="9" t="s">
        <v>51</v>
      </c>
      <c r="E8" s="5">
        <v>45</v>
      </c>
      <c r="F8" s="5" t="str">
        <f t="shared" si="0"/>
        <v>Thứ Bảy</v>
      </c>
      <c r="G8" s="5">
        <f t="shared" si="1"/>
        <v>100000</v>
      </c>
      <c r="H8" s="10">
        <f t="shared" si="2"/>
        <v>5850000</v>
      </c>
      <c r="I8" s="5">
        <f t="shared" si="3"/>
        <v>0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7"/>
  <sheetViews>
    <sheetView topLeftCell="A11" workbookViewId="0">
      <selection activeCell="I17" sqref="A4:I17"/>
    </sheetView>
  </sheetViews>
  <sheetFormatPr defaultRowHeight="14.4"/>
  <cols>
    <col min="2" max="2" width="16.5546875" customWidth="1"/>
    <col min="3" max="3" width="17.33203125" customWidth="1"/>
    <col min="7" max="7" width="16.5546875" customWidth="1"/>
    <col min="8" max="8" width="14.44140625" customWidth="1"/>
    <col min="9" max="9" width="12.109375" customWidth="1"/>
  </cols>
  <sheetData>
    <row r="1" spans="1:9" ht="31.2">
      <c r="A1" s="5" t="s">
        <v>133</v>
      </c>
      <c r="B1" s="5" t="s">
        <v>114</v>
      </c>
      <c r="C1" s="5" t="s">
        <v>442</v>
      </c>
      <c r="D1" s="5" t="s">
        <v>134</v>
      </c>
      <c r="E1" s="5" t="s">
        <v>443</v>
      </c>
      <c r="F1" s="5" t="s">
        <v>444</v>
      </c>
      <c r="G1" s="17" t="s">
        <v>445</v>
      </c>
      <c r="H1" s="5" t="s">
        <v>60</v>
      </c>
      <c r="I1" s="25"/>
    </row>
    <row r="2" spans="1:9" ht="15.6">
      <c r="A2" s="5" t="s">
        <v>446</v>
      </c>
      <c r="B2" s="5" t="s">
        <v>458</v>
      </c>
      <c r="C2" s="5" t="s">
        <v>461</v>
      </c>
      <c r="D2" s="5">
        <v>50</v>
      </c>
      <c r="E2" s="5">
        <v>45751</v>
      </c>
      <c r="F2" s="5">
        <v>22500</v>
      </c>
      <c r="G2" s="5">
        <v>6000</v>
      </c>
      <c r="H2" s="5">
        <v>27075</v>
      </c>
      <c r="I2" s="25"/>
    </row>
    <row r="3" spans="1:9" ht="15.6">
      <c r="A3" s="5" t="s">
        <v>448</v>
      </c>
      <c r="B3" s="5" t="s">
        <v>458</v>
      </c>
      <c r="C3" s="5" t="s">
        <v>461</v>
      </c>
      <c r="D3" s="5">
        <v>36</v>
      </c>
      <c r="E3" s="5">
        <v>45771</v>
      </c>
      <c r="F3" s="5">
        <v>14400</v>
      </c>
      <c r="G3" s="5">
        <v>4320</v>
      </c>
      <c r="H3" s="5">
        <v>18720</v>
      </c>
      <c r="I3" s="25"/>
    </row>
    <row r="4" spans="1:9" ht="15.6">
      <c r="A4" s="5" t="s">
        <v>449</v>
      </c>
      <c r="B4" s="5" t="s">
        <v>460</v>
      </c>
      <c r="C4" s="5" t="s">
        <v>463</v>
      </c>
      <c r="D4" s="5">
        <v>70</v>
      </c>
      <c r="E4" s="5">
        <v>45779</v>
      </c>
      <c r="F4" s="5">
        <v>36400</v>
      </c>
      <c r="G4" s="5">
        <v>10500</v>
      </c>
      <c r="H4" s="5">
        <v>44555</v>
      </c>
      <c r="I4" s="25"/>
    </row>
    <row r="5" spans="1:9" ht="15.6">
      <c r="A5" s="5" t="s">
        <v>450</v>
      </c>
      <c r="B5" s="5" t="s">
        <v>460</v>
      </c>
      <c r="C5" s="5" t="s">
        <v>463</v>
      </c>
      <c r="D5" s="5">
        <v>12</v>
      </c>
      <c r="E5" s="5">
        <v>45801</v>
      </c>
      <c r="F5" s="5">
        <v>5640</v>
      </c>
      <c r="G5" s="5">
        <v>1800</v>
      </c>
      <c r="H5" s="5">
        <v>7440</v>
      </c>
      <c r="I5" s="25"/>
    </row>
    <row r="6" spans="1:9" ht="15.6">
      <c r="A6" s="5" t="s">
        <v>451</v>
      </c>
      <c r="B6" s="5" t="s">
        <v>459</v>
      </c>
      <c r="C6" s="5" t="s">
        <v>462</v>
      </c>
      <c r="D6" s="5">
        <v>60</v>
      </c>
      <c r="E6" s="5">
        <v>45803</v>
      </c>
      <c r="F6" s="5">
        <v>38400</v>
      </c>
      <c r="G6" s="5">
        <v>6000</v>
      </c>
      <c r="H6" s="5">
        <v>44400</v>
      </c>
      <c r="I6" s="25"/>
    </row>
    <row r="7" spans="1:9" ht="15.6">
      <c r="A7" s="5" t="s">
        <v>447</v>
      </c>
      <c r="B7" s="5" t="s">
        <v>459</v>
      </c>
      <c r="C7" s="5" t="s">
        <v>462</v>
      </c>
      <c r="D7" s="5">
        <v>45</v>
      </c>
      <c r="E7" s="5">
        <v>45789</v>
      </c>
      <c r="F7" s="5">
        <v>31500</v>
      </c>
      <c r="G7" s="5">
        <v>4500</v>
      </c>
      <c r="H7" s="5">
        <v>34200</v>
      </c>
      <c r="I7" s="25"/>
    </row>
    <row r="8" spans="1:9" ht="15.6">
      <c r="A8" s="5" t="s">
        <v>447</v>
      </c>
      <c r="B8" s="5" t="s">
        <v>459</v>
      </c>
      <c r="C8" s="5" t="s">
        <v>462</v>
      </c>
      <c r="D8" s="5">
        <v>35</v>
      </c>
      <c r="E8" s="5">
        <v>45762</v>
      </c>
      <c r="F8" s="5">
        <v>24500</v>
      </c>
      <c r="G8" s="5">
        <v>3500</v>
      </c>
      <c r="H8" s="5">
        <v>26600</v>
      </c>
      <c r="I8" s="25"/>
    </row>
    <row r="9" spans="1:9" ht="15.6">
      <c r="A9" s="25"/>
      <c r="B9" s="25"/>
      <c r="C9" s="25"/>
      <c r="D9" s="25"/>
      <c r="E9" s="25"/>
      <c r="F9" s="25"/>
      <c r="G9" s="25"/>
      <c r="H9" s="25"/>
      <c r="I9" s="25"/>
    </row>
    <row r="10" spans="1:9" ht="15.6">
      <c r="A10" s="25"/>
      <c r="B10" s="72" t="s">
        <v>412</v>
      </c>
      <c r="C10" s="72"/>
      <c r="D10" s="72"/>
      <c r="E10" s="72"/>
      <c r="F10" s="25"/>
      <c r="G10" s="25" t="s">
        <v>114</v>
      </c>
      <c r="H10" s="25" t="s">
        <v>442</v>
      </c>
      <c r="I10" s="25" t="s">
        <v>134</v>
      </c>
    </row>
    <row r="11" spans="1:9" ht="15.6">
      <c r="A11" s="25"/>
      <c r="B11" s="5" t="s">
        <v>470</v>
      </c>
      <c r="C11" s="5" t="s">
        <v>455</v>
      </c>
      <c r="D11" s="5" t="s">
        <v>456</v>
      </c>
      <c r="E11" s="5" t="s">
        <v>457</v>
      </c>
      <c r="F11" s="25"/>
      <c r="G11" s="25" t="s">
        <v>460</v>
      </c>
      <c r="H11" s="25" t="s">
        <v>463</v>
      </c>
      <c r="I11" s="25" t="s">
        <v>439</v>
      </c>
    </row>
    <row r="12" spans="1:9" ht="15.6">
      <c r="A12" s="25"/>
      <c r="B12" s="5" t="s">
        <v>134</v>
      </c>
      <c r="C12" s="5">
        <v>45795</v>
      </c>
      <c r="D12" s="5">
        <v>105200</v>
      </c>
      <c r="E12" s="5">
        <v>51995</v>
      </c>
      <c r="F12" s="25"/>
      <c r="G12" s="25" t="s">
        <v>459</v>
      </c>
      <c r="H12" s="25" t="s">
        <v>462</v>
      </c>
      <c r="I12" s="25" t="s">
        <v>471</v>
      </c>
    </row>
    <row r="13" spans="1:9" ht="15.6">
      <c r="A13" s="25"/>
      <c r="B13" s="25"/>
      <c r="C13" s="25"/>
      <c r="D13" s="25"/>
      <c r="E13" s="25"/>
      <c r="F13" s="25"/>
      <c r="G13" s="25"/>
      <c r="H13" s="25"/>
      <c r="I13" s="25"/>
    </row>
    <row r="14" spans="1:9" ht="31.2">
      <c r="A14" s="25"/>
      <c r="B14" s="5" t="s">
        <v>133</v>
      </c>
      <c r="C14" s="5" t="s">
        <v>114</v>
      </c>
      <c r="D14" s="5" t="s">
        <v>442</v>
      </c>
      <c r="E14" s="5" t="s">
        <v>134</v>
      </c>
      <c r="F14" s="5" t="s">
        <v>443</v>
      </c>
      <c r="G14" s="5" t="s">
        <v>444</v>
      </c>
      <c r="H14" s="17" t="s">
        <v>445</v>
      </c>
      <c r="I14" s="5" t="s">
        <v>60</v>
      </c>
    </row>
    <row r="15" spans="1:9" ht="15.6">
      <c r="A15" s="25"/>
      <c r="B15" s="5" t="s">
        <v>449</v>
      </c>
      <c r="C15" s="5" t="s">
        <v>460</v>
      </c>
      <c r="D15" s="5" t="s">
        <v>463</v>
      </c>
      <c r="E15" s="5">
        <v>70</v>
      </c>
      <c r="F15" s="5">
        <v>45779</v>
      </c>
      <c r="G15" s="5">
        <v>36400</v>
      </c>
      <c r="H15" s="5">
        <v>10500</v>
      </c>
      <c r="I15" s="5">
        <v>44555</v>
      </c>
    </row>
    <row r="16" spans="1:9" ht="15.6">
      <c r="A16" s="25"/>
      <c r="B16" s="5" t="s">
        <v>447</v>
      </c>
      <c r="C16" s="5" t="s">
        <v>459</v>
      </c>
      <c r="D16" s="5" t="s">
        <v>462</v>
      </c>
      <c r="E16" s="5">
        <v>45</v>
      </c>
      <c r="F16" s="5">
        <v>45789</v>
      </c>
      <c r="G16" s="5">
        <v>31500</v>
      </c>
      <c r="H16" s="5">
        <v>4500</v>
      </c>
      <c r="I16" s="5">
        <v>34200</v>
      </c>
    </row>
    <row r="17" spans="1:9" ht="15.6">
      <c r="A17" s="25"/>
      <c r="B17" s="5" t="s">
        <v>447</v>
      </c>
      <c r="C17" s="5" t="s">
        <v>459</v>
      </c>
      <c r="D17" s="5" t="s">
        <v>462</v>
      </c>
      <c r="E17" s="5">
        <v>35</v>
      </c>
      <c r="F17" s="5">
        <v>45762</v>
      </c>
      <c r="G17" s="5">
        <v>24500</v>
      </c>
      <c r="H17" s="5">
        <v>3500</v>
      </c>
      <c r="I17" s="5">
        <v>26600</v>
      </c>
    </row>
  </sheetData>
  <sortState xmlns:xlrd2="http://schemas.microsoft.com/office/spreadsheetml/2017/richdata2" ref="A2:H8">
    <sortCondition ref="C2:C8"/>
    <sortCondition descending="1" ref="D2:D8"/>
  </sortState>
  <mergeCells count="1">
    <mergeCell ref="B10:E10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27"/>
  <sheetViews>
    <sheetView topLeftCell="A3" workbookViewId="0">
      <selection activeCell="I4" sqref="I4"/>
    </sheetView>
  </sheetViews>
  <sheetFormatPr defaultRowHeight="14.4"/>
  <cols>
    <col min="3" max="3" width="14.21875" customWidth="1"/>
    <col min="4" max="4" width="14.44140625" customWidth="1"/>
    <col min="5" max="5" width="12" customWidth="1"/>
    <col min="6" max="6" width="10.44140625" customWidth="1"/>
    <col min="7" max="7" width="15" customWidth="1"/>
    <col min="8" max="8" width="13.33203125" customWidth="1"/>
    <col min="9" max="9" width="13.109375" customWidth="1"/>
    <col min="10" max="10" width="14.21875" customWidth="1"/>
    <col min="11" max="11" width="20.5546875" customWidth="1"/>
    <col min="13" max="13" width="12.6640625" customWidth="1"/>
    <col min="14" max="14" width="12.88671875" customWidth="1"/>
    <col min="15" max="15" width="13.77734375" bestFit="1" customWidth="1"/>
    <col min="16" max="16" width="12.5546875" bestFit="1" customWidth="1"/>
    <col min="17" max="17" width="13.6640625" customWidth="1"/>
    <col min="18" max="18" width="14.109375" customWidth="1"/>
  </cols>
  <sheetData>
    <row r="1" spans="1:11" ht="17.399999999999999">
      <c r="A1" s="76" t="s">
        <v>472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15.6">
      <c r="I2" s="25" t="s">
        <v>473</v>
      </c>
      <c r="J2" s="57">
        <v>23500</v>
      </c>
    </row>
    <row r="3" spans="1:11" ht="43.2" customHeight="1">
      <c r="A3" s="58" t="s">
        <v>277</v>
      </c>
      <c r="B3" s="58" t="s">
        <v>474</v>
      </c>
      <c r="C3" s="58" t="s">
        <v>171</v>
      </c>
      <c r="D3" s="58" t="s">
        <v>475</v>
      </c>
      <c r="E3" s="58" t="s">
        <v>476</v>
      </c>
      <c r="F3" s="58" t="s">
        <v>477</v>
      </c>
      <c r="G3" s="59" t="s">
        <v>478</v>
      </c>
      <c r="H3" s="58" t="s">
        <v>479</v>
      </c>
      <c r="I3" s="58" t="s">
        <v>480</v>
      </c>
      <c r="J3" s="58" t="s">
        <v>481</v>
      </c>
      <c r="K3" s="25"/>
    </row>
    <row r="4" spans="1:11" ht="15.6">
      <c r="A4" s="25">
        <v>1</v>
      </c>
      <c r="B4" s="25" t="s">
        <v>482</v>
      </c>
      <c r="C4" s="25" t="str">
        <f>VLOOKUP(LEFT(B4,2),$B$13:$D$15,2,0)</f>
        <v>Xe trẻ em</v>
      </c>
      <c r="D4" s="25">
        <f>MID(B4,3,1)*10</f>
        <v>30</v>
      </c>
      <c r="E4" s="25">
        <v>200</v>
      </c>
      <c r="F4" s="25" t="s">
        <v>488</v>
      </c>
      <c r="G4" s="34">
        <f>D4*E4*IF(F4="USD",$J$2,1)</f>
        <v>141000000</v>
      </c>
      <c r="H4" s="34">
        <f>IF(RIGHT(B4,2)="NK",G4*VLOOKUP(LEFT(B4,2),$B$13:$D$15,3,0),0)</f>
        <v>4230000</v>
      </c>
      <c r="I4" s="34">
        <f>IF(RIGHT(B4,2)="NK",IF(C4="Xe đua",G4*10%,G4*5%),G4*1%)</f>
        <v>7050000</v>
      </c>
      <c r="J4" s="34">
        <f>G4+H4+I4</f>
        <v>152280000</v>
      </c>
      <c r="K4" s="25"/>
    </row>
    <row r="5" spans="1:11" ht="15.6">
      <c r="A5" s="25">
        <v>2</v>
      </c>
      <c r="B5" s="25" t="s">
        <v>483</v>
      </c>
      <c r="C5" s="25" t="str">
        <f t="shared" ref="C5:C9" si="0">VLOOKUP(LEFT(B5,2),$B$13:$D$15,2,0)</f>
        <v>Xe đua</v>
      </c>
      <c r="D5" s="25">
        <f t="shared" ref="D5:D9" si="1">MID(B5,3,1)*10</f>
        <v>20</v>
      </c>
      <c r="E5" s="57">
        <v>16800000</v>
      </c>
      <c r="F5" s="25" t="s">
        <v>489</v>
      </c>
      <c r="G5" s="34">
        <f t="shared" ref="G5:G9" si="2">D5*E5*IF(F5="USD",$J$2,1)</f>
        <v>336000000</v>
      </c>
      <c r="H5" s="34">
        <f t="shared" ref="H5:H9" si="3">IF(RIGHT(B5,2)="NK",G5*VLOOKUP(LEFT(B5,2),$B$13:$D$15,3,0),0)</f>
        <v>0</v>
      </c>
      <c r="I5" s="34">
        <f t="shared" ref="I5:I9" si="4">IF(RIGHT(B5,2)="NK",IF(C5="Xe đua",G5*10%,G5*5%),G5*1%)</f>
        <v>3360000</v>
      </c>
      <c r="J5" s="34">
        <f t="shared" ref="J5:J9" si="5">G5+H5+I5</f>
        <v>339360000</v>
      </c>
      <c r="K5" s="25"/>
    </row>
    <row r="6" spans="1:11" ht="15.6">
      <c r="A6" s="25">
        <v>3</v>
      </c>
      <c r="B6" s="25" t="s">
        <v>484</v>
      </c>
      <c r="C6" s="25" t="str">
        <f t="shared" si="0"/>
        <v>Xe đường phố</v>
      </c>
      <c r="D6" s="25">
        <f t="shared" si="1"/>
        <v>10</v>
      </c>
      <c r="E6" s="57">
        <v>10800000</v>
      </c>
      <c r="F6" s="25" t="s">
        <v>489</v>
      </c>
      <c r="G6" s="34">
        <f t="shared" si="2"/>
        <v>108000000</v>
      </c>
      <c r="H6" s="34">
        <f t="shared" si="3"/>
        <v>0</v>
      </c>
      <c r="I6" s="34">
        <f t="shared" si="4"/>
        <v>1080000</v>
      </c>
      <c r="J6" s="34">
        <f t="shared" si="5"/>
        <v>109080000</v>
      </c>
      <c r="K6" s="25"/>
    </row>
    <row r="7" spans="1:11" ht="15.6">
      <c r="A7" s="25">
        <v>4</v>
      </c>
      <c r="B7" s="25" t="s">
        <v>485</v>
      </c>
      <c r="C7" s="25" t="str">
        <f t="shared" si="0"/>
        <v>Xe trẻ em</v>
      </c>
      <c r="D7" s="25">
        <f t="shared" si="1"/>
        <v>10</v>
      </c>
      <c r="E7" s="57">
        <v>5500000</v>
      </c>
      <c r="F7" s="25" t="s">
        <v>489</v>
      </c>
      <c r="G7" s="34">
        <f t="shared" si="2"/>
        <v>55000000</v>
      </c>
      <c r="H7" s="34">
        <f t="shared" si="3"/>
        <v>0</v>
      </c>
      <c r="I7" s="34">
        <f t="shared" si="4"/>
        <v>550000</v>
      </c>
      <c r="J7" s="34">
        <f t="shared" si="5"/>
        <v>55550000</v>
      </c>
      <c r="K7" s="25"/>
    </row>
    <row r="8" spans="1:11" ht="15.6">
      <c r="A8" s="25">
        <v>5</v>
      </c>
      <c r="B8" s="25" t="s">
        <v>486</v>
      </c>
      <c r="C8" s="25" t="str">
        <f t="shared" si="0"/>
        <v>Xe đường phố</v>
      </c>
      <c r="D8" s="25">
        <f t="shared" si="1"/>
        <v>20</v>
      </c>
      <c r="E8" s="57">
        <v>732</v>
      </c>
      <c r="F8" s="25" t="s">
        <v>488</v>
      </c>
      <c r="G8" s="34">
        <f t="shared" si="2"/>
        <v>344040000</v>
      </c>
      <c r="H8" s="34">
        <f t="shared" si="3"/>
        <v>51606000</v>
      </c>
      <c r="I8" s="34">
        <f t="shared" si="4"/>
        <v>17202000</v>
      </c>
      <c r="J8" s="34">
        <f t="shared" si="5"/>
        <v>412848000</v>
      </c>
      <c r="K8" s="25"/>
    </row>
    <row r="9" spans="1:11" ht="15.6">
      <c r="A9" s="25">
        <v>6</v>
      </c>
      <c r="B9" s="25" t="s">
        <v>487</v>
      </c>
      <c r="C9" s="25" t="str">
        <f t="shared" si="0"/>
        <v>Xe đua</v>
      </c>
      <c r="D9" s="25">
        <f t="shared" si="1"/>
        <v>30</v>
      </c>
      <c r="E9" s="57">
        <v>1150</v>
      </c>
      <c r="F9" s="25" t="s">
        <v>488</v>
      </c>
      <c r="G9" s="34">
        <f t="shared" si="2"/>
        <v>810750000</v>
      </c>
      <c r="H9" s="34">
        <f t="shared" si="3"/>
        <v>40537500</v>
      </c>
      <c r="I9" s="34">
        <f t="shared" si="4"/>
        <v>81075000</v>
      </c>
      <c r="J9" s="34">
        <f t="shared" si="5"/>
        <v>932362500</v>
      </c>
      <c r="K9" s="25"/>
    </row>
    <row r="10" spans="1:11" ht="15.6">
      <c r="A10" s="71" t="s">
        <v>243</v>
      </c>
      <c r="B10" s="71"/>
      <c r="C10" s="71"/>
      <c r="D10" s="25"/>
      <c r="E10" s="71"/>
      <c r="F10" s="71"/>
      <c r="G10" s="62"/>
      <c r="H10" s="25"/>
      <c r="I10" s="25"/>
      <c r="J10" s="25"/>
      <c r="K10" s="25"/>
    </row>
    <row r="11" spans="1:11" ht="15.6">
      <c r="A11" s="61" t="s">
        <v>490</v>
      </c>
      <c r="B11" s="71" t="s">
        <v>491</v>
      </c>
      <c r="C11" s="71"/>
      <c r="D11" s="71"/>
      <c r="E11" s="61" t="s">
        <v>498</v>
      </c>
      <c r="F11" s="71" t="s">
        <v>499</v>
      </c>
      <c r="G11" s="71"/>
      <c r="H11" s="71"/>
      <c r="I11" s="61" t="s">
        <v>500</v>
      </c>
      <c r="J11" s="25"/>
      <c r="K11" s="25"/>
    </row>
    <row r="12" spans="1:11" ht="15.6">
      <c r="A12" s="25"/>
      <c r="B12" s="5" t="s">
        <v>170</v>
      </c>
      <c r="C12" s="5" t="s">
        <v>171</v>
      </c>
      <c r="D12" s="5" t="s">
        <v>479</v>
      </c>
      <c r="E12" s="25"/>
      <c r="F12" s="60">
        <v>1</v>
      </c>
      <c r="G12" s="60">
        <v>2</v>
      </c>
      <c r="H12" s="60">
        <v>3</v>
      </c>
      <c r="I12" s="25"/>
      <c r="J12" s="60" t="s">
        <v>114</v>
      </c>
      <c r="K12" s="60" t="s">
        <v>481</v>
      </c>
    </row>
    <row r="13" spans="1:11" ht="15.6">
      <c r="A13" s="25"/>
      <c r="B13" s="5" t="s">
        <v>492</v>
      </c>
      <c r="C13" s="5" t="s">
        <v>495</v>
      </c>
      <c r="D13" s="53">
        <v>0.15</v>
      </c>
      <c r="E13" s="25"/>
      <c r="F13" s="5">
        <v>10</v>
      </c>
      <c r="G13" s="5">
        <v>20</v>
      </c>
      <c r="H13" s="5">
        <v>30</v>
      </c>
      <c r="I13" s="25"/>
      <c r="J13" s="5" t="s">
        <v>495</v>
      </c>
      <c r="K13" s="10">
        <f>SUMIF($C$4:$C$9,J13,$J$4:$J$9)</f>
        <v>521928000</v>
      </c>
    </row>
    <row r="14" spans="1:11" ht="15.6">
      <c r="A14" s="25"/>
      <c r="B14" s="5" t="s">
        <v>493</v>
      </c>
      <c r="C14" s="5" t="s">
        <v>496</v>
      </c>
      <c r="D14" s="53">
        <v>0.05</v>
      </c>
      <c r="E14" s="25"/>
      <c r="F14" s="25"/>
      <c r="G14" s="25"/>
      <c r="H14" s="25"/>
      <c r="I14" s="25"/>
      <c r="J14" s="5" t="s">
        <v>496</v>
      </c>
      <c r="K14" s="10">
        <f t="shared" ref="K14:K15" si="6">SUMIF($C$4:$C$9,J14,$J$4:$J$9)</f>
        <v>1271722500</v>
      </c>
    </row>
    <row r="15" spans="1:11" ht="15.6">
      <c r="A15" s="25"/>
      <c r="B15" s="5" t="s">
        <v>494</v>
      </c>
      <c r="C15" s="5" t="s">
        <v>497</v>
      </c>
      <c r="D15" s="53">
        <v>0.03</v>
      </c>
      <c r="E15" s="25"/>
      <c r="F15" s="25"/>
      <c r="G15" s="25"/>
      <c r="H15" s="25"/>
      <c r="I15" s="25"/>
      <c r="J15" s="5" t="s">
        <v>497</v>
      </c>
      <c r="K15" s="10">
        <f t="shared" si="6"/>
        <v>207830000</v>
      </c>
    </row>
    <row r="17" spans="9:18" ht="15.6">
      <c r="I17" s="63" t="s">
        <v>171</v>
      </c>
      <c r="J17" t="s">
        <v>477</v>
      </c>
    </row>
    <row r="18" spans="9:18" ht="15.6">
      <c r="I18" s="25" t="s">
        <v>497</v>
      </c>
      <c r="J18" t="s">
        <v>488</v>
      </c>
    </row>
    <row r="19" spans="9:18">
      <c r="I19" t="s">
        <v>496</v>
      </c>
      <c r="J19" t="s">
        <v>488</v>
      </c>
    </row>
    <row r="20" spans="9:18">
      <c r="I20" t="s">
        <v>495</v>
      </c>
      <c r="J20" t="s">
        <v>488</v>
      </c>
    </row>
    <row r="22" spans="9:18" ht="31.2">
      <c r="I22" s="58" t="s">
        <v>277</v>
      </c>
      <c r="J22" s="58" t="s">
        <v>474</v>
      </c>
      <c r="K22" s="58" t="s">
        <v>171</v>
      </c>
      <c r="L22" s="58" t="s">
        <v>475</v>
      </c>
      <c r="M22" s="58" t="s">
        <v>476</v>
      </c>
      <c r="N22" s="58" t="s">
        <v>477</v>
      </c>
      <c r="O22" s="59" t="s">
        <v>478</v>
      </c>
      <c r="P22" s="58" t="s">
        <v>479</v>
      </c>
      <c r="Q22" s="58" t="s">
        <v>480</v>
      </c>
      <c r="R22" s="58" t="s">
        <v>481</v>
      </c>
    </row>
    <row r="23" spans="9:18" ht="15.6">
      <c r="I23" s="25">
        <v>1</v>
      </c>
      <c r="J23" s="25" t="s">
        <v>482</v>
      </c>
      <c r="K23" s="25" t="s">
        <v>497</v>
      </c>
      <c r="L23" s="25">
        <v>30</v>
      </c>
      <c r="M23" s="25">
        <v>200</v>
      </c>
      <c r="N23" s="25" t="s">
        <v>488</v>
      </c>
      <c r="O23" s="34">
        <v>141000000</v>
      </c>
      <c r="P23" s="34">
        <v>4230000</v>
      </c>
      <c r="Q23" s="34">
        <v>7050000</v>
      </c>
      <c r="R23" s="34">
        <v>152280000</v>
      </c>
    </row>
    <row r="24" spans="9:18" ht="15.6">
      <c r="I24" s="25">
        <v>5</v>
      </c>
      <c r="J24" s="25" t="s">
        <v>486</v>
      </c>
      <c r="K24" s="25" t="s">
        <v>495</v>
      </c>
      <c r="L24" s="25">
        <v>20</v>
      </c>
      <c r="M24" s="57">
        <v>732</v>
      </c>
      <c r="N24" s="25" t="s">
        <v>488</v>
      </c>
      <c r="O24" s="34">
        <v>344040000</v>
      </c>
      <c r="P24" s="34">
        <v>51606000</v>
      </c>
      <c r="Q24" s="34">
        <v>17202000</v>
      </c>
      <c r="R24" s="34">
        <v>412848000</v>
      </c>
    </row>
    <row r="25" spans="9:18" ht="15.6">
      <c r="I25" s="25">
        <v>6</v>
      </c>
      <c r="J25" s="25" t="s">
        <v>487</v>
      </c>
      <c r="K25" s="25" t="s">
        <v>496</v>
      </c>
      <c r="L25" s="25">
        <v>30</v>
      </c>
      <c r="M25" s="57">
        <v>1150</v>
      </c>
      <c r="N25" s="25" t="s">
        <v>488</v>
      </c>
      <c r="O25" s="34">
        <v>810750000</v>
      </c>
      <c r="P25" s="34">
        <v>40537500</v>
      </c>
      <c r="Q25" s="34">
        <v>81075000</v>
      </c>
      <c r="R25" s="34">
        <v>932362500</v>
      </c>
    </row>
    <row r="26" spans="9:18" ht="15.6">
      <c r="I26" s="63"/>
      <c r="J26" s="63"/>
      <c r="K26" s="63"/>
      <c r="L26" s="63"/>
      <c r="M26" s="65"/>
      <c r="N26" s="63"/>
      <c r="O26" s="64"/>
      <c r="P26" s="64"/>
      <c r="Q26" s="64"/>
      <c r="R26" s="64"/>
    </row>
    <row r="27" spans="9:18" ht="15.6">
      <c r="I27" s="63"/>
      <c r="J27" s="63"/>
      <c r="K27" s="63"/>
      <c r="L27" s="63"/>
      <c r="M27" s="65"/>
      <c r="N27" s="63"/>
      <c r="O27" s="64"/>
      <c r="P27" s="64"/>
      <c r="Q27" s="64"/>
      <c r="R27" s="64"/>
    </row>
  </sheetData>
  <mergeCells count="5">
    <mergeCell ref="A1:K1"/>
    <mergeCell ref="A10:C10"/>
    <mergeCell ref="B11:D11"/>
    <mergeCell ref="F11:H11"/>
    <mergeCell ref="E10:F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I4" sqref="I4"/>
    </sheetView>
  </sheetViews>
  <sheetFormatPr defaultRowHeight="14.4"/>
  <cols>
    <col min="1" max="1" width="18.109375" customWidth="1"/>
    <col min="2" max="2" width="14.44140625" customWidth="1"/>
    <col min="3" max="3" width="10.88671875" customWidth="1"/>
    <col min="4" max="4" width="12.33203125" customWidth="1"/>
    <col min="6" max="6" width="11.44140625" customWidth="1"/>
    <col min="8" max="8" width="11" customWidth="1"/>
    <col min="9" max="9" width="13.5546875" customWidth="1"/>
  </cols>
  <sheetData>
    <row r="1" spans="1:9" ht="15.6">
      <c r="A1" s="70" t="s">
        <v>53</v>
      </c>
      <c r="B1" s="70"/>
      <c r="C1" s="70"/>
      <c r="D1" s="70"/>
      <c r="E1" s="70"/>
      <c r="F1" s="70"/>
      <c r="G1" s="70"/>
      <c r="H1" s="70"/>
      <c r="I1" s="70"/>
    </row>
    <row r="2" spans="1:9" ht="15.6">
      <c r="A2" s="11" t="s">
        <v>54</v>
      </c>
      <c r="B2" s="11" t="s">
        <v>55</v>
      </c>
      <c r="C2" s="11" t="s">
        <v>56</v>
      </c>
      <c r="D2" s="11" t="s">
        <v>57</v>
      </c>
      <c r="E2" s="11" t="s">
        <v>58</v>
      </c>
      <c r="F2" s="11" t="s">
        <v>59</v>
      </c>
      <c r="G2" s="11" t="s">
        <v>38</v>
      </c>
      <c r="H2" s="11" t="s">
        <v>60</v>
      </c>
      <c r="I2" s="11" t="s">
        <v>61</v>
      </c>
    </row>
    <row r="3" spans="1:9">
      <c r="A3" s="2" t="s">
        <v>62</v>
      </c>
      <c r="B3" s="1">
        <v>42392</v>
      </c>
      <c r="C3" s="12">
        <v>0.72916666666666663</v>
      </c>
      <c r="D3" s="1">
        <v>42395</v>
      </c>
      <c r="E3" s="12">
        <v>0.33333333333333331</v>
      </c>
      <c r="F3" s="2">
        <f>IF(D3&lt;&gt;"x",IF(AND(D3&gt;B3,E3&lt;0.5),D3-B3,D3-B3+1),"ctp")</f>
        <v>3</v>
      </c>
      <c r="G3" s="13">
        <v>170000</v>
      </c>
      <c r="H3" s="2">
        <f>IF(D3&lt;&gt;"x",F3*G3,"Còn ở")</f>
        <v>510000</v>
      </c>
      <c r="I3" s="2">
        <f>IF(D3&lt;&gt;"x",IF(AND(C3&gt;0.5,E3&gt;0.5),10%,IF(E3&lt;0.5,5%,0))*H3,"Còn ở")</f>
        <v>25500</v>
      </c>
    </row>
    <row r="4" spans="1:9">
      <c r="A4" s="2" t="s">
        <v>63</v>
      </c>
      <c r="B4" s="1">
        <v>42394</v>
      </c>
      <c r="C4" s="12">
        <v>0.59722222222222221</v>
      </c>
      <c r="D4" s="1">
        <v>42396</v>
      </c>
      <c r="E4" s="12">
        <v>0.45833333333333331</v>
      </c>
      <c r="F4" s="2">
        <f t="shared" ref="F4:F8" si="0">IF(D4&lt;&gt;"x",IF(AND(D4&gt;B4,E4&lt;0.5),D4-B4,D4-B4+1),"ctp")</f>
        <v>2</v>
      </c>
      <c r="G4" s="13">
        <v>170000</v>
      </c>
      <c r="H4" s="2">
        <f t="shared" ref="H4:H8" si="1">IF(D4&lt;&gt;"x",F4*G4,"Còn ở")</f>
        <v>340000</v>
      </c>
      <c r="I4" s="2">
        <f t="shared" ref="I4:I8" si="2">IF(D4&lt;&gt;"x",IF(AND(C4&gt;0.5,E4&gt;0.5),10%,IF(E4&lt;0.5,5%,0))*H4,"Còn ở")</f>
        <v>17000</v>
      </c>
    </row>
    <row r="5" spans="1:9">
      <c r="A5" s="2" t="s">
        <v>64</v>
      </c>
      <c r="B5" s="1">
        <v>42394</v>
      </c>
      <c r="C5" s="12">
        <v>0.5</v>
      </c>
      <c r="D5" s="4" t="s">
        <v>68</v>
      </c>
      <c r="E5" s="2"/>
      <c r="F5" s="2" t="str">
        <f t="shared" si="0"/>
        <v>ctp</v>
      </c>
      <c r="G5" s="13">
        <v>160000</v>
      </c>
      <c r="H5" s="2" t="str">
        <f t="shared" si="1"/>
        <v>Còn ở</v>
      </c>
      <c r="I5" s="2" t="str">
        <f t="shared" si="2"/>
        <v>Còn ở</v>
      </c>
    </row>
    <row r="6" spans="1:9">
      <c r="A6" s="2" t="s">
        <v>65</v>
      </c>
      <c r="B6" s="1">
        <v>42394</v>
      </c>
      <c r="C6" s="12">
        <v>0.64583333333333337</v>
      </c>
      <c r="D6" s="4" t="s">
        <v>68</v>
      </c>
      <c r="E6" s="2"/>
      <c r="F6" s="2" t="str">
        <f t="shared" si="0"/>
        <v>ctp</v>
      </c>
      <c r="G6" s="13">
        <v>200000</v>
      </c>
      <c r="H6" s="2" t="str">
        <f t="shared" si="1"/>
        <v>Còn ở</v>
      </c>
      <c r="I6" s="2" t="str">
        <f t="shared" si="2"/>
        <v>Còn ở</v>
      </c>
    </row>
    <row r="7" spans="1:9">
      <c r="A7" s="2" t="s">
        <v>66</v>
      </c>
      <c r="B7" s="1">
        <v>42394</v>
      </c>
      <c r="C7" s="12">
        <v>0.4375</v>
      </c>
      <c r="D7" s="1">
        <v>42396</v>
      </c>
      <c r="E7" s="12">
        <v>0.64583333333333337</v>
      </c>
      <c r="F7" s="2">
        <f t="shared" si="0"/>
        <v>3</v>
      </c>
      <c r="G7" s="13">
        <v>100000</v>
      </c>
      <c r="H7" s="2">
        <f t="shared" si="1"/>
        <v>300000</v>
      </c>
      <c r="I7" s="2">
        <f t="shared" si="2"/>
        <v>0</v>
      </c>
    </row>
    <row r="8" spans="1:9">
      <c r="A8" s="2" t="s">
        <v>67</v>
      </c>
      <c r="B8" s="1">
        <v>42395</v>
      </c>
      <c r="C8" s="12">
        <v>0.3125</v>
      </c>
      <c r="D8" s="4" t="s">
        <v>68</v>
      </c>
      <c r="E8" s="2"/>
      <c r="F8" s="2" t="str">
        <f t="shared" si="0"/>
        <v>ctp</v>
      </c>
      <c r="G8" s="13">
        <v>130000</v>
      </c>
      <c r="H8" s="2" t="str">
        <f t="shared" si="1"/>
        <v>Còn ở</v>
      </c>
      <c r="I8" s="2" t="str">
        <f t="shared" si="2"/>
        <v>Còn ở</v>
      </c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topLeftCell="A2" workbookViewId="0">
      <selection activeCell="G18" sqref="G18"/>
    </sheetView>
  </sheetViews>
  <sheetFormatPr defaultRowHeight="14.4"/>
  <cols>
    <col min="1" max="1" width="11.6640625" customWidth="1"/>
    <col min="2" max="2" width="24.88671875" customWidth="1"/>
    <col min="3" max="3" width="17.6640625" customWidth="1"/>
    <col min="4" max="4" width="11.44140625" customWidth="1"/>
    <col min="5" max="5" width="13.44140625" customWidth="1"/>
  </cols>
  <sheetData>
    <row r="1" spans="1:5" ht="15.6">
      <c r="A1" s="71" t="s">
        <v>70</v>
      </c>
      <c r="B1" s="71"/>
      <c r="C1" s="71"/>
      <c r="D1" s="71"/>
      <c r="E1" s="71"/>
    </row>
    <row r="2" spans="1:5" ht="15.6">
      <c r="A2" s="11" t="s">
        <v>71</v>
      </c>
      <c r="B2" s="11" t="s">
        <v>74</v>
      </c>
      <c r="C2" s="11" t="s">
        <v>75</v>
      </c>
      <c r="D2" s="11" t="s">
        <v>83</v>
      </c>
      <c r="E2" s="11" t="s">
        <v>84</v>
      </c>
    </row>
    <row r="3" spans="1:5" ht="15.6">
      <c r="A3" s="5" t="s">
        <v>72</v>
      </c>
      <c r="B3" s="5" t="str">
        <f>IF(A3="ĐB","Đồng bằng trung du","Miền núi,vùng sâu, hải đảo")</f>
        <v>Đồng bằng trung du</v>
      </c>
      <c r="C3" s="5" t="s">
        <v>76</v>
      </c>
      <c r="D3" s="5">
        <v>30</v>
      </c>
      <c r="E3" s="14" t="str">
        <f>IF(A3="ĐB",IF(D3&gt;=28,"Hạng 1",IF(D3&gt;=18,"Hạng 2","Hạng 3")),IF(D3&gt;=19,"Hạng 1",IF(D3&gt;=10,"Hạng 2","Hạng 3")))</f>
        <v>Hạng 1</v>
      </c>
    </row>
    <row r="4" spans="1:5" ht="15.6">
      <c r="A4" s="5" t="s">
        <v>73</v>
      </c>
      <c r="B4" s="5" t="str">
        <f t="shared" ref="B4:B9" si="0">IF(A4="ĐB","Đồng bằng trung du","Miền núi,vùng sâu, hải đảo")</f>
        <v>Miền núi,vùng sâu, hải đảo</v>
      </c>
      <c r="C4" s="5" t="s">
        <v>77</v>
      </c>
      <c r="D4" s="5">
        <v>21</v>
      </c>
      <c r="E4" s="14" t="str">
        <f t="shared" ref="E4:E9" si="1">IF(A4="ĐB",IF(D4&gt;=28,"Hạng 1",IF(D4&gt;=18,"Hạng 2","Hạng 3")),IF(D4&gt;=19,"Hạng 1",IF(D4&gt;=10,"Hạng 2","Hạng 3")))</f>
        <v>Hạng 1</v>
      </c>
    </row>
    <row r="5" spans="1:5" ht="15.6">
      <c r="A5" s="5" t="s">
        <v>72</v>
      </c>
      <c r="B5" s="5" t="str">
        <f t="shared" si="0"/>
        <v>Đồng bằng trung du</v>
      </c>
      <c r="C5" s="5" t="s">
        <v>78</v>
      </c>
      <c r="D5" s="5">
        <v>19</v>
      </c>
      <c r="E5" s="14" t="str">
        <f t="shared" si="1"/>
        <v>Hạng 2</v>
      </c>
    </row>
    <row r="6" spans="1:5" ht="15.6">
      <c r="A6" s="5" t="s">
        <v>73</v>
      </c>
      <c r="B6" s="5" t="str">
        <f t="shared" si="0"/>
        <v>Miền núi,vùng sâu, hải đảo</v>
      </c>
      <c r="C6" s="5" t="s">
        <v>79</v>
      </c>
      <c r="D6" s="5">
        <v>22</v>
      </c>
      <c r="E6" s="14" t="str">
        <f t="shared" si="1"/>
        <v>Hạng 1</v>
      </c>
    </row>
    <row r="7" spans="1:5" ht="15.6">
      <c r="A7" s="5" t="s">
        <v>72</v>
      </c>
      <c r="B7" s="5" t="str">
        <f t="shared" si="0"/>
        <v>Đồng bằng trung du</v>
      </c>
      <c r="C7" s="5" t="s">
        <v>80</v>
      </c>
      <c r="D7" s="5">
        <v>42</v>
      </c>
      <c r="E7" s="14" t="str">
        <f t="shared" si="1"/>
        <v>Hạng 1</v>
      </c>
    </row>
    <row r="8" spans="1:5" ht="15.6">
      <c r="A8" s="5" t="s">
        <v>72</v>
      </c>
      <c r="B8" s="5" t="str">
        <f t="shared" si="0"/>
        <v>Đồng bằng trung du</v>
      </c>
      <c r="C8" s="5" t="s">
        <v>81</v>
      </c>
      <c r="D8" s="5">
        <v>44</v>
      </c>
      <c r="E8" s="14" t="str">
        <f t="shared" si="1"/>
        <v>Hạng 1</v>
      </c>
    </row>
    <row r="9" spans="1:5" ht="15.6">
      <c r="A9" s="5" t="s">
        <v>72</v>
      </c>
      <c r="B9" s="5" t="str">
        <f t="shared" si="0"/>
        <v>Đồng bằng trung du</v>
      </c>
      <c r="C9" s="5" t="s">
        <v>82</v>
      </c>
      <c r="D9" s="5">
        <v>17</v>
      </c>
      <c r="E9" s="14" t="str">
        <f t="shared" si="1"/>
        <v>Hạng 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workbookViewId="0">
      <selection activeCell="J4" sqref="J4"/>
    </sheetView>
  </sheetViews>
  <sheetFormatPr defaultRowHeight="14.4"/>
  <cols>
    <col min="1" max="1" width="12.44140625" customWidth="1"/>
    <col min="9" max="9" width="10.33203125" customWidth="1"/>
  </cols>
  <sheetData>
    <row r="1" spans="1:10" ht="15.6">
      <c r="A1" s="71" t="s">
        <v>85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ht="15.6">
      <c r="A2" s="72" t="s">
        <v>86</v>
      </c>
      <c r="B2" s="72" t="s">
        <v>87</v>
      </c>
      <c r="C2" s="72"/>
      <c r="D2" s="72"/>
      <c r="E2" s="72" t="s">
        <v>88</v>
      </c>
      <c r="F2" s="72"/>
      <c r="G2" s="72"/>
      <c r="H2" s="73" t="s">
        <v>95</v>
      </c>
      <c r="I2" s="73" t="s">
        <v>84</v>
      </c>
      <c r="J2" s="73" t="s">
        <v>96</v>
      </c>
    </row>
    <row r="3" spans="1:10" ht="15.6">
      <c r="A3" s="72"/>
      <c r="B3" s="7" t="s">
        <v>89</v>
      </c>
      <c r="C3" s="5" t="s">
        <v>90</v>
      </c>
      <c r="D3" s="5" t="s">
        <v>91</v>
      </c>
      <c r="E3" s="5" t="s">
        <v>92</v>
      </c>
      <c r="F3" s="5" t="s">
        <v>93</v>
      </c>
      <c r="G3" s="5" t="s">
        <v>94</v>
      </c>
      <c r="H3" s="73"/>
      <c r="I3" s="73"/>
      <c r="J3" s="73"/>
    </row>
    <row r="4" spans="1:10" ht="15.6">
      <c r="A4" s="7" t="s">
        <v>97</v>
      </c>
      <c r="B4" s="7">
        <v>9</v>
      </c>
      <c r="C4" s="7">
        <v>4</v>
      </c>
      <c r="D4" s="7">
        <v>4</v>
      </c>
      <c r="E4" s="7">
        <v>7</v>
      </c>
      <c r="F4" s="7">
        <v>4</v>
      </c>
      <c r="G4" s="7">
        <v>10</v>
      </c>
      <c r="H4" s="15">
        <f>SUM(B4:G4,B4:D4)/9</f>
        <v>6.1111111111111107</v>
      </c>
      <c r="I4" s="16">
        <f>RANK(H4,$H$4:$H$11,0)</f>
        <v>4</v>
      </c>
      <c r="J4" s="5" t="str">
        <f>IF(AND(H4&gt;=9,MIN(B4:G4)&gt;=8)," Giỏi",IF(AND(H4&gt;=7,MIN(B4:G4)&gt;=6), "Khá",IF(AND(H4&gt;=5,MIN(B4:G4)&gt;=4),"TB","Yếu")))</f>
        <v>TB</v>
      </c>
    </row>
    <row r="5" spans="1:10" ht="15.6">
      <c r="A5" s="7" t="s">
        <v>98</v>
      </c>
      <c r="B5" s="7">
        <v>3</v>
      </c>
      <c r="C5" s="7">
        <v>5</v>
      </c>
      <c r="D5" s="7">
        <v>6</v>
      </c>
      <c r="E5" s="7">
        <v>3</v>
      </c>
      <c r="F5" s="7">
        <v>2</v>
      </c>
      <c r="G5" s="7">
        <v>5</v>
      </c>
      <c r="H5" s="15">
        <f t="shared" ref="H5:H11" si="0">SUM(B5:G5,B5:D5)/9</f>
        <v>4.2222222222222223</v>
      </c>
      <c r="I5" s="16">
        <f t="shared" ref="I5:I11" si="1">RANK(H5,$H$4:$H$11,0)</f>
        <v>8</v>
      </c>
      <c r="J5" s="5" t="str">
        <f t="shared" ref="J5:J11" si="2">IF(AND(H5&gt;=9,MIN(B5:G5)&gt;=8)," Giỏi",IF(AND(H5&gt;=7,MIN(B5:G5)&gt;=6), "Khá",IF(AND(H5&gt;=5,MIN(B5:G5)&gt;=4),"TB","Yếu")))</f>
        <v>Yếu</v>
      </c>
    </row>
    <row r="6" spans="1:10" ht="15.6">
      <c r="A6" s="7" t="s">
        <v>99</v>
      </c>
      <c r="B6" s="7">
        <v>6</v>
      </c>
      <c r="C6" s="7">
        <v>5</v>
      </c>
      <c r="D6" s="7">
        <v>4</v>
      </c>
      <c r="E6" s="7">
        <v>6</v>
      </c>
      <c r="F6" s="7">
        <v>6</v>
      </c>
      <c r="G6" s="7">
        <v>4</v>
      </c>
      <c r="H6" s="15">
        <f t="shared" si="0"/>
        <v>5.1111111111111107</v>
      </c>
      <c r="I6" s="16">
        <f t="shared" si="1"/>
        <v>7</v>
      </c>
      <c r="J6" s="5" t="str">
        <f t="shared" si="2"/>
        <v>TB</v>
      </c>
    </row>
    <row r="7" spans="1:10" ht="15.6">
      <c r="A7" s="7" t="s">
        <v>100</v>
      </c>
      <c r="B7" s="7">
        <v>8</v>
      </c>
      <c r="C7" s="7">
        <v>8</v>
      </c>
      <c r="D7" s="7">
        <v>9</v>
      </c>
      <c r="E7" s="7">
        <v>9</v>
      </c>
      <c r="F7" s="7">
        <v>8</v>
      </c>
      <c r="G7" s="7">
        <v>9</v>
      </c>
      <c r="H7" s="15">
        <f t="shared" si="0"/>
        <v>8.4444444444444446</v>
      </c>
      <c r="I7" s="16">
        <f t="shared" si="1"/>
        <v>1</v>
      </c>
      <c r="J7" s="5" t="str">
        <f t="shared" si="2"/>
        <v>Khá</v>
      </c>
    </row>
    <row r="8" spans="1:10" ht="15.6">
      <c r="A8" s="7" t="s">
        <v>101</v>
      </c>
      <c r="B8" s="7">
        <v>9</v>
      </c>
      <c r="C8" s="7">
        <v>5</v>
      </c>
      <c r="D8" s="7">
        <v>5</v>
      </c>
      <c r="E8" s="7">
        <v>8</v>
      </c>
      <c r="F8" s="7">
        <v>4</v>
      </c>
      <c r="G8" s="7">
        <v>8</v>
      </c>
      <c r="H8" s="15">
        <f t="shared" si="0"/>
        <v>6.4444444444444446</v>
      </c>
      <c r="I8" s="16">
        <f t="shared" si="1"/>
        <v>3</v>
      </c>
      <c r="J8" s="5" t="str">
        <f t="shared" si="2"/>
        <v>TB</v>
      </c>
    </row>
    <row r="9" spans="1:10" ht="15.6">
      <c r="A9" s="7" t="s">
        <v>102</v>
      </c>
      <c r="B9" s="7">
        <v>9</v>
      </c>
      <c r="C9" s="7">
        <v>9</v>
      </c>
      <c r="D9" s="7">
        <v>6</v>
      </c>
      <c r="E9" s="7">
        <v>9</v>
      </c>
      <c r="F9" s="7">
        <v>4</v>
      </c>
      <c r="G9" s="7">
        <v>4</v>
      </c>
      <c r="H9" s="15">
        <f t="shared" si="0"/>
        <v>7.2222222222222223</v>
      </c>
      <c r="I9" s="16">
        <f t="shared" si="1"/>
        <v>2</v>
      </c>
      <c r="J9" s="5" t="str">
        <f t="shared" si="2"/>
        <v>TB</v>
      </c>
    </row>
    <row r="10" spans="1:10" ht="15.6">
      <c r="A10" s="7" t="s">
        <v>103</v>
      </c>
      <c r="B10" s="7">
        <v>4</v>
      </c>
      <c r="C10" s="7">
        <v>7</v>
      </c>
      <c r="D10" s="7">
        <v>5</v>
      </c>
      <c r="E10" s="7">
        <v>6</v>
      </c>
      <c r="F10" s="7">
        <v>6</v>
      </c>
      <c r="G10" s="7">
        <v>6</v>
      </c>
      <c r="H10" s="15">
        <f t="shared" si="0"/>
        <v>5.5555555555555554</v>
      </c>
      <c r="I10" s="16">
        <f t="shared" si="1"/>
        <v>6</v>
      </c>
      <c r="J10" s="5" t="str">
        <f t="shared" si="2"/>
        <v>TB</v>
      </c>
    </row>
    <row r="11" spans="1:10" ht="15.6">
      <c r="A11" s="7" t="s">
        <v>104</v>
      </c>
      <c r="B11" s="7">
        <v>9</v>
      </c>
      <c r="C11" s="7">
        <v>4</v>
      </c>
      <c r="D11" s="7">
        <v>4</v>
      </c>
      <c r="E11" s="7">
        <v>7</v>
      </c>
      <c r="F11" s="7">
        <v>4</v>
      </c>
      <c r="G11" s="7">
        <v>10</v>
      </c>
      <c r="H11" s="15">
        <f t="shared" si="0"/>
        <v>6.1111111111111107</v>
      </c>
      <c r="I11" s="16">
        <f t="shared" si="1"/>
        <v>4</v>
      </c>
      <c r="J11" s="5" t="str">
        <f t="shared" si="2"/>
        <v>TB</v>
      </c>
    </row>
  </sheetData>
  <mergeCells count="7">
    <mergeCell ref="A1:J1"/>
    <mergeCell ref="A2:A3"/>
    <mergeCell ref="B2:D2"/>
    <mergeCell ref="E2:G2"/>
    <mergeCell ref="H2:H3"/>
    <mergeCell ref="I2:I3"/>
    <mergeCell ref="J2:J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"/>
  <sheetViews>
    <sheetView workbookViewId="0">
      <selection activeCell="C4" sqref="C4"/>
    </sheetView>
  </sheetViews>
  <sheetFormatPr defaultRowHeight="14.4"/>
  <cols>
    <col min="1" max="1" width="11.88671875" customWidth="1"/>
    <col min="2" max="2" width="11.6640625" customWidth="1"/>
    <col min="3" max="3" width="10.33203125" customWidth="1"/>
    <col min="6" max="6" width="11.33203125" customWidth="1"/>
    <col min="7" max="7" width="4" customWidth="1"/>
    <col min="10" max="10" width="10.6640625" customWidth="1"/>
  </cols>
  <sheetData>
    <row r="1" spans="1:12" ht="17.399999999999999">
      <c r="A1" s="74" t="s">
        <v>105</v>
      </c>
      <c r="B1" s="74"/>
      <c r="C1" s="74"/>
      <c r="D1" s="74"/>
      <c r="E1" s="74"/>
      <c r="F1" s="74"/>
    </row>
    <row r="2" spans="1:12" ht="17.399999999999999">
      <c r="A2" s="74" t="s">
        <v>106</v>
      </c>
      <c r="B2" s="74"/>
      <c r="C2" s="74"/>
      <c r="D2" s="74"/>
      <c r="E2" s="74"/>
      <c r="F2" s="74"/>
      <c r="G2" s="5"/>
      <c r="H2" s="72" t="s">
        <v>107</v>
      </c>
      <c r="I2" s="72"/>
      <c r="J2" s="72"/>
      <c r="K2" s="5"/>
      <c r="L2" s="5"/>
    </row>
    <row r="3" spans="1:12" ht="32.25" customHeight="1">
      <c r="A3" s="11" t="s">
        <v>34</v>
      </c>
      <c r="B3" s="22" t="s">
        <v>108</v>
      </c>
      <c r="C3" s="22" t="s">
        <v>109</v>
      </c>
      <c r="D3" s="22" t="s">
        <v>110</v>
      </c>
      <c r="E3" s="22" t="s">
        <v>111</v>
      </c>
      <c r="F3" s="22" t="s">
        <v>112</v>
      </c>
      <c r="G3" s="5"/>
      <c r="H3" s="6" t="s">
        <v>113</v>
      </c>
      <c r="I3" s="17" t="s">
        <v>114</v>
      </c>
      <c r="J3" s="6" t="s">
        <v>115</v>
      </c>
      <c r="K3" s="5"/>
      <c r="L3" s="5"/>
    </row>
    <row r="4" spans="1:12" ht="15.6">
      <c r="A4" s="8">
        <v>45704</v>
      </c>
      <c r="B4" s="5" t="s">
        <v>116</v>
      </c>
      <c r="C4" s="5" t="str">
        <f>VLOOKUP(LEFT(B4,2),$H$4:$I$6,2,0)</f>
        <v>Café</v>
      </c>
      <c r="D4" s="5">
        <f>HLOOKUP(RIGHT(B4,2),$I$8:$L$9,2,0)</f>
        <v>250</v>
      </c>
      <c r="E4" s="5">
        <v>205</v>
      </c>
      <c r="F4" s="5">
        <f>D4*E4*105%</f>
        <v>53812.5</v>
      </c>
      <c r="G4" s="5"/>
      <c r="H4" s="5" t="s">
        <v>122</v>
      </c>
      <c r="I4" s="5" t="s">
        <v>129</v>
      </c>
      <c r="J4" s="18">
        <f>SUMIF($C$4:$C$9,I4,$F$4:$F$9)</f>
        <v>259192.5</v>
      </c>
      <c r="K4" s="5"/>
      <c r="L4" s="5"/>
    </row>
    <row r="5" spans="1:12" ht="15.6">
      <c r="A5" s="8">
        <v>45737</v>
      </c>
      <c r="B5" s="5" t="s">
        <v>117</v>
      </c>
      <c r="C5" s="5" t="str">
        <f t="shared" ref="C5:C9" si="0">VLOOKUP(LEFT(B5,2),$H$4:$I$6,2,0)</f>
        <v>Bắp</v>
      </c>
      <c r="D5" s="5">
        <f t="shared" ref="D5:D9" si="1">HLOOKUP(RIGHT(B5,2),$I$8:$L$9,2,0)</f>
        <v>40</v>
      </c>
      <c r="E5" s="5">
        <v>800</v>
      </c>
      <c r="F5" s="5">
        <f t="shared" ref="F5:F9" si="2">D5*E5*105%</f>
        <v>33600</v>
      </c>
      <c r="G5" s="5"/>
      <c r="H5" s="5" t="s">
        <v>123</v>
      </c>
      <c r="I5" s="5" t="s">
        <v>130</v>
      </c>
      <c r="J5" s="18">
        <f t="shared" ref="J5:J6" si="3">SUMIF($C$4:$C$9,I5,$F$4:$F$9)</f>
        <v>33600</v>
      </c>
      <c r="K5" s="5"/>
      <c r="L5" s="5"/>
    </row>
    <row r="6" spans="1:12" ht="15.6">
      <c r="A6" s="8">
        <v>45744</v>
      </c>
      <c r="B6" s="5" t="s">
        <v>118</v>
      </c>
      <c r="C6" s="5" t="str">
        <f t="shared" si="0"/>
        <v>Café</v>
      </c>
      <c r="D6" s="5">
        <f t="shared" si="1"/>
        <v>210</v>
      </c>
      <c r="E6" s="5">
        <v>520</v>
      </c>
      <c r="F6" s="5">
        <f t="shared" si="2"/>
        <v>114660</v>
      </c>
      <c r="G6" s="5"/>
      <c r="H6" s="5" t="s">
        <v>124</v>
      </c>
      <c r="I6" s="5" t="s">
        <v>131</v>
      </c>
      <c r="J6" s="18">
        <f t="shared" si="3"/>
        <v>138232.5</v>
      </c>
      <c r="K6" s="5"/>
      <c r="L6" s="5"/>
    </row>
    <row r="7" spans="1:12" ht="15.6">
      <c r="A7" s="8">
        <v>45915</v>
      </c>
      <c r="B7" s="5" t="s">
        <v>119</v>
      </c>
      <c r="C7" s="5" t="str">
        <f t="shared" si="0"/>
        <v>Trà</v>
      </c>
      <c r="D7" s="5">
        <f t="shared" si="1"/>
        <v>250</v>
      </c>
      <c r="E7" s="5">
        <v>205</v>
      </c>
      <c r="F7" s="5">
        <f t="shared" si="2"/>
        <v>53812.5</v>
      </c>
      <c r="G7" s="5"/>
      <c r="H7" s="72" t="s">
        <v>125</v>
      </c>
      <c r="I7" s="72"/>
      <c r="J7" s="72"/>
      <c r="K7" s="72"/>
      <c r="L7" s="5"/>
    </row>
    <row r="8" spans="1:12" ht="15.6">
      <c r="A8" s="8">
        <v>45986</v>
      </c>
      <c r="B8" s="5" t="s">
        <v>120</v>
      </c>
      <c r="C8" s="5" t="str">
        <f t="shared" si="0"/>
        <v>Café</v>
      </c>
      <c r="D8" s="5">
        <f t="shared" si="1"/>
        <v>120</v>
      </c>
      <c r="E8" s="5">
        <v>720</v>
      </c>
      <c r="F8" s="5">
        <f t="shared" si="2"/>
        <v>90720</v>
      </c>
      <c r="G8" s="5"/>
      <c r="H8" s="5" t="s">
        <v>126</v>
      </c>
      <c r="I8" s="19" t="s">
        <v>50</v>
      </c>
      <c r="J8" s="19" t="s">
        <v>51</v>
      </c>
      <c r="K8" s="19" t="s">
        <v>52</v>
      </c>
      <c r="L8" s="19" t="s">
        <v>128</v>
      </c>
    </row>
    <row r="9" spans="1:12" ht="15.6">
      <c r="A9" s="8">
        <v>45991</v>
      </c>
      <c r="B9" s="5" t="s">
        <v>121</v>
      </c>
      <c r="C9" s="5" t="str">
        <f t="shared" si="0"/>
        <v>Trà</v>
      </c>
      <c r="D9" s="5">
        <f t="shared" si="1"/>
        <v>120</v>
      </c>
      <c r="E9" s="5">
        <v>670</v>
      </c>
      <c r="F9" s="5">
        <f t="shared" si="2"/>
        <v>84420</v>
      </c>
      <c r="G9" s="5"/>
      <c r="H9" s="5" t="s">
        <v>127</v>
      </c>
      <c r="I9" s="20">
        <v>40</v>
      </c>
      <c r="J9" s="20">
        <v>120</v>
      </c>
      <c r="K9" s="20">
        <v>210</v>
      </c>
      <c r="L9" s="20">
        <v>250</v>
      </c>
    </row>
  </sheetData>
  <mergeCells count="4">
    <mergeCell ref="A1:F1"/>
    <mergeCell ref="A2:F2"/>
    <mergeCell ref="H2:J2"/>
    <mergeCell ref="H7:K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"/>
  <sheetViews>
    <sheetView workbookViewId="0">
      <selection activeCell="A3" sqref="A3"/>
    </sheetView>
  </sheetViews>
  <sheetFormatPr defaultRowHeight="14.4"/>
  <cols>
    <col min="1" max="1" width="15" customWidth="1"/>
    <col min="2" max="2" width="14.88671875" customWidth="1"/>
    <col min="3" max="3" width="14" customWidth="1"/>
    <col min="4" max="4" width="12.44140625" customWidth="1"/>
    <col min="5" max="5" width="17.5546875" customWidth="1"/>
    <col min="6" max="6" width="11.6640625" customWidth="1"/>
  </cols>
  <sheetData>
    <row r="1" spans="1:6" ht="15.6">
      <c r="A1" s="70" t="s">
        <v>132</v>
      </c>
      <c r="B1" s="70"/>
      <c r="C1" s="70"/>
      <c r="D1" s="70"/>
      <c r="E1" s="70"/>
      <c r="F1" s="70"/>
    </row>
    <row r="2" spans="1:6" ht="15.6">
      <c r="A2" s="21" t="s">
        <v>133</v>
      </c>
      <c r="B2" s="21" t="s">
        <v>114</v>
      </c>
      <c r="C2" s="21" t="s">
        <v>134</v>
      </c>
      <c r="D2" s="21" t="s">
        <v>60</v>
      </c>
      <c r="E2" s="21" t="s">
        <v>135</v>
      </c>
      <c r="F2" s="21" t="s">
        <v>136</v>
      </c>
    </row>
    <row r="3" spans="1:6" ht="15.6">
      <c r="A3" s="7" t="s">
        <v>137</v>
      </c>
      <c r="B3" s="7" t="str">
        <f>VLOOKUP(LEFT(A3,1),$A$11:$D$14,2,0)</f>
        <v>Xăng</v>
      </c>
      <c r="C3" s="7">
        <v>30</v>
      </c>
      <c r="D3" s="5">
        <f>C3*VLOOKUP(LEFT(A3,1),$A$11:$D$14,IF(MID(A3,2,1)="S",3,4),0)</f>
        <v>99000</v>
      </c>
      <c r="E3" s="5">
        <f>VLOOKUP(RIGHT(A3,1)*1,$E$11:$F$13,2,0)*D3</f>
        <v>1980</v>
      </c>
      <c r="F3" s="5">
        <f>D3+E3</f>
        <v>100980</v>
      </c>
    </row>
    <row r="4" spans="1:6" ht="15.6">
      <c r="A4" s="7" t="s">
        <v>138</v>
      </c>
      <c r="B4" s="7" t="str">
        <f t="shared" ref="B4:B8" si="0">VLOOKUP(LEFT(A4,1),$A$11:$D$14,2,0)</f>
        <v>Dầu</v>
      </c>
      <c r="C4" s="7">
        <v>10</v>
      </c>
      <c r="D4" s="5">
        <f t="shared" ref="D4:D8" si="1">C4*VLOOKUP(LEFT(A4,1),$A$11:$D$14,IF(MID(A4,2,1)="S",3,4),0)</f>
        <v>20000</v>
      </c>
      <c r="E4" s="5">
        <f t="shared" ref="E4:E8" si="2">VLOOKUP(RIGHT(A4,1)*1,$E$11:$F$13,2,0)*D4</f>
        <v>400</v>
      </c>
      <c r="F4" s="5">
        <f t="shared" ref="F4:F8" si="3">D4+E4</f>
        <v>20400</v>
      </c>
    </row>
    <row r="5" spans="1:6" ht="15.6">
      <c r="A5" s="7" t="s">
        <v>139</v>
      </c>
      <c r="B5" s="7" t="str">
        <f t="shared" si="0"/>
        <v>Nhớt</v>
      </c>
      <c r="C5" s="7">
        <v>50</v>
      </c>
      <c r="D5" s="5">
        <f t="shared" si="1"/>
        <v>50000</v>
      </c>
      <c r="E5" s="5">
        <f t="shared" si="2"/>
        <v>3500.0000000000005</v>
      </c>
      <c r="F5" s="5">
        <f t="shared" si="3"/>
        <v>53500</v>
      </c>
    </row>
    <row r="6" spans="1:6" ht="15.6">
      <c r="A6" s="7" t="s">
        <v>140</v>
      </c>
      <c r="B6" s="7" t="str">
        <f t="shared" si="0"/>
        <v>Dầu</v>
      </c>
      <c r="C6" s="7">
        <v>60</v>
      </c>
      <c r="D6" s="5">
        <f t="shared" si="1"/>
        <v>132000</v>
      </c>
      <c r="E6" s="5">
        <f t="shared" si="2"/>
        <v>2640</v>
      </c>
      <c r="F6" s="5">
        <f t="shared" si="3"/>
        <v>134640</v>
      </c>
    </row>
    <row r="7" spans="1:6" ht="15.6">
      <c r="A7" s="7" t="s">
        <v>141</v>
      </c>
      <c r="B7" s="7" t="str">
        <f t="shared" si="0"/>
        <v>Xăng</v>
      </c>
      <c r="C7" s="7">
        <v>25</v>
      </c>
      <c r="D7" s="5">
        <f t="shared" si="1"/>
        <v>75000</v>
      </c>
      <c r="E7" s="5">
        <f t="shared" si="2"/>
        <v>3750</v>
      </c>
      <c r="F7" s="5">
        <f t="shared" si="3"/>
        <v>78750</v>
      </c>
    </row>
    <row r="8" spans="1:6" ht="15.6">
      <c r="A8" s="7" t="s">
        <v>142</v>
      </c>
      <c r="B8" s="7" t="str">
        <f t="shared" si="0"/>
        <v>Xăng</v>
      </c>
      <c r="C8" s="7">
        <v>35</v>
      </c>
      <c r="D8" s="5">
        <f t="shared" si="1"/>
        <v>105000</v>
      </c>
      <c r="E8" s="5">
        <f t="shared" si="2"/>
        <v>2100</v>
      </c>
      <c r="F8" s="5">
        <f t="shared" si="3"/>
        <v>107100</v>
      </c>
    </row>
    <row r="9" spans="1:6" ht="15.6">
      <c r="A9" s="70" t="s">
        <v>143</v>
      </c>
      <c r="B9" s="70"/>
      <c r="C9" s="70"/>
      <c r="D9" s="70"/>
      <c r="E9" s="70"/>
      <c r="F9" s="70"/>
    </row>
    <row r="10" spans="1:6" ht="46.8">
      <c r="A10" s="21" t="s">
        <v>144</v>
      </c>
      <c r="B10" s="21" t="s">
        <v>145</v>
      </c>
      <c r="C10" s="21" t="s">
        <v>146</v>
      </c>
      <c r="D10" s="21" t="s">
        <v>147</v>
      </c>
      <c r="E10" s="21" t="s">
        <v>148</v>
      </c>
      <c r="F10" s="22" t="s">
        <v>154</v>
      </c>
    </row>
    <row r="11" spans="1:6" ht="15.6">
      <c r="A11" s="7" t="s">
        <v>68</v>
      </c>
      <c r="B11" s="7" t="s">
        <v>151</v>
      </c>
      <c r="C11" s="7">
        <v>3000</v>
      </c>
      <c r="D11" s="7">
        <v>3300</v>
      </c>
      <c r="E11" s="7">
        <v>1</v>
      </c>
      <c r="F11" s="23">
        <v>0.02</v>
      </c>
    </row>
    <row r="12" spans="1:6" ht="15.6">
      <c r="A12" s="7" t="s">
        <v>149</v>
      </c>
      <c r="B12" s="7" t="s">
        <v>152</v>
      </c>
      <c r="C12" s="7">
        <v>2000</v>
      </c>
      <c r="D12" s="7">
        <v>2200</v>
      </c>
      <c r="E12" s="7">
        <v>2</v>
      </c>
      <c r="F12" s="23">
        <v>0.05</v>
      </c>
    </row>
    <row r="13" spans="1:6" ht="15.6">
      <c r="A13" s="7" t="s">
        <v>150</v>
      </c>
      <c r="B13" s="7" t="s">
        <v>153</v>
      </c>
      <c r="C13" s="7">
        <v>1000</v>
      </c>
      <c r="D13" s="7">
        <v>1100</v>
      </c>
      <c r="E13" s="7">
        <v>3</v>
      </c>
      <c r="F13" s="23">
        <v>7.0000000000000007E-2</v>
      </c>
    </row>
    <row r="14" spans="1:6" ht="15.6">
      <c r="A14" s="7" t="s">
        <v>68</v>
      </c>
      <c r="B14" s="7" t="s">
        <v>151</v>
      </c>
      <c r="C14" s="7">
        <v>3000</v>
      </c>
      <c r="D14" s="7">
        <v>3300</v>
      </c>
      <c r="E14" s="7"/>
      <c r="F14" s="7"/>
    </row>
  </sheetData>
  <mergeCells count="2">
    <mergeCell ref="A1:F1"/>
    <mergeCell ref="A9:F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C2" sqref="C2"/>
    </sheetView>
  </sheetViews>
  <sheetFormatPr defaultRowHeight="14.4"/>
  <cols>
    <col min="1" max="1" width="11.33203125" customWidth="1"/>
    <col min="2" max="2" width="13.6640625" customWidth="1"/>
    <col min="3" max="3" width="11.44140625" customWidth="1"/>
    <col min="4" max="4" width="13.88671875" customWidth="1"/>
    <col min="5" max="5" width="4" customWidth="1"/>
    <col min="6" max="6" width="11.109375" customWidth="1"/>
    <col min="7" max="7" width="12.88671875" customWidth="1"/>
    <col min="8" max="8" width="8.33203125" customWidth="1"/>
    <col min="9" max="9" width="13.109375" customWidth="1"/>
  </cols>
  <sheetData>
    <row r="1" spans="1:12" ht="31.2">
      <c r="A1" s="26" t="s">
        <v>155</v>
      </c>
      <c r="B1" s="26" t="s">
        <v>156</v>
      </c>
      <c r="C1" s="26" t="s">
        <v>157</v>
      </c>
      <c r="D1" s="26" t="s">
        <v>158</v>
      </c>
      <c r="E1" s="24"/>
      <c r="F1" s="75" t="s">
        <v>159</v>
      </c>
      <c r="G1" s="75"/>
      <c r="H1" s="24"/>
      <c r="I1" s="75" t="s">
        <v>160</v>
      </c>
      <c r="J1" s="75"/>
      <c r="K1" s="75"/>
      <c r="L1" s="75"/>
    </row>
    <row r="2" spans="1:12" ht="20.25" customHeight="1">
      <c r="A2" s="7" t="s">
        <v>161</v>
      </c>
      <c r="B2" s="20" t="str">
        <f>HLOOKUP(LEFT(A2,1),$J$2:$L$3,2,0)</f>
        <v>Suzuki</v>
      </c>
      <c r="C2" s="20">
        <f>VLOOKUP(RIGHT(A2,2)*1,$F$3:$G$5,2,0)</f>
        <v>110</v>
      </c>
      <c r="D2" s="20" t="str">
        <f>VLOOKUP(B2,$I$6:$L$8,IF(C2=100,2,IF(C2=110,3,4)),0)</f>
        <v>Visa</v>
      </c>
      <c r="E2" s="24"/>
      <c r="F2" s="11" t="s">
        <v>168</v>
      </c>
      <c r="G2" s="11" t="s">
        <v>169</v>
      </c>
      <c r="H2" s="24"/>
      <c r="I2" s="11" t="s">
        <v>170</v>
      </c>
      <c r="J2" s="7" t="s">
        <v>172</v>
      </c>
      <c r="K2" s="7" t="s">
        <v>173</v>
      </c>
      <c r="L2" s="7" t="s">
        <v>174</v>
      </c>
    </row>
    <row r="3" spans="1:12" ht="15.6">
      <c r="A3" s="7" t="s">
        <v>162</v>
      </c>
      <c r="B3" s="20" t="str">
        <f t="shared" ref="B3:B8" si="0">HLOOKUP(LEFT(A3,1),$J$2:$L$3,2,0)</f>
        <v>Yamaha</v>
      </c>
      <c r="C3" s="20">
        <f t="shared" ref="C3:C8" si="1">VLOOKUP(RIGHT(A3,2)*1,$F$3:$G$5,2,0)</f>
        <v>110</v>
      </c>
      <c r="D3" s="20" t="str">
        <f t="shared" ref="D3:D8" si="2">VLOOKUP(B3,$I$6:$L$8,IF(C3=100,2,IF(C3=110,3,4)),0)</f>
        <v>Sirius</v>
      </c>
      <c r="E3" s="24"/>
      <c r="F3" s="7">
        <v>10</v>
      </c>
      <c r="G3" s="7">
        <v>100</v>
      </c>
      <c r="H3" s="24">
        <f>VALUE(RIGHT(A2,2))</f>
        <v>11</v>
      </c>
      <c r="I3" s="11" t="s">
        <v>171</v>
      </c>
      <c r="J3" s="7" t="s">
        <v>175</v>
      </c>
      <c r="K3" s="7" t="s">
        <v>176</v>
      </c>
      <c r="L3" s="7" t="s">
        <v>177</v>
      </c>
    </row>
    <row r="4" spans="1:12" ht="15.6">
      <c r="A4" s="7" t="s">
        <v>163</v>
      </c>
      <c r="B4" s="20" t="str">
        <f t="shared" si="0"/>
        <v>Honda</v>
      </c>
      <c r="C4" s="20">
        <f t="shared" si="1"/>
        <v>125</v>
      </c>
      <c r="D4" s="20" t="str">
        <f t="shared" si="2"/>
        <v>Spacy</v>
      </c>
      <c r="E4" s="24"/>
      <c r="F4" s="7">
        <v>11</v>
      </c>
      <c r="G4" s="7">
        <v>110</v>
      </c>
      <c r="H4" s="24" t="b">
        <f>F4=H3</f>
        <v>1</v>
      </c>
      <c r="I4" s="75" t="s">
        <v>178</v>
      </c>
      <c r="J4" s="75"/>
      <c r="K4" s="75"/>
      <c r="L4" s="75"/>
    </row>
    <row r="5" spans="1:12" ht="15.6">
      <c r="A5" s="7" t="s">
        <v>164</v>
      </c>
      <c r="B5" s="20" t="str">
        <f t="shared" si="0"/>
        <v>Suzuki</v>
      </c>
      <c r="C5" s="20">
        <f t="shared" si="1"/>
        <v>125</v>
      </c>
      <c r="D5" s="20" t="str">
        <f t="shared" si="2"/>
        <v>Fx</v>
      </c>
      <c r="E5" s="24"/>
      <c r="F5" s="7">
        <v>12</v>
      </c>
      <c r="G5" s="7">
        <v>125</v>
      </c>
      <c r="H5" s="24"/>
      <c r="I5" s="7"/>
      <c r="J5" s="11">
        <v>100</v>
      </c>
      <c r="K5" s="11">
        <v>110</v>
      </c>
      <c r="L5" s="11">
        <v>125</v>
      </c>
    </row>
    <row r="6" spans="1:12" ht="15.6">
      <c r="A6" s="7" t="s">
        <v>165</v>
      </c>
      <c r="B6" s="20" t="str">
        <f t="shared" si="0"/>
        <v>Yamaha</v>
      </c>
      <c r="C6" s="20">
        <f t="shared" si="1"/>
        <v>100</v>
      </c>
      <c r="D6" s="20" t="str">
        <f t="shared" si="2"/>
        <v>Crypton</v>
      </c>
      <c r="E6" s="24"/>
      <c r="F6" s="24"/>
      <c r="G6" s="24"/>
      <c r="H6" s="24"/>
      <c r="I6" s="11" t="s">
        <v>175</v>
      </c>
      <c r="J6" s="7" t="s">
        <v>179</v>
      </c>
      <c r="K6" s="7" t="s">
        <v>182</v>
      </c>
      <c r="L6" s="7" t="s">
        <v>185</v>
      </c>
    </row>
    <row r="7" spans="1:12" ht="15.6">
      <c r="A7" s="7" t="s">
        <v>166</v>
      </c>
      <c r="B7" s="20" t="str">
        <f t="shared" si="0"/>
        <v>Honda</v>
      </c>
      <c r="C7" s="20">
        <f t="shared" si="1"/>
        <v>110</v>
      </c>
      <c r="D7" s="20" t="str">
        <f t="shared" si="2"/>
        <v>Wave</v>
      </c>
      <c r="E7" s="24"/>
      <c r="F7" s="24"/>
      <c r="G7" s="24"/>
      <c r="H7" s="24"/>
      <c r="I7" s="11" t="s">
        <v>176</v>
      </c>
      <c r="J7" s="7" t="s">
        <v>180</v>
      </c>
      <c r="K7" s="7" t="s">
        <v>183</v>
      </c>
      <c r="L7" s="7" t="s">
        <v>186</v>
      </c>
    </row>
    <row r="8" spans="1:12" ht="15.6">
      <c r="A8" s="7" t="s">
        <v>167</v>
      </c>
      <c r="B8" s="20" t="str">
        <f t="shared" si="0"/>
        <v>Yamaha</v>
      </c>
      <c r="C8" s="20">
        <f t="shared" si="1"/>
        <v>125</v>
      </c>
      <c r="D8" s="20" t="str">
        <f t="shared" si="2"/>
        <v>Majesty</v>
      </c>
      <c r="E8" s="24"/>
      <c r="F8" s="24"/>
      <c r="G8" s="24"/>
      <c r="H8" s="24"/>
      <c r="I8" s="11" t="s">
        <v>177</v>
      </c>
      <c r="J8" s="7" t="s">
        <v>181</v>
      </c>
      <c r="K8" s="7" t="s">
        <v>184</v>
      </c>
      <c r="L8" s="7" t="s">
        <v>187</v>
      </c>
    </row>
    <row r="10" spans="1:12" ht="15.6">
      <c r="A10" s="28" t="s">
        <v>253</v>
      </c>
    </row>
    <row r="11" spans="1:12" ht="15.6">
      <c r="A11" s="28" t="s">
        <v>254</v>
      </c>
    </row>
    <row r="12" spans="1:12" ht="15.6">
      <c r="A12" s="28" t="s">
        <v>255</v>
      </c>
    </row>
  </sheetData>
  <mergeCells count="3">
    <mergeCell ref="F1:G1"/>
    <mergeCell ref="I1:L1"/>
    <mergeCell ref="I4:L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3"/>
  <sheetViews>
    <sheetView workbookViewId="0">
      <selection activeCell="J3" sqref="J3"/>
    </sheetView>
  </sheetViews>
  <sheetFormatPr defaultRowHeight="14.4"/>
  <cols>
    <col min="1" max="1" width="12.44140625" customWidth="1"/>
    <col min="2" max="2" width="10" customWidth="1"/>
    <col min="3" max="3" width="11.33203125" customWidth="1"/>
    <col min="4" max="4" width="12.44140625" customWidth="1"/>
    <col min="5" max="5" width="11.109375" customWidth="1"/>
    <col min="6" max="6" width="11.6640625" customWidth="1"/>
    <col min="7" max="7" width="12" customWidth="1"/>
    <col min="8" max="8" width="12.5546875" customWidth="1"/>
    <col min="9" max="9" width="11.88671875" customWidth="1"/>
    <col min="10" max="10" width="11.33203125" customWidth="1"/>
    <col min="11" max="11" width="10.44140625" customWidth="1"/>
    <col min="12" max="12" width="14.33203125" customWidth="1"/>
    <col min="13" max="13" width="11.5546875" customWidth="1"/>
  </cols>
  <sheetData>
    <row r="1" spans="1:12" ht="15.6">
      <c r="A1" s="71" t="s">
        <v>222</v>
      </c>
      <c r="B1" s="71"/>
      <c r="C1" s="71"/>
      <c r="D1" s="71"/>
      <c r="E1" s="71"/>
      <c r="F1" s="71"/>
      <c r="G1" s="71"/>
      <c r="H1" s="71"/>
    </row>
    <row r="2" spans="1:12" ht="15.6">
      <c r="A2" s="5" t="s">
        <v>223</v>
      </c>
      <c r="B2" s="5" t="s">
        <v>224</v>
      </c>
      <c r="C2" s="5" t="s">
        <v>225</v>
      </c>
      <c r="D2" s="5" t="s">
        <v>226</v>
      </c>
      <c r="E2" s="5" t="s">
        <v>227</v>
      </c>
      <c r="F2" s="5" t="s">
        <v>228</v>
      </c>
      <c r="G2" s="5" t="s">
        <v>229</v>
      </c>
      <c r="H2" s="5" t="s">
        <v>230</v>
      </c>
      <c r="I2" s="5" t="s">
        <v>249</v>
      </c>
      <c r="J2" s="5" t="s">
        <v>250</v>
      </c>
      <c r="K2" s="5" t="s">
        <v>251</v>
      </c>
      <c r="L2" s="5" t="s">
        <v>252</v>
      </c>
    </row>
    <row r="3" spans="1:12" ht="15.6">
      <c r="A3" s="5" t="s">
        <v>231</v>
      </c>
      <c r="B3" s="5" t="s">
        <v>237</v>
      </c>
      <c r="C3" s="5">
        <v>3</v>
      </c>
      <c r="D3" s="8">
        <v>35154</v>
      </c>
      <c r="E3" s="8">
        <v>35185</v>
      </c>
      <c r="F3" s="5">
        <f>IF(E3=D3,1,E3-D3)</f>
        <v>31</v>
      </c>
      <c r="G3" s="5">
        <f>INT(F3/7)</f>
        <v>4</v>
      </c>
      <c r="H3" s="5">
        <f>MOD(F3,7)</f>
        <v>3</v>
      </c>
      <c r="I3" s="5">
        <f>VLOOKUP(RIGHT(A3,1),$A$14:$D$16,IF(LEFT(A3,1)="1",2,IF(LEFT(A3)="2",3,4)),0)</f>
        <v>160</v>
      </c>
      <c r="J3" s="36"/>
      <c r="K3" s="36"/>
      <c r="L3" s="36"/>
    </row>
    <row r="4" spans="1:12" ht="15.6">
      <c r="A4" s="5" t="s">
        <v>232</v>
      </c>
      <c r="B4" s="5" t="s">
        <v>238</v>
      </c>
      <c r="C4" s="5">
        <v>2</v>
      </c>
      <c r="D4" s="8">
        <v>35147</v>
      </c>
      <c r="E4" s="8">
        <v>35156</v>
      </c>
      <c r="F4" s="5">
        <f t="shared" ref="F4:F8" si="0">IF(E4=D4,1,E4-D4)</f>
        <v>9</v>
      </c>
      <c r="G4" s="5">
        <f t="shared" ref="G4:G8" si="1">INT(F4/7)</f>
        <v>1</v>
      </c>
      <c r="H4" s="5">
        <f t="shared" ref="H4:H8" si="2">MOD(F4,7)</f>
        <v>2</v>
      </c>
      <c r="I4" s="5">
        <f t="shared" ref="I4:I8" si="3">VLOOKUP(RIGHT(A4,1),$A$14:$D$16,IF(LEFT(A4,1)="1",2,IF(LEFT(A4)="2",3,4)),0)</f>
        <v>108</v>
      </c>
      <c r="J4" s="36"/>
      <c r="K4" s="36"/>
      <c r="L4" s="36"/>
    </row>
    <row r="5" spans="1:12" ht="15.6">
      <c r="A5" s="5" t="s">
        <v>233</v>
      </c>
      <c r="B5" s="5" t="s">
        <v>239</v>
      </c>
      <c r="C5" s="5">
        <v>3</v>
      </c>
      <c r="D5" s="8">
        <v>35115</v>
      </c>
      <c r="E5" s="8">
        <v>35117</v>
      </c>
      <c r="F5" s="5">
        <f t="shared" si="0"/>
        <v>2</v>
      </c>
      <c r="G5" s="5">
        <f t="shared" si="1"/>
        <v>0</v>
      </c>
      <c r="H5" s="5">
        <f t="shared" si="2"/>
        <v>2</v>
      </c>
      <c r="I5" s="5">
        <f t="shared" si="3"/>
        <v>52</v>
      </c>
      <c r="J5" s="36"/>
      <c r="K5" s="36"/>
      <c r="L5" s="36"/>
    </row>
    <row r="6" spans="1:12" ht="15.6">
      <c r="A6" s="5" t="s">
        <v>234</v>
      </c>
      <c r="B6" s="5" t="s">
        <v>240</v>
      </c>
      <c r="C6" s="5">
        <v>4</v>
      </c>
      <c r="D6" s="8">
        <v>35144</v>
      </c>
      <c r="E6" s="8">
        <v>35156</v>
      </c>
      <c r="F6" s="5">
        <f t="shared" si="0"/>
        <v>12</v>
      </c>
      <c r="G6" s="5">
        <f t="shared" si="1"/>
        <v>1</v>
      </c>
      <c r="H6" s="5">
        <f t="shared" si="2"/>
        <v>5</v>
      </c>
      <c r="I6" s="5">
        <f t="shared" si="3"/>
        <v>160</v>
      </c>
      <c r="J6" s="36"/>
      <c r="K6" s="36"/>
      <c r="L6" s="36"/>
    </row>
    <row r="7" spans="1:12" ht="15.6">
      <c r="A7" s="5" t="s">
        <v>235</v>
      </c>
      <c r="B7" s="5" t="s">
        <v>241</v>
      </c>
      <c r="C7" s="5">
        <v>5</v>
      </c>
      <c r="D7" s="8">
        <v>35148</v>
      </c>
      <c r="E7" s="8">
        <v>35160</v>
      </c>
      <c r="F7" s="5">
        <f t="shared" si="0"/>
        <v>12</v>
      </c>
      <c r="G7" s="5">
        <f t="shared" si="1"/>
        <v>1</v>
      </c>
      <c r="H7" s="5">
        <f t="shared" si="2"/>
        <v>5</v>
      </c>
      <c r="I7" s="5">
        <f t="shared" si="3"/>
        <v>135</v>
      </c>
      <c r="J7" s="36"/>
      <c r="K7" s="36"/>
      <c r="L7" s="36"/>
    </row>
    <row r="8" spans="1:12" ht="15.6">
      <c r="A8" s="5" t="s">
        <v>236</v>
      </c>
      <c r="B8" s="5" t="s">
        <v>242</v>
      </c>
      <c r="C8" s="5">
        <v>1</v>
      </c>
      <c r="D8" s="8">
        <v>35096</v>
      </c>
      <c r="E8" s="8">
        <v>35125</v>
      </c>
      <c r="F8" s="5">
        <f t="shared" si="0"/>
        <v>29</v>
      </c>
      <c r="G8" s="5">
        <f t="shared" si="1"/>
        <v>4</v>
      </c>
      <c r="H8" s="5">
        <f t="shared" si="2"/>
        <v>1</v>
      </c>
      <c r="I8" s="5">
        <f t="shared" si="3"/>
        <v>80</v>
      </c>
      <c r="J8" s="36"/>
      <c r="K8" s="36"/>
      <c r="L8" s="36"/>
    </row>
    <row r="9" spans="1:12" ht="15.6">
      <c r="A9" s="72" t="s">
        <v>243</v>
      </c>
      <c r="B9" s="72"/>
      <c r="C9" s="72"/>
      <c r="D9" s="72"/>
      <c r="E9" s="72"/>
      <c r="F9" s="5"/>
      <c r="G9" s="5"/>
      <c r="H9" s="5"/>
      <c r="I9" s="36"/>
      <c r="J9" s="36"/>
      <c r="K9" s="36"/>
      <c r="L9" s="36"/>
    </row>
    <row r="10" spans="1:12" ht="15.6">
      <c r="A10" s="25"/>
      <c r="B10" s="25"/>
      <c r="C10" s="25"/>
      <c r="D10" s="25"/>
      <c r="E10" s="25"/>
      <c r="F10" s="25"/>
      <c r="G10" s="25"/>
      <c r="H10" s="25"/>
    </row>
    <row r="11" spans="1:12" ht="15.6">
      <c r="A11" s="25"/>
      <c r="B11" s="25"/>
      <c r="C11" s="25"/>
      <c r="D11" s="25"/>
      <c r="E11" s="25"/>
      <c r="F11" s="25"/>
      <c r="G11" s="25"/>
      <c r="H11" s="25"/>
    </row>
    <row r="12" spans="1:12" ht="15.6">
      <c r="A12" s="72" t="s">
        <v>244</v>
      </c>
      <c r="B12" s="72"/>
      <c r="C12" s="72"/>
      <c r="D12" s="72"/>
      <c r="E12" s="72" t="s">
        <v>246</v>
      </c>
      <c r="F12" s="72"/>
      <c r="G12" s="72"/>
      <c r="H12" s="72"/>
    </row>
    <row r="13" spans="1:12" ht="15.6">
      <c r="A13" s="5" t="s">
        <v>223</v>
      </c>
      <c r="B13" s="5" t="s">
        <v>245</v>
      </c>
      <c r="C13" s="5" t="s">
        <v>247</v>
      </c>
      <c r="D13" s="5" t="s">
        <v>248</v>
      </c>
      <c r="E13" s="5" t="s">
        <v>223</v>
      </c>
      <c r="F13" s="5" t="s">
        <v>47</v>
      </c>
      <c r="G13" s="5" t="s">
        <v>48</v>
      </c>
      <c r="H13" s="5" t="s">
        <v>49</v>
      </c>
    </row>
    <row r="14" spans="1:12" ht="15.6">
      <c r="A14" s="5" t="s">
        <v>47</v>
      </c>
      <c r="B14" s="37">
        <v>160</v>
      </c>
      <c r="C14" s="37">
        <v>135</v>
      </c>
      <c r="D14" s="37">
        <v>108</v>
      </c>
      <c r="E14" s="5" t="s">
        <v>245</v>
      </c>
      <c r="F14" s="37">
        <v>24</v>
      </c>
      <c r="G14" s="37">
        <v>20</v>
      </c>
      <c r="H14" s="37">
        <v>16</v>
      </c>
    </row>
    <row r="15" spans="1:12" ht="15.6">
      <c r="A15" s="5" t="s">
        <v>48</v>
      </c>
      <c r="B15" s="37">
        <v>135</v>
      </c>
      <c r="C15" s="37">
        <v>108</v>
      </c>
      <c r="D15" s="37">
        <v>80</v>
      </c>
      <c r="E15" s="5" t="s">
        <v>247</v>
      </c>
      <c r="F15" s="37">
        <v>20</v>
      </c>
      <c r="G15" s="37">
        <v>16</v>
      </c>
      <c r="H15" s="37">
        <v>12</v>
      </c>
    </row>
    <row r="16" spans="1:12" ht="15.6">
      <c r="A16" s="5" t="s">
        <v>49</v>
      </c>
      <c r="B16" s="37">
        <v>108</v>
      </c>
      <c r="C16" s="37">
        <v>80</v>
      </c>
      <c r="D16" s="37">
        <v>52</v>
      </c>
      <c r="E16" s="5" t="s">
        <v>248</v>
      </c>
      <c r="F16" s="37">
        <v>16</v>
      </c>
      <c r="G16" s="37">
        <v>12</v>
      </c>
      <c r="H16" s="37">
        <v>8</v>
      </c>
    </row>
    <row r="18" spans="1:1" ht="15.6">
      <c r="A18" s="28" t="s">
        <v>256</v>
      </c>
    </row>
    <row r="19" spans="1:1" ht="15.6">
      <c r="A19" s="28" t="s">
        <v>257</v>
      </c>
    </row>
    <row r="20" spans="1:1" ht="15.6">
      <c r="A20" s="28" t="s">
        <v>258</v>
      </c>
    </row>
    <row r="21" spans="1:1" ht="15.6">
      <c r="A21" s="28" t="s">
        <v>259</v>
      </c>
    </row>
    <row r="22" spans="1:1" ht="15.6">
      <c r="A22" s="28" t="s">
        <v>260</v>
      </c>
    </row>
    <row r="23" spans="1:1" ht="15.6">
      <c r="A23" s="28" t="s">
        <v>261</v>
      </c>
    </row>
    <row r="24" spans="1:1" ht="15.6">
      <c r="A24" s="28" t="s">
        <v>262</v>
      </c>
    </row>
    <row r="25" spans="1:1" ht="15.6">
      <c r="A25" s="28" t="s">
        <v>260</v>
      </c>
    </row>
    <row r="26" spans="1:1" ht="15.6">
      <c r="A26" s="28" t="s">
        <v>261</v>
      </c>
    </row>
    <row r="27" spans="1:1" ht="15.6">
      <c r="A27" s="28" t="s">
        <v>263</v>
      </c>
    </row>
    <row r="28" spans="1:1" ht="15.6">
      <c r="A28" s="28" t="s">
        <v>264</v>
      </c>
    </row>
    <row r="29" spans="1:1" ht="15.6">
      <c r="A29" s="28" t="s">
        <v>265</v>
      </c>
    </row>
    <row r="30" spans="1:1" ht="15.6">
      <c r="A30" s="28" t="s">
        <v>266</v>
      </c>
    </row>
    <row r="31" spans="1:1" ht="15.6">
      <c r="A31" s="28" t="s">
        <v>267</v>
      </c>
    </row>
    <row r="32" spans="1:1" ht="15.6">
      <c r="A32" s="28" t="s">
        <v>268</v>
      </c>
    </row>
    <row r="33" spans="1:1" ht="15.6">
      <c r="A33" s="28" t="s">
        <v>269</v>
      </c>
    </row>
  </sheetData>
  <mergeCells count="4">
    <mergeCell ref="A1:H1"/>
    <mergeCell ref="A9:E9"/>
    <mergeCell ref="A12:D12"/>
    <mergeCell ref="E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</vt:i4>
      </vt:variant>
    </vt:vector>
  </HeadingPairs>
  <TitlesOfParts>
    <vt:vector size="31" baseType="lpstr">
      <vt:lpstr>Bài 11-1</vt:lpstr>
      <vt:lpstr>Bài 11-3</vt:lpstr>
      <vt:lpstr>Bài 11-4</vt:lpstr>
      <vt:lpstr>Bài 11-6</vt:lpstr>
      <vt:lpstr>Bài 11-7</vt:lpstr>
      <vt:lpstr>Bài 11-18</vt:lpstr>
      <vt:lpstr>Bài 11-20</vt:lpstr>
      <vt:lpstr>Bài 11-22</vt:lpstr>
      <vt:lpstr>Bài 11-23</vt:lpstr>
      <vt:lpstr>Bài 11-25</vt:lpstr>
      <vt:lpstr>Bài 11-28</vt:lpstr>
      <vt:lpstr>Bài 11-32</vt:lpstr>
      <vt:lpstr> Bài 1</vt:lpstr>
      <vt:lpstr>Sheet2</vt:lpstr>
      <vt:lpstr>Bài 2</vt:lpstr>
      <vt:lpstr>THUTU</vt:lpstr>
      <vt:lpstr>Bài 3</vt:lpstr>
      <vt:lpstr>Sheet3</vt:lpstr>
      <vt:lpstr>Bài 4</vt:lpstr>
      <vt:lpstr>Thống Kê</vt:lpstr>
      <vt:lpstr>Bài 5</vt:lpstr>
      <vt:lpstr>'Bài 5'!Criteria</vt:lpstr>
      <vt:lpstr>Sheet2!Criteria</vt:lpstr>
      <vt:lpstr>Sheet3!Criteria</vt:lpstr>
      <vt:lpstr>'Thống Kê'!Criteria</vt:lpstr>
      <vt:lpstr>THUTU!Criteria</vt:lpstr>
      <vt:lpstr>'Bài 5'!Extract</vt:lpstr>
      <vt:lpstr>Sheet2!Extract</vt:lpstr>
      <vt:lpstr>Sheet3!Extract</vt:lpstr>
      <vt:lpstr>'Thống Kê'!Extract</vt:lpstr>
      <vt:lpstr>THUTU!Extract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SINHVIEN</dc:creator>
  <cp:lastModifiedBy>MinhTri</cp:lastModifiedBy>
  <dcterms:created xsi:type="dcterms:W3CDTF">2025-03-19T11:03:07Z</dcterms:created>
  <dcterms:modified xsi:type="dcterms:W3CDTF">2025-08-01T15:29:33Z</dcterms:modified>
</cp:coreProperties>
</file>