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0.Du an\BKI_HRM\01. Documents\Du lieu nhan vien\"/>
    </mc:Choice>
  </mc:AlternateContent>
  <bookViews>
    <workbookView xWindow="390" yWindow="675" windowWidth="19815" windowHeight="9285" activeTab="4"/>
  </bookViews>
  <sheets>
    <sheet name="INPUT_Du_lieu_nhan_vien" sheetId="1" r:id="rId1"/>
    <sheet name="Copy of Copy of Sheet1" sheetId="2" state="hidden" r:id="rId2"/>
    <sheet name="Copy of Thong tin SN" sheetId="3" r:id="rId3"/>
    <sheet name="Copy of Headcount" sheetId="4" r:id="rId4"/>
    <sheet name="Parameter" sheetId="5" r:id="rId5"/>
  </sheets>
  <definedNames>
    <definedName name="_xlnm._FilterDatabase" localSheetId="2" hidden="1">'Copy of Thong tin SN'!$A$1:$Z$96</definedName>
    <definedName name="_xlnm._FilterDatabase" localSheetId="0" hidden="1">INPUT_Du_lieu_nhan_vien!$A$2:$AV$823</definedName>
  </definedNames>
  <calcPr calcId="152511"/>
</workbook>
</file>

<file path=xl/calcChain.xml><?xml version="1.0" encoding="utf-8"?>
<calcChain xmlns="http://schemas.openxmlformats.org/spreadsheetml/2006/main">
  <c r="AK823" i="1" l="1"/>
  <c r="AH823" i="1"/>
  <c r="AK822" i="1"/>
  <c r="AH822" i="1"/>
  <c r="AK821" i="1"/>
  <c r="AH821" i="1"/>
  <c r="AH820" i="1"/>
  <c r="AH819" i="1"/>
  <c r="AH818" i="1"/>
  <c r="AH817" i="1"/>
  <c r="AH816" i="1"/>
  <c r="AH815" i="1"/>
  <c r="AH814" i="1"/>
  <c r="AH813" i="1"/>
  <c r="AH812" i="1"/>
  <c r="AH811" i="1"/>
  <c r="AH810" i="1"/>
  <c r="AH809" i="1"/>
  <c r="AH808" i="1"/>
  <c r="AH807" i="1"/>
  <c r="AH806" i="1"/>
  <c r="AH805" i="1"/>
  <c r="AH804" i="1"/>
  <c r="AP803" i="1"/>
  <c r="AK803" i="1"/>
  <c r="AH803" i="1"/>
  <c r="AU802" i="1"/>
  <c r="AH802" i="1"/>
  <c r="AU801" i="1"/>
  <c r="AH801" i="1"/>
  <c r="AU800" i="1"/>
  <c r="AP800" i="1"/>
  <c r="AK800" i="1"/>
  <c r="AH800" i="1"/>
  <c r="AU799" i="1"/>
  <c r="AP799" i="1"/>
  <c r="AK799" i="1"/>
  <c r="AH799" i="1"/>
  <c r="AU798" i="1"/>
  <c r="AP798" i="1"/>
  <c r="AK798" i="1"/>
  <c r="AH798" i="1"/>
  <c r="AU797" i="1"/>
  <c r="AP797" i="1"/>
  <c r="AK797" i="1"/>
  <c r="AH797" i="1"/>
  <c r="AU796" i="1"/>
  <c r="AP796" i="1"/>
  <c r="AK796" i="1"/>
  <c r="AH796" i="1"/>
  <c r="AU795" i="1"/>
  <c r="AP795" i="1"/>
  <c r="AK795" i="1"/>
  <c r="AH795" i="1"/>
  <c r="AU794" i="1"/>
  <c r="AP794" i="1"/>
  <c r="AK794" i="1"/>
  <c r="AH794" i="1"/>
  <c r="AU793" i="1"/>
  <c r="AP793" i="1"/>
  <c r="AK793" i="1"/>
  <c r="AH793" i="1"/>
  <c r="AU792" i="1"/>
  <c r="AP792" i="1"/>
  <c r="AK792" i="1"/>
  <c r="AH792" i="1"/>
  <c r="AU791" i="1"/>
  <c r="AP791" i="1"/>
  <c r="AK791" i="1"/>
  <c r="AH791" i="1"/>
  <c r="AU790" i="1"/>
  <c r="AP790" i="1"/>
  <c r="AK790" i="1"/>
  <c r="AH790" i="1"/>
  <c r="AU789" i="1"/>
  <c r="AK789" i="1"/>
  <c r="AH789" i="1"/>
  <c r="AU788" i="1"/>
  <c r="AK788" i="1"/>
  <c r="AH788" i="1"/>
  <c r="AU787" i="1"/>
  <c r="AK787" i="1"/>
  <c r="AU786" i="1"/>
  <c r="AK786" i="1"/>
  <c r="AH786" i="1"/>
  <c r="AU785" i="1"/>
  <c r="AK785" i="1"/>
  <c r="AH785" i="1"/>
  <c r="AU784" i="1"/>
  <c r="AK784" i="1"/>
  <c r="AH784" i="1"/>
  <c r="AU783" i="1"/>
  <c r="AK783" i="1"/>
  <c r="AH783" i="1"/>
  <c r="AU782" i="1"/>
  <c r="AK782" i="1"/>
  <c r="AH782" i="1"/>
  <c r="AU781" i="1"/>
  <c r="AP781" i="1"/>
  <c r="AK781" i="1"/>
  <c r="AH781" i="1"/>
  <c r="AU780" i="1"/>
  <c r="AP780" i="1"/>
  <c r="AK780" i="1"/>
  <c r="AH780" i="1"/>
  <c r="AU779" i="1"/>
  <c r="AP779" i="1"/>
  <c r="AK779" i="1"/>
  <c r="AH779" i="1"/>
  <c r="AU778" i="1"/>
  <c r="AP778" i="1"/>
  <c r="AK778" i="1"/>
  <c r="AH778" i="1"/>
  <c r="AU777" i="1"/>
  <c r="AP777" i="1"/>
  <c r="AK777" i="1"/>
  <c r="AH777" i="1"/>
  <c r="AU776" i="1"/>
  <c r="AP776" i="1"/>
  <c r="AK776" i="1"/>
  <c r="AH776" i="1"/>
  <c r="AU775" i="1"/>
  <c r="AP775" i="1"/>
  <c r="AK775" i="1"/>
  <c r="AH775" i="1"/>
  <c r="AU774" i="1"/>
  <c r="AP774" i="1"/>
  <c r="AK774" i="1"/>
  <c r="AH774" i="1"/>
  <c r="AU773" i="1"/>
  <c r="AK773" i="1"/>
  <c r="AH773" i="1"/>
  <c r="AU772" i="1"/>
  <c r="AP772" i="1"/>
  <c r="AK772" i="1"/>
  <c r="AH772" i="1"/>
  <c r="AU771" i="1"/>
  <c r="AP771" i="1"/>
  <c r="AK771" i="1"/>
  <c r="AH771" i="1"/>
  <c r="AU770" i="1"/>
  <c r="AP770" i="1"/>
  <c r="AK770" i="1"/>
  <c r="AH770" i="1"/>
  <c r="AU769" i="1"/>
  <c r="AP769" i="1"/>
  <c r="AK769" i="1"/>
  <c r="AH769" i="1"/>
  <c r="AU768" i="1"/>
  <c r="AP768" i="1"/>
  <c r="AK768" i="1"/>
  <c r="AH768" i="1"/>
  <c r="AU767" i="1"/>
  <c r="AP767" i="1"/>
  <c r="AK767" i="1"/>
  <c r="AH767" i="1"/>
  <c r="AU766" i="1"/>
  <c r="AP766" i="1"/>
  <c r="AK766" i="1"/>
  <c r="AH766" i="1"/>
  <c r="AU765" i="1"/>
  <c r="AP765" i="1"/>
  <c r="AK765" i="1"/>
  <c r="AH765" i="1"/>
  <c r="AU764" i="1"/>
  <c r="AK764" i="1"/>
  <c r="AH764" i="1"/>
  <c r="AU763" i="1"/>
  <c r="AK763" i="1"/>
  <c r="AH763" i="1"/>
  <c r="AU762" i="1"/>
  <c r="AK762" i="1"/>
  <c r="AH762" i="1"/>
  <c r="AU761" i="1"/>
  <c r="AK761" i="1"/>
  <c r="AH761" i="1"/>
  <c r="AU760" i="1"/>
  <c r="AK760" i="1"/>
  <c r="AH760" i="1"/>
  <c r="AU759" i="1"/>
  <c r="AK759" i="1"/>
  <c r="AH759" i="1"/>
  <c r="AU758" i="1"/>
  <c r="AK758" i="1"/>
  <c r="AH758" i="1"/>
  <c r="AU757" i="1"/>
  <c r="AK757" i="1"/>
  <c r="AH757" i="1"/>
  <c r="AU756" i="1"/>
  <c r="AK756" i="1"/>
  <c r="AH756" i="1"/>
  <c r="AU755" i="1"/>
  <c r="AK755" i="1"/>
  <c r="AH755" i="1"/>
  <c r="AU754" i="1"/>
  <c r="AK754" i="1"/>
  <c r="AH754" i="1"/>
  <c r="AU753" i="1"/>
  <c r="AK753" i="1"/>
  <c r="AH753" i="1"/>
  <c r="AU752" i="1"/>
  <c r="AK752" i="1"/>
  <c r="AU751" i="1"/>
  <c r="AK751" i="1"/>
  <c r="AH751" i="1"/>
  <c r="AU750" i="1"/>
  <c r="AK750" i="1"/>
  <c r="AH750" i="1"/>
  <c r="AU749" i="1"/>
  <c r="AP749" i="1"/>
  <c r="AK749" i="1"/>
  <c r="AH749" i="1"/>
  <c r="AU748" i="1"/>
  <c r="AP748" i="1"/>
  <c r="AK748" i="1"/>
  <c r="AH748" i="1"/>
  <c r="AU747" i="1"/>
  <c r="AK747" i="1"/>
  <c r="AH747" i="1"/>
  <c r="AU746" i="1"/>
  <c r="AK746" i="1"/>
  <c r="AH746" i="1"/>
  <c r="AU745" i="1"/>
  <c r="AK745" i="1"/>
  <c r="AH745" i="1"/>
  <c r="AU744" i="1"/>
  <c r="AP744" i="1"/>
  <c r="AK744" i="1"/>
  <c r="AH744" i="1"/>
  <c r="AU743" i="1"/>
  <c r="AK743" i="1"/>
  <c r="AH743" i="1"/>
  <c r="AU742" i="1"/>
  <c r="AK742" i="1"/>
  <c r="AH742" i="1"/>
  <c r="AU741" i="1"/>
  <c r="AK741" i="1"/>
  <c r="AH741" i="1"/>
  <c r="AU740" i="1"/>
  <c r="AK740" i="1"/>
  <c r="AH740" i="1"/>
  <c r="AU739" i="1"/>
  <c r="AK739" i="1"/>
  <c r="AH739" i="1"/>
  <c r="P739" i="1"/>
  <c r="AU738" i="1"/>
  <c r="AK738" i="1"/>
  <c r="AH738" i="1"/>
  <c r="AU737" i="1"/>
  <c r="AK737" i="1"/>
  <c r="AH737" i="1"/>
  <c r="AU736" i="1"/>
  <c r="AP736" i="1"/>
  <c r="AK736" i="1"/>
  <c r="AH736" i="1"/>
  <c r="P736" i="1"/>
  <c r="AU735" i="1"/>
  <c r="AK735" i="1"/>
  <c r="AH735" i="1"/>
  <c r="P735" i="1"/>
  <c r="AU734" i="1"/>
  <c r="AP734" i="1"/>
  <c r="AK734" i="1"/>
  <c r="AH734" i="1"/>
  <c r="P734" i="1"/>
  <c r="AU733" i="1"/>
  <c r="AK733" i="1"/>
  <c r="AH733" i="1"/>
  <c r="P733" i="1"/>
  <c r="AU732" i="1"/>
  <c r="AP732" i="1"/>
  <c r="AK732" i="1"/>
  <c r="AH732" i="1"/>
  <c r="P732" i="1"/>
  <c r="AU731" i="1"/>
  <c r="AP731" i="1"/>
  <c r="AK731" i="1"/>
  <c r="AH731" i="1"/>
  <c r="P731" i="1"/>
  <c r="AU730" i="1"/>
  <c r="AP730" i="1"/>
  <c r="AK730" i="1"/>
  <c r="AH730" i="1"/>
  <c r="P730" i="1"/>
  <c r="AU729" i="1"/>
  <c r="AP729" i="1"/>
  <c r="AK729" i="1"/>
  <c r="AH729" i="1"/>
  <c r="P729" i="1"/>
  <c r="AU728" i="1"/>
  <c r="AK728" i="1"/>
  <c r="AH728" i="1"/>
  <c r="AU727" i="1"/>
  <c r="AP727" i="1"/>
  <c r="AK727" i="1"/>
  <c r="AH727" i="1"/>
  <c r="P727" i="1"/>
  <c r="AU726" i="1"/>
  <c r="AP726" i="1"/>
  <c r="AK726" i="1"/>
  <c r="AH726" i="1"/>
  <c r="P726" i="1"/>
  <c r="AU725" i="1"/>
  <c r="AP725" i="1"/>
  <c r="AK725" i="1"/>
  <c r="AH725" i="1"/>
  <c r="P725" i="1"/>
  <c r="AU724" i="1"/>
  <c r="AP724" i="1"/>
  <c r="AK724" i="1"/>
  <c r="AH724" i="1"/>
  <c r="P724" i="1"/>
  <c r="AU723" i="1"/>
  <c r="AP723" i="1"/>
  <c r="AK723" i="1"/>
  <c r="AH723" i="1"/>
  <c r="S723" i="1"/>
  <c r="P723" i="1"/>
  <c r="AU722" i="1"/>
  <c r="AP722" i="1"/>
  <c r="AK722" i="1"/>
  <c r="AH722" i="1"/>
  <c r="P722" i="1"/>
  <c r="AU721" i="1"/>
  <c r="AP721" i="1"/>
  <c r="AK721" i="1"/>
  <c r="AH721" i="1"/>
  <c r="P721" i="1"/>
  <c r="AU720" i="1"/>
  <c r="AP720" i="1"/>
  <c r="AK720" i="1"/>
  <c r="AH720" i="1"/>
  <c r="P720" i="1"/>
  <c r="AU719" i="1"/>
  <c r="AP719" i="1"/>
  <c r="AK719" i="1"/>
  <c r="AH719" i="1"/>
  <c r="S719" i="1"/>
  <c r="P719" i="1"/>
  <c r="AU718" i="1"/>
  <c r="AP718" i="1"/>
  <c r="AK718" i="1"/>
  <c r="AH718" i="1"/>
  <c r="P718" i="1"/>
  <c r="AU717" i="1"/>
  <c r="AP717" i="1"/>
  <c r="AK717" i="1"/>
  <c r="AH717" i="1"/>
  <c r="S717" i="1"/>
  <c r="P717" i="1"/>
  <c r="AU716" i="1"/>
  <c r="AP716" i="1"/>
  <c r="AK716" i="1"/>
  <c r="AH716" i="1"/>
  <c r="S716" i="1"/>
  <c r="P716" i="1"/>
  <c r="AU715" i="1"/>
  <c r="AP715" i="1"/>
  <c r="AK715" i="1"/>
  <c r="AH715" i="1"/>
  <c r="S715" i="1"/>
  <c r="P715" i="1"/>
  <c r="AU714" i="1"/>
  <c r="AP714" i="1"/>
  <c r="AK714" i="1"/>
  <c r="AH714" i="1"/>
  <c r="P714" i="1"/>
  <c r="AU713" i="1"/>
  <c r="AP713" i="1"/>
  <c r="AK713" i="1"/>
  <c r="AH713" i="1"/>
  <c r="P713" i="1"/>
  <c r="AU712" i="1"/>
  <c r="AP712" i="1"/>
  <c r="AK712" i="1"/>
  <c r="AH712" i="1"/>
  <c r="P712" i="1"/>
  <c r="AU711" i="1"/>
  <c r="AP711" i="1"/>
  <c r="AK711" i="1"/>
  <c r="AH711" i="1"/>
  <c r="S711" i="1"/>
  <c r="P711" i="1"/>
  <c r="AU710" i="1"/>
  <c r="AP710" i="1"/>
  <c r="AK710" i="1"/>
  <c r="AH710" i="1"/>
  <c r="P710" i="1"/>
  <c r="AU709" i="1"/>
  <c r="AP709" i="1"/>
  <c r="AK709" i="1"/>
  <c r="AH709" i="1"/>
  <c r="P709" i="1"/>
  <c r="AU708" i="1"/>
  <c r="AP708" i="1"/>
  <c r="AK708" i="1"/>
  <c r="AH708" i="1"/>
  <c r="S708" i="1"/>
  <c r="P708" i="1"/>
  <c r="AU707" i="1"/>
  <c r="AP707" i="1"/>
  <c r="AK707" i="1"/>
  <c r="AH707" i="1"/>
  <c r="S707" i="1"/>
  <c r="P707" i="1"/>
  <c r="AU706" i="1"/>
  <c r="AP706" i="1"/>
  <c r="AK706" i="1"/>
  <c r="AH706" i="1"/>
  <c r="S706" i="1"/>
  <c r="P706" i="1"/>
  <c r="AU705" i="1"/>
  <c r="AP705" i="1"/>
  <c r="AK705" i="1"/>
  <c r="AH705" i="1"/>
  <c r="S705" i="1"/>
  <c r="P705" i="1"/>
  <c r="AU704" i="1"/>
  <c r="AP704" i="1"/>
  <c r="AK704" i="1"/>
  <c r="AH704" i="1"/>
  <c r="S704" i="1"/>
  <c r="P704" i="1"/>
  <c r="AU703" i="1"/>
  <c r="AP703" i="1"/>
  <c r="AK703" i="1"/>
  <c r="AH703" i="1"/>
  <c r="AU702" i="1"/>
  <c r="AP702" i="1"/>
  <c r="AK702" i="1"/>
  <c r="P702" i="1"/>
  <c r="AU701" i="1"/>
  <c r="AP701" i="1"/>
  <c r="AK701" i="1"/>
  <c r="AH701" i="1"/>
  <c r="P701" i="1"/>
  <c r="AU700" i="1"/>
  <c r="AP700" i="1"/>
  <c r="AK700" i="1"/>
  <c r="AH700" i="1"/>
  <c r="P700" i="1"/>
  <c r="AU699" i="1"/>
  <c r="AP699" i="1"/>
  <c r="AK699" i="1"/>
  <c r="AH699" i="1"/>
  <c r="P699" i="1"/>
  <c r="AU698" i="1"/>
  <c r="AP698" i="1"/>
  <c r="AK698" i="1"/>
  <c r="AH698" i="1"/>
  <c r="S698" i="1"/>
  <c r="P698" i="1"/>
  <c r="AU697" i="1"/>
  <c r="AP697" i="1"/>
  <c r="AK697" i="1"/>
  <c r="AH697" i="1"/>
  <c r="P697" i="1"/>
  <c r="AU696" i="1"/>
  <c r="AP696" i="1"/>
  <c r="AK696" i="1"/>
  <c r="AH696" i="1"/>
  <c r="P696" i="1"/>
  <c r="AU695" i="1"/>
  <c r="AP695" i="1"/>
  <c r="AK695" i="1"/>
  <c r="AH695" i="1"/>
  <c r="S695" i="1"/>
  <c r="P695" i="1"/>
  <c r="AU694" i="1"/>
  <c r="AP694" i="1"/>
  <c r="AK694" i="1"/>
  <c r="AH694" i="1"/>
  <c r="P694" i="1"/>
  <c r="AU693" i="1"/>
  <c r="AP693" i="1"/>
  <c r="AK693" i="1"/>
  <c r="AH693" i="1"/>
  <c r="S693" i="1"/>
  <c r="P693" i="1"/>
  <c r="AU692" i="1"/>
  <c r="AP692" i="1"/>
  <c r="AK692" i="1"/>
  <c r="AH692" i="1"/>
  <c r="P692" i="1"/>
  <c r="AU691" i="1"/>
  <c r="AP691" i="1"/>
  <c r="AK691" i="1"/>
  <c r="AH691" i="1"/>
  <c r="S691" i="1"/>
  <c r="P691" i="1"/>
  <c r="AU690" i="1"/>
  <c r="AP690" i="1"/>
  <c r="AK690" i="1"/>
  <c r="AH690" i="1"/>
  <c r="S690" i="1"/>
  <c r="P690" i="1"/>
  <c r="AU689" i="1"/>
  <c r="AP689" i="1"/>
  <c r="AK689" i="1"/>
  <c r="AH689" i="1"/>
  <c r="P689" i="1"/>
  <c r="AU688" i="1"/>
  <c r="AP688" i="1"/>
  <c r="AK688" i="1"/>
  <c r="AH688" i="1"/>
  <c r="P688" i="1"/>
  <c r="AU687" i="1"/>
  <c r="AP687" i="1"/>
  <c r="AK687" i="1"/>
  <c r="AH687" i="1"/>
  <c r="P687" i="1"/>
  <c r="AU686" i="1"/>
  <c r="AP686" i="1"/>
  <c r="AK686" i="1"/>
  <c r="AH686" i="1"/>
  <c r="S686" i="1"/>
  <c r="P686" i="1"/>
  <c r="AP685" i="1"/>
  <c r="AK685" i="1"/>
  <c r="AH685" i="1"/>
  <c r="S685" i="1"/>
  <c r="P685" i="1"/>
  <c r="AU684" i="1"/>
  <c r="AK684" i="1"/>
  <c r="AH684" i="1"/>
  <c r="P684" i="1"/>
  <c r="AU683" i="1"/>
  <c r="AK683" i="1"/>
  <c r="AH683" i="1"/>
  <c r="P683" i="1"/>
  <c r="AU682" i="1"/>
  <c r="AK682" i="1"/>
  <c r="AH682" i="1"/>
  <c r="S682" i="1"/>
  <c r="P682" i="1"/>
  <c r="AU681" i="1"/>
  <c r="AP681" i="1"/>
  <c r="AK681" i="1"/>
  <c r="AH681" i="1"/>
  <c r="P681" i="1"/>
  <c r="AU680" i="1"/>
  <c r="AK680" i="1"/>
  <c r="AH680" i="1"/>
  <c r="P680" i="1"/>
  <c r="AU679" i="1"/>
  <c r="AK679" i="1"/>
  <c r="AH679" i="1"/>
  <c r="S679" i="1"/>
  <c r="P679" i="1"/>
  <c r="AU678" i="1"/>
  <c r="AK678" i="1"/>
  <c r="AH678" i="1"/>
  <c r="S678" i="1"/>
  <c r="P678" i="1"/>
  <c r="AU677" i="1"/>
  <c r="AK677" i="1"/>
  <c r="AH677" i="1"/>
  <c r="S677" i="1"/>
  <c r="P677" i="1"/>
  <c r="AU676" i="1"/>
  <c r="AK676" i="1"/>
  <c r="AH676" i="1"/>
  <c r="P676" i="1"/>
  <c r="AU675" i="1"/>
  <c r="AK675" i="1"/>
  <c r="AH675" i="1"/>
  <c r="P675" i="1"/>
  <c r="AU674" i="1"/>
  <c r="AK674" i="1"/>
  <c r="AH674" i="1"/>
  <c r="P674" i="1"/>
  <c r="AU673" i="1"/>
  <c r="AK673" i="1"/>
  <c r="AH673" i="1"/>
  <c r="P673" i="1"/>
  <c r="AU672" i="1"/>
  <c r="AP672" i="1"/>
  <c r="AK672" i="1"/>
  <c r="AH672" i="1"/>
  <c r="P672" i="1"/>
  <c r="AU671" i="1"/>
  <c r="AK671" i="1"/>
  <c r="AH671" i="1"/>
  <c r="S671" i="1"/>
  <c r="P671" i="1"/>
  <c r="AU670" i="1"/>
  <c r="AK670" i="1"/>
  <c r="AH670" i="1"/>
  <c r="S670" i="1"/>
  <c r="P670" i="1"/>
  <c r="AU669" i="1"/>
  <c r="AK669" i="1"/>
  <c r="AH669" i="1"/>
  <c r="S669" i="1"/>
  <c r="P669" i="1"/>
  <c r="AU668" i="1"/>
  <c r="AP668" i="1"/>
  <c r="AK668" i="1"/>
  <c r="AH668" i="1"/>
  <c r="P668" i="1"/>
  <c r="AU667" i="1"/>
  <c r="AP667" i="1"/>
  <c r="AK667" i="1"/>
  <c r="AH667" i="1"/>
  <c r="S667" i="1"/>
  <c r="P667" i="1"/>
  <c r="AU666" i="1"/>
  <c r="AP666" i="1"/>
  <c r="AK666" i="1"/>
  <c r="AH666" i="1"/>
  <c r="S666" i="1"/>
  <c r="P666" i="1"/>
  <c r="AU665" i="1"/>
  <c r="AP665" i="1"/>
  <c r="AK665" i="1"/>
  <c r="AH665" i="1"/>
  <c r="P665" i="1"/>
  <c r="AU664" i="1"/>
  <c r="AP664" i="1"/>
  <c r="AK664" i="1"/>
  <c r="AH664" i="1"/>
  <c r="S664" i="1"/>
  <c r="P664" i="1"/>
  <c r="AU663" i="1"/>
  <c r="AP663" i="1"/>
  <c r="AK663" i="1"/>
  <c r="AH663" i="1"/>
  <c r="P663" i="1"/>
  <c r="AU662" i="1"/>
  <c r="AP662" i="1"/>
  <c r="AN662" i="1"/>
  <c r="AK662" i="1"/>
  <c r="AH662" i="1"/>
  <c r="S662" i="1"/>
  <c r="AU661" i="1"/>
  <c r="AP661" i="1"/>
  <c r="AK661" i="1"/>
  <c r="AH661" i="1"/>
  <c r="P661" i="1"/>
  <c r="AU660" i="1"/>
  <c r="AP660" i="1"/>
  <c r="AK660" i="1"/>
  <c r="AH660" i="1"/>
  <c r="S660" i="1"/>
  <c r="AU659" i="1"/>
  <c r="AP659" i="1"/>
  <c r="AK659" i="1"/>
  <c r="AH659" i="1"/>
  <c r="S659" i="1"/>
  <c r="AU658" i="1"/>
  <c r="AP658" i="1"/>
  <c r="AK658" i="1"/>
  <c r="AH658" i="1"/>
  <c r="S658" i="1"/>
  <c r="AU657" i="1"/>
  <c r="AP657" i="1"/>
  <c r="AK657" i="1"/>
  <c r="AH657" i="1"/>
  <c r="P657" i="1"/>
  <c r="AU656" i="1"/>
  <c r="AP656" i="1"/>
  <c r="AK656" i="1"/>
  <c r="AH656" i="1"/>
  <c r="S656" i="1"/>
  <c r="P656" i="1"/>
  <c r="AU655" i="1"/>
  <c r="AP655" i="1"/>
  <c r="AK655" i="1"/>
  <c r="AH655" i="1"/>
  <c r="AU654" i="1"/>
  <c r="AP654" i="1"/>
  <c r="AK654" i="1"/>
  <c r="AH654" i="1"/>
  <c r="S654" i="1"/>
  <c r="P654" i="1"/>
  <c r="AU653" i="1"/>
  <c r="AP653" i="1"/>
  <c r="AK653" i="1"/>
  <c r="AH653" i="1"/>
  <c r="S653" i="1"/>
  <c r="P653" i="1"/>
  <c r="AU652" i="1"/>
  <c r="AP652" i="1"/>
  <c r="AK652" i="1"/>
  <c r="AH652" i="1"/>
  <c r="P652" i="1"/>
  <c r="AU651" i="1"/>
  <c r="AP651" i="1"/>
  <c r="AK651" i="1"/>
  <c r="AH651" i="1"/>
  <c r="P651" i="1"/>
  <c r="AU650" i="1"/>
  <c r="AP650" i="1"/>
  <c r="AK650" i="1"/>
  <c r="AH650" i="1"/>
  <c r="S650" i="1"/>
  <c r="P650" i="1"/>
  <c r="AU649" i="1"/>
  <c r="AP649" i="1"/>
  <c r="AK649" i="1"/>
  <c r="AH649" i="1"/>
  <c r="P649" i="1"/>
  <c r="AU648" i="1"/>
  <c r="AP648" i="1"/>
  <c r="AK648" i="1"/>
  <c r="AH648" i="1"/>
  <c r="P648" i="1"/>
  <c r="AU647" i="1"/>
  <c r="AP647" i="1"/>
  <c r="AK647" i="1"/>
  <c r="AH647" i="1"/>
  <c r="AU646" i="1"/>
  <c r="AP646" i="1"/>
  <c r="AK646" i="1"/>
  <c r="AH646" i="1"/>
  <c r="S646" i="1"/>
  <c r="AU645" i="1"/>
  <c r="AP645" i="1"/>
  <c r="AK645" i="1"/>
  <c r="AH645" i="1"/>
  <c r="AU644" i="1"/>
  <c r="AP644" i="1"/>
  <c r="AK644" i="1"/>
  <c r="AH644" i="1"/>
  <c r="AU643" i="1"/>
  <c r="AP643" i="1"/>
  <c r="AH643" i="1"/>
  <c r="AU642" i="1"/>
  <c r="AP642" i="1"/>
  <c r="AK642" i="1"/>
  <c r="AH642" i="1"/>
  <c r="AU641" i="1"/>
  <c r="AP641" i="1"/>
  <c r="AK641" i="1"/>
  <c r="AH641" i="1"/>
  <c r="AU640" i="1"/>
  <c r="AP640" i="1"/>
  <c r="AK640" i="1"/>
  <c r="AH640" i="1"/>
  <c r="AU639" i="1"/>
  <c r="AP639" i="1"/>
  <c r="AK639" i="1"/>
  <c r="AH639" i="1"/>
  <c r="AU638" i="1"/>
  <c r="AP638" i="1"/>
  <c r="AK638" i="1"/>
  <c r="AH638" i="1"/>
  <c r="AU637" i="1"/>
  <c r="AP637" i="1"/>
  <c r="AK637" i="1"/>
  <c r="AH637" i="1"/>
  <c r="AU636" i="1"/>
  <c r="AP636" i="1"/>
  <c r="AK636" i="1"/>
  <c r="AH636" i="1"/>
  <c r="S636" i="1"/>
  <c r="AU635" i="1"/>
  <c r="AP635" i="1"/>
  <c r="AK635" i="1"/>
  <c r="AH635" i="1"/>
  <c r="S635" i="1"/>
  <c r="AU634" i="1"/>
  <c r="AP634" i="1"/>
  <c r="AK634" i="1"/>
  <c r="AH634" i="1"/>
  <c r="AU633" i="1"/>
  <c r="AP633" i="1"/>
  <c r="AK633" i="1"/>
  <c r="AH633" i="1"/>
  <c r="S633" i="1"/>
  <c r="AU632" i="1"/>
  <c r="AP632" i="1"/>
  <c r="AK632" i="1"/>
  <c r="AH632" i="1"/>
  <c r="AU631" i="1"/>
  <c r="AP631" i="1"/>
  <c r="AK631" i="1"/>
  <c r="AH631" i="1"/>
  <c r="AU630" i="1"/>
  <c r="AP630" i="1"/>
  <c r="AK630" i="1"/>
  <c r="AH630" i="1"/>
  <c r="AU629" i="1"/>
  <c r="AP629" i="1"/>
  <c r="AK629" i="1"/>
  <c r="AH629" i="1"/>
  <c r="S629" i="1"/>
  <c r="AU628" i="1"/>
  <c r="AP628" i="1"/>
  <c r="AK628" i="1"/>
  <c r="AH628" i="1"/>
  <c r="S628" i="1"/>
  <c r="AU627" i="1"/>
  <c r="AP627" i="1"/>
  <c r="AK627" i="1"/>
  <c r="AH627" i="1"/>
  <c r="S627" i="1"/>
  <c r="AU626" i="1"/>
  <c r="AP626" i="1"/>
  <c r="AK626" i="1"/>
  <c r="AH626" i="1"/>
  <c r="AU625" i="1"/>
  <c r="AP625" i="1"/>
  <c r="AK625" i="1"/>
  <c r="AH625" i="1"/>
  <c r="S625" i="1"/>
  <c r="AU624" i="1"/>
  <c r="AP624" i="1"/>
  <c r="AK624" i="1"/>
  <c r="AH624" i="1"/>
  <c r="AU623" i="1"/>
  <c r="AP623" i="1"/>
  <c r="AK623" i="1"/>
  <c r="AH623" i="1"/>
  <c r="S623" i="1"/>
  <c r="AU622" i="1"/>
  <c r="AP622" i="1"/>
  <c r="AK622" i="1"/>
  <c r="AH622" i="1"/>
  <c r="AU621" i="1"/>
  <c r="AP621" i="1"/>
  <c r="AK621" i="1"/>
  <c r="AH621" i="1"/>
  <c r="P621" i="1"/>
  <c r="AU620" i="1"/>
  <c r="AP620" i="1"/>
  <c r="AK620" i="1"/>
  <c r="AH620" i="1"/>
  <c r="S620" i="1"/>
  <c r="AU619" i="1"/>
  <c r="AP619" i="1"/>
  <c r="AK619" i="1"/>
  <c r="AH619" i="1"/>
  <c r="AU618" i="1"/>
  <c r="AP618" i="1"/>
  <c r="AK618" i="1"/>
  <c r="AH618" i="1"/>
  <c r="S618" i="1"/>
  <c r="AU617" i="1"/>
  <c r="AP617" i="1"/>
  <c r="AK617" i="1"/>
  <c r="AH617" i="1"/>
  <c r="S617" i="1"/>
  <c r="AU616" i="1"/>
  <c r="AP616" i="1"/>
  <c r="AK616" i="1"/>
  <c r="AH616" i="1"/>
  <c r="P616" i="1"/>
  <c r="AU615" i="1"/>
  <c r="AP615" i="1"/>
  <c r="AK615" i="1"/>
  <c r="AH615" i="1"/>
  <c r="AU614" i="1"/>
  <c r="AP614" i="1"/>
  <c r="AK614" i="1"/>
  <c r="AH614" i="1"/>
  <c r="AU613" i="1"/>
  <c r="AP613" i="1"/>
  <c r="AK613" i="1"/>
  <c r="AH613" i="1"/>
  <c r="S613" i="1"/>
  <c r="P613" i="1"/>
  <c r="AU612" i="1"/>
  <c r="AP612" i="1"/>
  <c r="AK612" i="1"/>
  <c r="AH612" i="1"/>
  <c r="S612" i="1"/>
  <c r="P612" i="1"/>
  <c r="AU611" i="1"/>
  <c r="AP611" i="1"/>
  <c r="AK611" i="1"/>
  <c r="AH611" i="1"/>
  <c r="AU610" i="1"/>
  <c r="AP610" i="1"/>
  <c r="AK610" i="1"/>
  <c r="AH610" i="1"/>
  <c r="AU609" i="1"/>
  <c r="AP609" i="1"/>
  <c r="AK609" i="1"/>
  <c r="AH609" i="1"/>
  <c r="S609" i="1"/>
  <c r="AU608" i="1"/>
  <c r="AP608" i="1"/>
  <c r="AK608" i="1"/>
  <c r="AH608" i="1"/>
  <c r="S608" i="1"/>
  <c r="AU607" i="1"/>
  <c r="AP607" i="1"/>
  <c r="AK607" i="1"/>
  <c r="AH607" i="1"/>
  <c r="P607" i="1"/>
  <c r="AU606" i="1"/>
  <c r="AP606" i="1"/>
  <c r="AK606" i="1"/>
  <c r="AH606" i="1"/>
  <c r="AU605" i="1"/>
  <c r="AP605" i="1"/>
  <c r="AK605" i="1"/>
  <c r="AH605" i="1"/>
  <c r="S605" i="1"/>
  <c r="AU604" i="1"/>
  <c r="AP604" i="1"/>
  <c r="AK604" i="1"/>
  <c r="P604" i="1"/>
  <c r="AU603" i="1"/>
  <c r="AP603" i="1"/>
  <c r="AK603" i="1"/>
  <c r="AH603" i="1"/>
  <c r="AU602" i="1"/>
  <c r="AP602" i="1"/>
  <c r="AK602" i="1"/>
  <c r="AH602" i="1"/>
  <c r="S602" i="1"/>
  <c r="AU601" i="1"/>
  <c r="AP601" i="1"/>
  <c r="AK601" i="1"/>
  <c r="AH601" i="1"/>
  <c r="AU600" i="1"/>
  <c r="AP600" i="1"/>
  <c r="AN600" i="1"/>
  <c r="AK600" i="1"/>
  <c r="AH600" i="1"/>
  <c r="P600" i="1"/>
  <c r="AU599" i="1"/>
  <c r="AP599" i="1"/>
  <c r="AK599" i="1"/>
  <c r="AH599" i="1"/>
  <c r="P599" i="1"/>
  <c r="AU598" i="1"/>
  <c r="AP598" i="1"/>
  <c r="AK598" i="1"/>
  <c r="AH598" i="1"/>
  <c r="S598" i="1"/>
  <c r="P598" i="1"/>
  <c r="AU597" i="1"/>
  <c r="AP597" i="1"/>
  <c r="AK597" i="1"/>
  <c r="AH597" i="1"/>
  <c r="S597" i="1"/>
  <c r="P597" i="1"/>
  <c r="AU596" i="1"/>
  <c r="AP596" i="1"/>
  <c r="AK596" i="1"/>
  <c r="AH596" i="1"/>
  <c r="P596" i="1"/>
  <c r="A596" i="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U595" i="1"/>
  <c r="AP595" i="1"/>
  <c r="AK595" i="1"/>
  <c r="AH595" i="1"/>
  <c r="P595" i="1"/>
  <c r="AU594" i="1"/>
  <c r="AP594" i="1"/>
  <c r="AK594" i="1"/>
  <c r="AH594" i="1"/>
  <c r="S594" i="1"/>
  <c r="P594" i="1"/>
  <c r="AU593" i="1"/>
  <c r="AP593" i="1"/>
  <c r="AK593" i="1"/>
  <c r="AH593" i="1"/>
  <c r="AU592" i="1"/>
  <c r="AP592" i="1"/>
  <c r="AK592" i="1"/>
  <c r="AH592" i="1"/>
  <c r="S592" i="1"/>
  <c r="P592" i="1"/>
  <c r="AU591" i="1"/>
  <c r="AP591" i="1"/>
  <c r="AK591" i="1"/>
  <c r="AH591" i="1"/>
  <c r="A591" i="1"/>
  <c r="A592" i="1" s="1"/>
  <c r="A593" i="1" s="1"/>
  <c r="A594" i="1" s="1"/>
  <c r="AU590" i="1"/>
  <c r="AP590" i="1"/>
  <c r="AK590" i="1"/>
  <c r="AH590" i="1"/>
  <c r="S590" i="1"/>
  <c r="AU589" i="1"/>
  <c r="AP589" i="1"/>
  <c r="AK589" i="1"/>
  <c r="AH589" i="1"/>
  <c r="P589" i="1"/>
  <c r="AU588" i="1"/>
  <c r="AP588" i="1"/>
  <c r="AK588" i="1"/>
  <c r="AH588" i="1"/>
  <c r="S588" i="1"/>
  <c r="P588" i="1"/>
  <c r="AU587" i="1"/>
  <c r="AP587" i="1"/>
  <c r="AK587" i="1"/>
  <c r="AH587" i="1"/>
  <c r="AU586" i="1"/>
  <c r="AP586" i="1"/>
  <c r="AK586" i="1"/>
  <c r="AH586" i="1"/>
  <c r="P586" i="1"/>
  <c r="AU585" i="1"/>
  <c r="AP585" i="1"/>
  <c r="AK585" i="1"/>
  <c r="AH585" i="1"/>
  <c r="S585" i="1"/>
  <c r="P585" i="1"/>
  <c r="AU584" i="1"/>
  <c r="AP584" i="1"/>
  <c r="AK584" i="1"/>
  <c r="AH584" i="1"/>
  <c r="S584" i="1"/>
  <c r="AU583" i="1"/>
  <c r="AP583" i="1"/>
  <c r="AK583" i="1"/>
  <c r="AH583" i="1"/>
  <c r="S583" i="1"/>
  <c r="P583" i="1"/>
  <c r="AU582" i="1"/>
  <c r="AP582" i="1"/>
  <c r="AK582" i="1"/>
  <c r="P582" i="1"/>
  <c r="AU581" i="1"/>
  <c r="AP581" i="1"/>
  <c r="AK581" i="1"/>
  <c r="AH581" i="1"/>
  <c r="S581" i="1"/>
  <c r="P581" i="1"/>
  <c r="AU580" i="1"/>
  <c r="AP580" i="1"/>
  <c r="AK580" i="1"/>
  <c r="AH580" i="1"/>
  <c r="S580" i="1"/>
  <c r="P580" i="1"/>
  <c r="AU579" i="1"/>
  <c r="AP579" i="1"/>
  <c r="AK579" i="1"/>
  <c r="AH579" i="1"/>
  <c r="S579" i="1"/>
  <c r="P579" i="1"/>
  <c r="AU578" i="1"/>
  <c r="AP578" i="1"/>
  <c r="AK578" i="1"/>
  <c r="AH578" i="1"/>
  <c r="S578" i="1"/>
  <c r="P578" i="1"/>
  <c r="AU577" i="1"/>
  <c r="AP577" i="1"/>
  <c r="AK577" i="1"/>
  <c r="AH577" i="1"/>
  <c r="S577" i="1"/>
  <c r="P577" i="1"/>
  <c r="AU576" i="1"/>
  <c r="AP576" i="1"/>
  <c r="AK576" i="1"/>
  <c r="AH576" i="1"/>
  <c r="P576" i="1"/>
  <c r="AU575" i="1"/>
  <c r="AP575" i="1"/>
  <c r="AK575" i="1"/>
  <c r="AH575" i="1"/>
  <c r="S575" i="1"/>
  <c r="P575" i="1"/>
  <c r="AU574" i="1"/>
  <c r="AP574" i="1"/>
  <c r="AK574" i="1"/>
  <c r="AH574" i="1"/>
  <c r="S574" i="1"/>
  <c r="AU573" i="1"/>
  <c r="AP573" i="1"/>
  <c r="AK573" i="1"/>
  <c r="AH573" i="1"/>
  <c r="S573" i="1"/>
  <c r="P573" i="1"/>
  <c r="AU572" i="1"/>
  <c r="AP572" i="1"/>
  <c r="AK572" i="1"/>
  <c r="AH572" i="1"/>
  <c r="S572" i="1"/>
  <c r="AU571" i="1"/>
  <c r="AP571" i="1"/>
  <c r="AK571" i="1"/>
  <c r="AH571" i="1"/>
  <c r="S571" i="1"/>
  <c r="P571" i="1"/>
  <c r="AU570" i="1"/>
  <c r="AP570" i="1"/>
  <c r="AK570" i="1"/>
  <c r="AH570" i="1"/>
  <c r="S570" i="1"/>
  <c r="P570" i="1"/>
  <c r="AU569" i="1"/>
  <c r="AK569" i="1"/>
  <c r="AH569" i="1"/>
  <c r="S569" i="1"/>
  <c r="AU568" i="1"/>
  <c r="AP568" i="1"/>
  <c r="AK568" i="1"/>
  <c r="AH568" i="1"/>
  <c r="S568" i="1"/>
  <c r="AU567" i="1"/>
  <c r="AP567" i="1"/>
  <c r="AK567" i="1"/>
  <c r="AH567" i="1"/>
  <c r="S567" i="1"/>
  <c r="AU566" i="1"/>
  <c r="AP566" i="1"/>
  <c r="AK566" i="1"/>
  <c r="AH566" i="1"/>
  <c r="S566" i="1"/>
  <c r="AU565" i="1"/>
  <c r="AP565" i="1"/>
  <c r="AK565" i="1"/>
  <c r="AH565" i="1"/>
  <c r="S565" i="1"/>
  <c r="AU564" i="1"/>
  <c r="AP564" i="1"/>
  <c r="AK564" i="1"/>
  <c r="AH564" i="1"/>
  <c r="S564" i="1"/>
  <c r="P564" i="1"/>
  <c r="AU563" i="1"/>
  <c r="AP563" i="1"/>
  <c r="AK563" i="1"/>
  <c r="AH563" i="1"/>
  <c r="AU562" i="1"/>
  <c r="AP562" i="1"/>
  <c r="AK562" i="1"/>
  <c r="AH562" i="1"/>
  <c r="AU561" i="1"/>
  <c r="AP561" i="1"/>
  <c r="AK561" i="1"/>
  <c r="AH561" i="1"/>
  <c r="S561" i="1"/>
  <c r="P561" i="1"/>
  <c r="AU560" i="1"/>
  <c r="AP560" i="1"/>
  <c r="AK560" i="1"/>
  <c r="AH560" i="1"/>
  <c r="S560" i="1"/>
  <c r="AU559" i="1"/>
  <c r="AP559" i="1"/>
  <c r="AK559" i="1"/>
  <c r="AH559" i="1"/>
  <c r="AU558" i="1"/>
  <c r="AP558" i="1"/>
  <c r="AK558" i="1"/>
  <c r="AH558" i="1"/>
  <c r="S558" i="1"/>
  <c r="AU557" i="1"/>
  <c r="AP557" i="1"/>
  <c r="AK557" i="1"/>
  <c r="AH557" i="1"/>
  <c r="S557" i="1"/>
  <c r="P557" i="1"/>
  <c r="AU556" i="1"/>
  <c r="AP556" i="1"/>
  <c r="AK556" i="1"/>
  <c r="AH556" i="1"/>
  <c r="AU555" i="1"/>
  <c r="AP555" i="1"/>
  <c r="AK555" i="1"/>
  <c r="AH555" i="1"/>
  <c r="AU554" i="1"/>
  <c r="AP554" i="1"/>
  <c r="AK554" i="1"/>
  <c r="AH554" i="1"/>
  <c r="AU553" i="1"/>
  <c r="AP553" i="1"/>
  <c r="AK553" i="1"/>
  <c r="AH553" i="1"/>
  <c r="AU552" i="1"/>
  <c r="AP552" i="1"/>
  <c r="AK552" i="1"/>
  <c r="AH552" i="1"/>
  <c r="AU551" i="1"/>
  <c r="AP551" i="1"/>
  <c r="AK551" i="1"/>
  <c r="AH551" i="1"/>
  <c r="AU550" i="1"/>
  <c r="AP550" i="1"/>
  <c r="AK550" i="1"/>
  <c r="AH550" i="1"/>
  <c r="AU549" i="1"/>
  <c r="AP549" i="1"/>
  <c r="AK549" i="1"/>
  <c r="AH549" i="1"/>
  <c r="AU548" i="1"/>
  <c r="AP548" i="1"/>
  <c r="AK548" i="1"/>
  <c r="AH548" i="1"/>
  <c r="AU547" i="1"/>
  <c r="AP547" i="1"/>
  <c r="AK547" i="1"/>
  <c r="AH547" i="1"/>
  <c r="AU546" i="1"/>
  <c r="AP546" i="1"/>
  <c r="AK546" i="1"/>
  <c r="AH546" i="1"/>
  <c r="AU545" i="1"/>
  <c r="AP545" i="1"/>
  <c r="AK545" i="1"/>
  <c r="AH545" i="1"/>
  <c r="AU544" i="1"/>
  <c r="AP544" i="1"/>
  <c r="AK544" i="1"/>
  <c r="AH544" i="1"/>
  <c r="AU543" i="1"/>
  <c r="AK543" i="1"/>
  <c r="AH543" i="1"/>
  <c r="AU542" i="1"/>
  <c r="AP542" i="1"/>
  <c r="AK542" i="1"/>
  <c r="AH542" i="1"/>
  <c r="AU541" i="1"/>
  <c r="AP541" i="1"/>
  <c r="AK541" i="1"/>
  <c r="AH541" i="1"/>
  <c r="AU540" i="1"/>
  <c r="AP540" i="1"/>
  <c r="AK540" i="1"/>
  <c r="AH540" i="1"/>
  <c r="AU539" i="1"/>
  <c r="AP539" i="1"/>
  <c r="AK539" i="1"/>
  <c r="AH539" i="1"/>
  <c r="AU538" i="1"/>
  <c r="AK538" i="1"/>
  <c r="AU537" i="1"/>
  <c r="AK537" i="1"/>
  <c r="AU536" i="1"/>
  <c r="AP536" i="1"/>
  <c r="AK536" i="1"/>
  <c r="AH536" i="1"/>
  <c r="AU535" i="1"/>
  <c r="AP535" i="1"/>
  <c r="AK535" i="1"/>
  <c r="AH535" i="1"/>
  <c r="AU534" i="1"/>
  <c r="AP534" i="1"/>
  <c r="AK534" i="1"/>
  <c r="AH534" i="1"/>
  <c r="AU533" i="1"/>
  <c r="AP533" i="1"/>
  <c r="AK533" i="1"/>
  <c r="AH533" i="1"/>
  <c r="AU532" i="1"/>
  <c r="AP532" i="1"/>
  <c r="AK532" i="1"/>
  <c r="AH532" i="1"/>
  <c r="AU531" i="1"/>
  <c r="AP531" i="1"/>
  <c r="AK531" i="1"/>
  <c r="AH531" i="1"/>
  <c r="AU530" i="1"/>
  <c r="AP530" i="1"/>
  <c r="AK530" i="1"/>
  <c r="AH530" i="1"/>
  <c r="AU529" i="1"/>
  <c r="AP529" i="1"/>
  <c r="AK529" i="1"/>
  <c r="AH529" i="1"/>
  <c r="AU528" i="1"/>
  <c r="AP528" i="1"/>
  <c r="AK528" i="1"/>
  <c r="AH528" i="1"/>
  <c r="AU527" i="1"/>
  <c r="AP527" i="1"/>
  <c r="AK527" i="1"/>
  <c r="AH527" i="1"/>
  <c r="AU526" i="1"/>
  <c r="AK526" i="1"/>
  <c r="AH526" i="1"/>
  <c r="AU525" i="1"/>
  <c r="AP525" i="1"/>
  <c r="AK525" i="1"/>
  <c r="AH525" i="1"/>
  <c r="AU524" i="1"/>
  <c r="AP524" i="1"/>
  <c r="AK524" i="1"/>
  <c r="AH524" i="1"/>
  <c r="AU523" i="1"/>
  <c r="AK523" i="1"/>
  <c r="AH523" i="1"/>
  <c r="AU522" i="1"/>
  <c r="AP522" i="1"/>
  <c r="AK522" i="1"/>
  <c r="AH522" i="1"/>
  <c r="AU521" i="1"/>
  <c r="AP521" i="1"/>
  <c r="AK521" i="1"/>
  <c r="AH521" i="1"/>
  <c r="AU520" i="1"/>
  <c r="AK520" i="1"/>
  <c r="AU519" i="1"/>
  <c r="AP519" i="1"/>
  <c r="AK519" i="1"/>
  <c r="AH519" i="1"/>
  <c r="AU518" i="1"/>
  <c r="AK518" i="1"/>
  <c r="AU517" i="1"/>
  <c r="AP517" i="1"/>
  <c r="AK517" i="1"/>
  <c r="AH517" i="1"/>
  <c r="AU516" i="1"/>
  <c r="AP516" i="1"/>
  <c r="AK516" i="1"/>
  <c r="AH516" i="1"/>
  <c r="AU515" i="1"/>
  <c r="AP515" i="1"/>
  <c r="AK515" i="1"/>
  <c r="AH515" i="1"/>
  <c r="AU514" i="1"/>
  <c r="AP514" i="1"/>
  <c r="AK514" i="1"/>
  <c r="AH514" i="1"/>
  <c r="AU513" i="1"/>
  <c r="AP513" i="1"/>
  <c r="AK513" i="1"/>
  <c r="AH513" i="1"/>
  <c r="AU512" i="1"/>
  <c r="AP512" i="1"/>
  <c r="AK512" i="1"/>
  <c r="AH512" i="1"/>
  <c r="AU511" i="1"/>
  <c r="AK511" i="1"/>
  <c r="AU510" i="1"/>
  <c r="AP510" i="1"/>
  <c r="AK510" i="1"/>
  <c r="AH510" i="1"/>
  <c r="AU509" i="1"/>
  <c r="AK509" i="1"/>
  <c r="AU508" i="1"/>
  <c r="AK508" i="1"/>
  <c r="AU507" i="1"/>
  <c r="AK507" i="1"/>
  <c r="AU506" i="1"/>
  <c r="AK506" i="1"/>
  <c r="AU505" i="1"/>
  <c r="AP505" i="1"/>
  <c r="AK505" i="1"/>
  <c r="AH505" i="1"/>
  <c r="AU504" i="1"/>
  <c r="AK504" i="1"/>
  <c r="AU503" i="1"/>
  <c r="AP503" i="1"/>
  <c r="AK503" i="1"/>
  <c r="AH503" i="1"/>
  <c r="AU502" i="1"/>
  <c r="AP502" i="1"/>
  <c r="AK502" i="1"/>
  <c r="AH502" i="1"/>
  <c r="AU501" i="1"/>
  <c r="AK501" i="1"/>
  <c r="AU500" i="1"/>
  <c r="AP500" i="1"/>
  <c r="AK500" i="1"/>
  <c r="AH500" i="1"/>
  <c r="AU499" i="1"/>
  <c r="AP499" i="1"/>
  <c r="AK499" i="1"/>
  <c r="AH499" i="1"/>
  <c r="AU498" i="1"/>
  <c r="AK498" i="1"/>
  <c r="AU497" i="1"/>
  <c r="AK497" i="1"/>
  <c r="AU496" i="1"/>
  <c r="AK496" i="1"/>
  <c r="AH496" i="1"/>
  <c r="AU495" i="1"/>
  <c r="AP495" i="1"/>
  <c r="AK495" i="1"/>
  <c r="AH495" i="1"/>
  <c r="AU494" i="1"/>
  <c r="AK494" i="1"/>
  <c r="AH494" i="1"/>
  <c r="AU493" i="1"/>
  <c r="AP493" i="1"/>
  <c r="AK493" i="1"/>
  <c r="AU492" i="1"/>
  <c r="AP492" i="1"/>
  <c r="AK492" i="1"/>
  <c r="AH492" i="1"/>
  <c r="AU491" i="1"/>
  <c r="AK491" i="1"/>
  <c r="AU490" i="1"/>
  <c r="AK490" i="1"/>
  <c r="AU489" i="1"/>
  <c r="AP489" i="1"/>
  <c r="AK489" i="1"/>
  <c r="AH489" i="1"/>
  <c r="AU488" i="1"/>
  <c r="AP488" i="1"/>
  <c r="AK488" i="1"/>
  <c r="AH488" i="1"/>
  <c r="AU487" i="1"/>
  <c r="AP487" i="1"/>
  <c r="AK487" i="1"/>
  <c r="AH487" i="1"/>
  <c r="AU486" i="1"/>
  <c r="AP486" i="1"/>
  <c r="AK486" i="1"/>
  <c r="AH486" i="1"/>
  <c r="AU485" i="1"/>
  <c r="AN485" i="1"/>
  <c r="AK485" i="1"/>
  <c r="AU484" i="1"/>
  <c r="AP484" i="1"/>
  <c r="AK484" i="1"/>
  <c r="AH484" i="1"/>
  <c r="AU483" i="1"/>
  <c r="AP483" i="1"/>
  <c r="AK483" i="1"/>
  <c r="AU482" i="1"/>
  <c r="AP482" i="1"/>
  <c r="AK482" i="1"/>
  <c r="AH482" i="1"/>
  <c r="AU481" i="1"/>
  <c r="AP481" i="1"/>
  <c r="AK481" i="1"/>
  <c r="AH481" i="1"/>
  <c r="AU480" i="1"/>
  <c r="AP480" i="1"/>
  <c r="AK480" i="1"/>
  <c r="AH480" i="1"/>
  <c r="AU479" i="1"/>
  <c r="AK479" i="1"/>
  <c r="AU478" i="1"/>
  <c r="AK478" i="1"/>
  <c r="AH478" i="1"/>
  <c r="AU477" i="1"/>
  <c r="AK477" i="1"/>
  <c r="AH477" i="1"/>
  <c r="AU476" i="1"/>
  <c r="AK476" i="1"/>
  <c r="AU475" i="1"/>
  <c r="AK475" i="1"/>
  <c r="AU474" i="1"/>
  <c r="AP474" i="1"/>
  <c r="AK474" i="1"/>
  <c r="AU473" i="1"/>
  <c r="AK473" i="1"/>
  <c r="AH473" i="1"/>
  <c r="AU472" i="1"/>
  <c r="AK472" i="1"/>
  <c r="AU471" i="1"/>
  <c r="AK471" i="1"/>
  <c r="AU470" i="1"/>
  <c r="AK470" i="1"/>
  <c r="AH470" i="1"/>
  <c r="AU469" i="1"/>
  <c r="AP469" i="1"/>
  <c r="AK469" i="1"/>
  <c r="AH469" i="1"/>
  <c r="AU468" i="1"/>
  <c r="AK468" i="1"/>
  <c r="AU467" i="1"/>
  <c r="AK467" i="1"/>
  <c r="AU466" i="1"/>
  <c r="AP466" i="1"/>
  <c r="AK466" i="1"/>
  <c r="AH466" i="1"/>
  <c r="AU465" i="1"/>
  <c r="AK465" i="1"/>
  <c r="AU464" i="1"/>
  <c r="AP464" i="1"/>
  <c r="AK464" i="1"/>
  <c r="AH464" i="1"/>
  <c r="AU463" i="1"/>
  <c r="AP463" i="1"/>
  <c r="AK463" i="1"/>
  <c r="AH463" i="1"/>
  <c r="AU462" i="1"/>
  <c r="AP462" i="1"/>
  <c r="AK462" i="1"/>
  <c r="AH462" i="1"/>
  <c r="AU461" i="1"/>
  <c r="AK461" i="1"/>
  <c r="AU460" i="1"/>
  <c r="AK460" i="1"/>
  <c r="AU459" i="1"/>
  <c r="AP459" i="1"/>
  <c r="AK459" i="1"/>
  <c r="AH459" i="1"/>
  <c r="AU458" i="1"/>
  <c r="AP458" i="1"/>
  <c r="AK458" i="1"/>
  <c r="AH458" i="1"/>
  <c r="AU457" i="1"/>
  <c r="AK457" i="1"/>
  <c r="AU456" i="1"/>
  <c r="AP456" i="1"/>
  <c r="AK456" i="1"/>
  <c r="AH456" i="1"/>
  <c r="AU455" i="1"/>
  <c r="AK455" i="1"/>
  <c r="AU454" i="1"/>
  <c r="AK454" i="1"/>
  <c r="AH454" i="1"/>
  <c r="AU453" i="1"/>
  <c r="AP453" i="1"/>
  <c r="AK453" i="1"/>
  <c r="AH453" i="1"/>
  <c r="AU452" i="1"/>
  <c r="AP452" i="1"/>
  <c r="AK452" i="1"/>
  <c r="AH452" i="1"/>
  <c r="AU451" i="1"/>
  <c r="AP451" i="1"/>
  <c r="AK451" i="1"/>
  <c r="AU450" i="1"/>
  <c r="AP450" i="1"/>
  <c r="AK450" i="1"/>
  <c r="AH450" i="1"/>
  <c r="AU449" i="1"/>
  <c r="AP449" i="1"/>
  <c r="AK449" i="1"/>
  <c r="AH449" i="1"/>
  <c r="AU448" i="1"/>
  <c r="AK448" i="1"/>
  <c r="AH448" i="1"/>
  <c r="AU447" i="1"/>
  <c r="AK447" i="1"/>
  <c r="AU446" i="1"/>
  <c r="AP446" i="1"/>
  <c r="AK446" i="1"/>
  <c r="AU445" i="1"/>
  <c r="AP445" i="1"/>
  <c r="AK445" i="1"/>
  <c r="AH445" i="1"/>
  <c r="AU444" i="1"/>
  <c r="AP444" i="1"/>
  <c r="AK444" i="1"/>
  <c r="AH444" i="1"/>
  <c r="AU443" i="1"/>
  <c r="AP443" i="1"/>
  <c r="AK443" i="1"/>
  <c r="AH443" i="1"/>
  <c r="AU442" i="1"/>
  <c r="AP442" i="1"/>
  <c r="AK442" i="1"/>
  <c r="AH442" i="1"/>
  <c r="AU441" i="1"/>
  <c r="AP441" i="1"/>
  <c r="AK441" i="1"/>
  <c r="AU440" i="1"/>
  <c r="AK440" i="1"/>
  <c r="AU439" i="1"/>
  <c r="AK439" i="1"/>
  <c r="AU438" i="1"/>
  <c r="AP438" i="1"/>
  <c r="AK438" i="1"/>
  <c r="AH438" i="1"/>
  <c r="AU437" i="1"/>
  <c r="AP437" i="1"/>
  <c r="AK437" i="1"/>
  <c r="AH437" i="1"/>
  <c r="AU436" i="1"/>
  <c r="AP436" i="1"/>
  <c r="AK436" i="1"/>
  <c r="AH436" i="1"/>
  <c r="AU435" i="1"/>
  <c r="AP435" i="1"/>
  <c r="AK435" i="1"/>
  <c r="AH435" i="1"/>
  <c r="AU434" i="1"/>
  <c r="AP434" i="1"/>
  <c r="AK434" i="1"/>
  <c r="AH434" i="1"/>
  <c r="AK433" i="1"/>
  <c r="AU432" i="1"/>
  <c r="AP432" i="1"/>
  <c r="AK432" i="1"/>
  <c r="AH432" i="1"/>
  <c r="AU431" i="1"/>
  <c r="AP431" i="1"/>
  <c r="AK431" i="1"/>
  <c r="AH431" i="1"/>
  <c r="AU430" i="1"/>
  <c r="AP430" i="1"/>
  <c r="AK430" i="1"/>
  <c r="AU429" i="1"/>
  <c r="AK429" i="1"/>
  <c r="AH429" i="1"/>
  <c r="AU428" i="1"/>
  <c r="AK428" i="1"/>
  <c r="AU427" i="1"/>
  <c r="AN427" i="1"/>
  <c r="AK427" i="1"/>
  <c r="AU426" i="1"/>
  <c r="AP426" i="1"/>
  <c r="AK426" i="1"/>
  <c r="AH426" i="1"/>
  <c r="AU425" i="1"/>
  <c r="AP425" i="1"/>
  <c r="AK425" i="1"/>
  <c r="AH425" i="1"/>
  <c r="AU424" i="1"/>
  <c r="AP424" i="1"/>
  <c r="AK424" i="1"/>
  <c r="AH424" i="1"/>
  <c r="AU423" i="1"/>
  <c r="AP423" i="1"/>
  <c r="AK423" i="1"/>
  <c r="AH423" i="1"/>
  <c r="AU422" i="1"/>
  <c r="AK422" i="1"/>
  <c r="AU421" i="1"/>
  <c r="AP421" i="1"/>
  <c r="AK421" i="1"/>
  <c r="AH421" i="1"/>
  <c r="AU420" i="1"/>
  <c r="AP420" i="1"/>
  <c r="AK420" i="1"/>
  <c r="AH420" i="1"/>
  <c r="AU419" i="1"/>
  <c r="AK419" i="1"/>
  <c r="AU418" i="1"/>
  <c r="AP418" i="1"/>
  <c r="AK418" i="1"/>
  <c r="AH418" i="1"/>
  <c r="AU417" i="1"/>
  <c r="AK417" i="1"/>
  <c r="AU416" i="1"/>
  <c r="AK416" i="1"/>
  <c r="AU415" i="1"/>
  <c r="AK415" i="1"/>
  <c r="AU414" i="1"/>
  <c r="AP414" i="1"/>
  <c r="AK414" i="1"/>
  <c r="AU413" i="1"/>
  <c r="AK413" i="1"/>
  <c r="AU412" i="1"/>
  <c r="AP412" i="1"/>
  <c r="AK412" i="1"/>
  <c r="AH412" i="1"/>
  <c r="AU411" i="1"/>
  <c r="AK411" i="1"/>
  <c r="AU410" i="1"/>
  <c r="AP410" i="1"/>
  <c r="AK410" i="1"/>
  <c r="AH410" i="1"/>
  <c r="AU409" i="1"/>
  <c r="AK409" i="1"/>
  <c r="AU408" i="1"/>
  <c r="AN408" i="1"/>
  <c r="AK408" i="1"/>
  <c r="AU407" i="1"/>
  <c r="AK407" i="1"/>
  <c r="AU406" i="1"/>
  <c r="AP406" i="1"/>
  <c r="AK406" i="1"/>
  <c r="AH406" i="1"/>
  <c r="AU405" i="1"/>
  <c r="AP405" i="1"/>
  <c r="AK405" i="1"/>
  <c r="AU404" i="1"/>
  <c r="AP404" i="1"/>
  <c r="AK404" i="1"/>
  <c r="AU403" i="1"/>
  <c r="AP403" i="1"/>
  <c r="AK403" i="1"/>
  <c r="AU402" i="1"/>
  <c r="AP402" i="1"/>
  <c r="AK402" i="1"/>
  <c r="AH402" i="1"/>
  <c r="AU401" i="1"/>
  <c r="AP401" i="1"/>
  <c r="AK401" i="1"/>
  <c r="AH401" i="1"/>
  <c r="AU400" i="1"/>
  <c r="AP400" i="1"/>
  <c r="AK400" i="1"/>
  <c r="AH400" i="1"/>
  <c r="AU399" i="1"/>
  <c r="AP399" i="1"/>
  <c r="AK399" i="1"/>
  <c r="AH399" i="1"/>
  <c r="AU398" i="1"/>
  <c r="AP398" i="1"/>
  <c r="AK398" i="1"/>
  <c r="AH398" i="1"/>
  <c r="AU397" i="1"/>
  <c r="AP397" i="1"/>
  <c r="AK397" i="1"/>
  <c r="AH397" i="1"/>
  <c r="AU396" i="1"/>
  <c r="AP396" i="1"/>
  <c r="AK396" i="1"/>
  <c r="AH396" i="1"/>
  <c r="AU395" i="1"/>
  <c r="AK395" i="1"/>
  <c r="AU394" i="1"/>
  <c r="AP394" i="1"/>
  <c r="AK394" i="1"/>
  <c r="AH394" i="1"/>
  <c r="AU393" i="1"/>
  <c r="AP393" i="1"/>
  <c r="AK393" i="1"/>
  <c r="AH393" i="1"/>
  <c r="AU392" i="1"/>
  <c r="AP392" i="1"/>
  <c r="AK392" i="1"/>
  <c r="AH392" i="1"/>
  <c r="AU391" i="1"/>
  <c r="AK391" i="1"/>
  <c r="AH391" i="1"/>
  <c r="AU390" i="1"/>
  <c r="AK390" i="1"/>
  <c r="AH390" i="1"/>
  <c r="AU389" i="1"/>
  <c r="AP389" i="1"/>
  <c r="AK389" i="1"/>
  <c r="AH389" i="1"/>
  <c r="AU388" i="1"/>
  <c r="AP388" i="1"/>
  <c r="AK388" i="1"/>
  <c r="AH388" i="1"/>
  <c r="AU387" i="1"/>
  <c r="AK387" i="1"/>
  <c r="AH387" i="1"/>
  <c r="AU386" i="1"/>
  <c r="AP386" i="1"/>
  <c r="AK386" i="1"/>
  <c r="AH386" i="1"/>
  <c r="AU385" i="1"/>
  <c r="AP385" i="1"/>
  <c r="AK385" i="1"/>
  <c r="AH385" i="1"/>
  <c r="AU384" i="1"/>
  <c r="AP384" i="1"/>
  <c r="AK384" i="1"/>
  <c r="AH384" i="1"/>
  <c r="AU383" i="1"/>
  <c r="AK383" i="1"/>
  <c r="AU382" i="1"/>
  <c r="AP382" i="1"/>
  <c r="AK382" i="1"/>
  <c r="AH382" i="1"/>
  <c r="AU381" i="1"/>
  <c r="AP381" i="1"/>
  <c r="AK381" i="1"/>
  <c r="AH381" i="1"/>
  <c r="AU380" i="1"/>
  <c r="AP380" i="1"/>
  <c r="AK380" i="1"/>
  <c r="AH380" i="1"/>
  <c r="AU379" i="1"/>
  <c r="AP379" i="1"/>
  <c r="AK379" i="1"/>
  <c r="AH379" i="1"/>
  <c r="AU378" i="1"/>
  <c r="AK378" i="1"/>
  <c r="AU377" i="1"/>
  <c r="AK377" i="1"/>
  <c r="AU376" i="1"/>
  <c r="AK376" i="1"/>
  <c r="AH376" i="1"/>
  <c r="AU375" i="1"/>
  <c r="AP375" i="1"/>
  <c r="AK375" i="1"/>
  <c r="AH375" i="1"/>
  <c r="AU374" i="1"/>
  <c r="AP374" i="1"/>
  <c r="AK374" i="1"/>
  <c r="AH374" i="1"/>
  <c r="AU373" i="1"/>
  <c r="AP373" i="1"/>
  <c r="AK373" i="1"/>
  <c r="AH373" i="1"/>
  <c r="AU372" i="1"/>
  <c r="AP372" i="1"/>
  <c r="AK372" i="1"/>
  <c r="AH372" i="1"/>
  <c r="AU371" i="1"/>
  <c r="AP371" i="1"/>
  <c r="AK371" i="1"/>
  <c r="AH371" i="1"/>
  <c r="AU370" i="1"/>
  <c r="AK370" i="1"/>
  <c r="AU369" i="1"/>
  <c r="AP369" i="1"/>
  <c r="AK369" i="1"/>
  <c r="AH369" i="1"/>
  <c r="AU368" i="1"/>
  <c r="AK368" i="1"/>
  <c r="AU367" i="1"/>
  <c r="AK367" i="1"/>
  <c r="AU366" i="1"/>
  <c r="AP366" i="1"/>
  <c r="AK366" i="1"/>
  <c r="AH366" i="1"/>
  <c r="AU365" i="1"/>
  <c r="AK365" i="1"/>
  <c r="AU364" i="1"/>
  <c r="AK364" i="1"/>
  <c r="AU363" i="1"/>
  <c r="AP363" i="1"/>
  <c r="AK363" i="1"/>
  <c r="AH363" i="1"/>
  <c r="AU362" i="1"/>
  <c r="AP362" i="1"/>
  <c r="AK362" i="1"/>
  <c r="AH362" i="1"/>
  <c r="AU361" i="1"/>
  <c r="AP361" i="1"/>
  <c r="AK361" i="1"/>
  <c r="AH361" i="1"/>
  <c r="AU360" i="1"/>
  <c r="AP360" i="1"/>
  <c r="AK360" i="1"/>
  <c r="AH360" i="1"/>
  <c r="AU359" i="1"/>
  <c r="AP359" i="1"/>
  <c r="AK359" i="1"/>
  <c r="AH359" i="1"/>
  <c r="AU358" i="1"/>
  <c r="AP358" i="1"/>
  <c r="AK358" i="1"/>
  <c r="AH358" i="1"/>
  <c r="AU357" i="1"/>
  <c r="AP357" i="1"/>
  <c r="AK357" i="1"/>
  <c r="AH357" i="1"/>
  <c r="AU356" i="1"/>
  <c r="AK356" i="1"/>
  <c r="AH356" i="1"/>
  <c r="AU355" i="1"/>
  <c r="AP355" i="1"/>
  <c r="AK355" i="1"/>
  <c r="AH355" i="1"/>
  <c r="AU354" i="1"/>
  <c r="AK354" i="1"/>
  <c r="AU353" i="1"/>
  <c r="AK353" i="1"/>
  <c r="AU352" i="1"/>
  <c r="AP352" i="1"/>
  <c r="AK352" i="1"/>
  <c r="AH352" i="1"/>
  <c r="AU351" i="1"/>
  <c r="AP351" i="1"/>
  <c r="AK351" i="1"/>
  <c r="AH351" i="1"/>
  <c r="AU350" i="1"/>
  <c r="AK350" i="1"/>
  <c r="AH350" i="1"/>
  <c r="AU349" i="1"/>
  <c r="AP349" i="1"/>
  <c r="AK349" i="1"/>
  <c r="AH349" i="1"/>
  <c r="AU348" i="1"/>
  <c r="AP348" i="1"/>
  <c r="AK348" i="1"/>
  <c r="AH348" i="1"/>
  <c r="AU347" i="1"/>
  <c r="AP347" i="1"/>
  <c r="AK347" i="1"/>
  <c r="AH347" i="1"/>
  <c r="AU346" i="1"/>
  <c r="AK346" i="1"/>
  <c r="AU345" i="1"/>
  <c r="AP345" i="1"/>
  <c r="AK345" i="1"/>
  <c r="AH345" i="1"/>
  <c r="AU344" i="1"/>
  <c r="AP344" i="1"/>
  <c r="AK344" i="1"/>
  <c r="AH344" i="1"/>
  <c r="AU343" i="1"/>
  <c r="AP343" i="1"/>
  <c r="AK343" i="1"/>
  <c r="AH343" i="1"/>
  <c r="AU342" i="1"/>
  <c r="AK342" i="1"/>
  <c r="AU341" i="1"/>
  <c r="AP341" i="1"/>
  <c r="AK341" i="1"/>
  <c r="AH341" i="1"/>
  <c r="AU340" i="1"/>
  <c r="AK340" i="1"/>
  <c r="AH340" i="1"/>
  <c r="AU339" i="1"/>
  <c r="AP339" i="1"/>
  <c r="AK339" i="1"/>
  <c r="AH339" i="1"/>
  <c r="AU338" i="1"/>
  <c r="AP338" i="1"/>
  <c r="AK338" i="1"/>
  <c r="AH338" i="1"/>
  <c r="AU337" i="1"/>
  <c r="AP337" i="1"/>
  <c r="AK337" i="1"/>
  <c r="AH337" i="1"/>
  <c r="AU336" i="1"/>
  <c r="AP336" i="1"/>
  <c r="AK336" i="1"/>
  <c r="AH336" i="1"/>
  <c r="AU335" i="1"/>
  <c r="AP335" i="1"/>
  <c r="AK335" i="1"/>
  <c r="AU334" i="1"/>
  <c r="AP334" i="1"/>
  <c r="AK334" i="1"/>
  <c r="AH334" i="1"/>
  <c r="AU333" i="1"/>
  <c r="AP333" i="1"/>
  <c r="AK333" i="1"/>
  <c r="AH333" i="1"/>
  <c r="AU332" i="1"/>
  <c r="AP332" i="1"/>
  <c r="AK332" i="1"/>
  <c r="AH332" i="1"/>
  <c r="AU331" i="1"/>
  <c r="AP331" i="1"/>
  <c r="AK331" i="1"/>
  <c r="AH331" i="1"/>
  <c r="AU330" i="1"/>
  <c r="AK330" i="1"/>
  <c r="AU329" i="1"/>
  <c r="AP329" i="1"/>
  <c r="AK329" i="1"/>
  <c r="AH329" i="1"/>
  <c r="AU328" i="1"/>
  <c r="AP328" i="1"/>
  <c r="AK328" i="1"/>
  <c r="AH328" i="1"/>
  <c r="AU327" i="1"/>
  <c r="AK327" i="1"/>
  <c r="AU326" i="1"/>
  <c r="AK326" i="1"/>
  <c r="AU325" i="1"/>
  <c r="AP325" i="1"/>
  <c r="AK325" i="1"/>
  <c r="AH325" i="1"/>
  <c r="AU324" i="1"/>
  <c r="AP324" i="1"/>
  <c r="AK324" i="1"/>
  <c r="AH324" i="1"/>
  <c r="AU323" i="1"/>
  <c r="AP323" i="1"/>
  <c r="AK323" i="1"/>
  <c r="AU322" i="1"/>
  <c r="AP322" i="1"/>
  <c r="AK322" i="1"/>
  <c r="AU321" i="1"/>
  <c r="AK321" i="1"/>
  <c r="AH321" i="1"/>
  <c r="AU320" i="1"/>
  <c r="AK320" i="1"/>
  <c r="AH320" i="1"/>
  <c r="AU319" i="1"/>
  <c r="AP319" i="1"/>
  <c r="AK319" i="1"/>
  <c r="AH319" i="1"/>
  <c r="AU318" i="1"/>
  <c r="AP318" i="1"/>
  <c r="AK318" i="1"/>
  <c r="AH318" i="1"/>
  <c r="AU317" i="1"/>
  <c r="AP317" i="1"/>
  <c r="AK317" i="1"/>
  <c r="AH317" i="1"/>
  <c r="AU316" i="1"/>
  <c r="AP316" i="1"/>
  <c r="AK316" i="1"/>
  <c r="AH316" i="1"/>
  <c r="AU315" i="1"/>
  <c r="AP315" i="1"/>
  <c r="AK315" i="1"/>
  <c r="AH315" i="1"/>
  <c r="AU314" i="1"/>
  <c r="AP314" i="1"/>
  <c r="AK314" i="1"/>
  <c r="AH314" i="1"/>
  <c r="AU313" i="1"/>
  <c r="AP313" i="1"/>
  <c r="AK313" i="1"/>
  <c r="AH313" i="1"/>
  <c r="AU312" i="1"/>
  <c r="AP312" i="1"/>
  <c r="AK312" i="1"/>
  <c r="AH312" i="1"/>
  <c r="AU311" i="1"/>
  <c r="AP311" i="1"/>
  <c r="AK311" i="1"/>
  <c r="AH311" i="1"/>
  <c r="AU310" i="1"/>
  <c r="AP310" i="1"/>
  <c r="AK310" i="1"/>
  <c r="AH310" i="1"/>
  <c r="AU309" i="1"/>
  <c r="AP309" i="1"/>
  <c r="AK309" i="1"/>
  <c r="AH309" i="1"/>
  <c r="AU308" i="1"/>
  <c r="AP308" i="1"/>
  <c r="AK308" i="1"/>
  <c r="AH308" i="1"/>
  <c r="AU307" i="1"/>
  <c r="AP307" i="1"/>
  <c r="AK307" i="1"/>
  <c r="AH307" i="1"/>
  <c r="AU306" i="1"/>
  <c r="AP306" i="1"/>
  <c r="AK306" i="1"/>
  <c r="AH306" i="1"/>
  <c r="AU305" i="1"/>
  <c r="AP305" i="1"/>
  <c r="AK305" i="1"/>
  <c r="AH305" i="1"/>
  <c r="AU304" i="1"/>
  <c r="AK304" i="1"/>
  <c r="AH304" i="1"/>
  <c r="AU303" i="1"/>
  <c r="AP303" i="1"/>
  <c r="AK303" i="1"/>
  <c r="AH303" i="1"/>
  <c r="AU302" i="1"/>
  <c r="AP302" i="1"/>
  <c r="AK302" i="1"/>
  <c r="AH302" i="1"/>
  <c r="AU301" i="1"/>
  <c r="AP301" i="1"/>
  <c r="AK301" i="1"/>
  <c r="AH301" i="1"/>
  <c r="AU300" i="1"/>
  <c r="AK300" i="1"/>
  <c r="AH300" i="1"/>
  <c r="AU299" i="1"/>
  <c r="AK299" i="1"/>
  <c r="AH299" i="1"/>
  <c r="AU298" i="1"/>
  <c r="AK298" i="1"/>
  <c r="AH298" i="1"/>
  <c r="AU297" i="1"/>
  <c r="AP297" i="1"/>
  <c r="AK297" i="1"/>
  <c r="AH297" i="1"/>
  <c r="AU296" i="1"/>
  <c r="AK296" i="1"/>
  <c r="AH296" i="1"/>
  <c r="AU295" i="1"/>
  <c r="AP295" i="1"/>
  <c r="AK295" i="1"/>
  <c r="AH295" i="1"/>
  <c r="AU294" i="1"/>
  <c r="AP294" i="1"/>
  <c r="AK294" i="1"/>
  <c r="AH294" i="1"/>
  <c r="AU293" i="1"/>
  <c r="AK293" i="1"/>
  <c r="AH293" i="1"/>
  <c r="AU292" i="1"/>
  <c r="AP292" i="1"/>
  <c r="AK292" i="1"/>
  <c r="AH292" i="1"/>
  <c r="AU291" i="1"/>
  <c r="AP291" i="1"/>
  <c r="AK291" i="1"/>
  <c r="AH291" i="1"/>
  <c r="AU290" i="1"/>
  <c r="AP290" i="1"/>
  <c r="AK290" i="1"/>
  <c r="AH290" i="1"/>
  <c r="AU289" i="1"/>
  <c r="AP289" i="1"/>
  <c r="AK289" i="1"/>
  <c r="AH289" i="1"/>
  <c r="AU288" i="1"/>
  <c r="AP288" i="1"/>
  <c r="AK288" i="1"/>
  <c r="AH288" i="1"/>
  <c r="AU287" i="1"/>
  <c r="AP287" i="1"/>
  <c r="AK287" i="1"/>
  <c r="AH287" i="1"/>
  <c r="AU286" i="1"/>
  <c r="AP286" i="1"/>
  <c r="AK286" i="1"/>
  <c r="AH286" i="1"/>
  <c r="AU285" i="1"/>
  <c r="AP285" i="1"/>
  <c r="AK285" i="1"/>
  <c r="AH285" i="1"/>
  <c r="AU284" i="1"/>
  <c r="AP284" i="1"/>
  <c r="AK284" i="1"/>
  <c r="AH284" i="1"/>
  <c r="AU283" i="1"/>
  <c r="AP283" i="1"/>
  <c r="AK283" i="1"/>
  <c r="AH283" i="1"/>
  <c r="AU282" i="1"/>
  <c r="AP282" i="1"/>
  <c r="AK282" i="1"/>
  <c r="AH282" i="1"/>
  <c r="AU281" i="1"/>
  <c r="AP281" i="1"/>
  <c r="AK281" i="1"/>
  <c r="AH281" i="1"/>
  <c r="AU280" i="1"/>
  <c r="AK280" i="1"/>
  <c r="AH280" i="1"/>
  <c r="AU279" i="1"/>
  <c r="AP279" i="1"/>
  <c r="AK279" i="1"/>
  <c r="AH279" i="1"/>
  <c r="AU278" i="1"/>
  <c r="AP278" i="1"/>
  <c r="AK278" i="1"/>
  <c r="AH278" i="1"/>
  <c r="AU277" i="1"/>
  <c r="AP277" i="1"/>
  <c r="AK277" i="1"/>
  <c r="AH277" i="1"/>
  <c r="AU276" i="1"/>
  <c r="AP276" i="1"/>
  <c r="AK276" i="1"/>
  <c r="AH276" i="1"/>
  <c r="AU275" i="1"/>
  <c r="AP275" i="1"/>
  <c r="AK275" i="1"/>
  <c r="AH275" i="1"/>
  <c r="AU274" i="1"/>
  <c r="AP274" i="1"/>
  <c r="AK274" i="1"/>
  <c r="AH274" i="1"/>
  <c r="AU273" i="1"/>
  <c r="AP273" i="1"/>
  <c r="AK273" i="1"/>
  <c r="AH273" i="1"/>
  <c r="AU272" i="1"/>
  <c r="AP272" i="1"/>
  <c r="AK272" i="1"/>
  <c r="AH272" i="1"/>
  <c r="AU271" i="1"/>
  <c r="AN271" i="1"/>
  <c r="AK271" i="1"/>
  <c r="AH271" i="1"/>
  <c r="AU270" i="1"/>
  <c r="AP270" i="1"/>
  <c r="AK270" i="1"/>
  <c r="AH270" i="1"/>
  <c r="AU269" i="1"/>
  <c r="AP269" i="1"/>
  <c r="AK269" i="1"/>
  <c r="AH269" i="1"/>
  <c r="AU268" i="1"/>
  <c r="AP268" i="1"/>
  <c r="AK268" i="1"/>
  <c r="AH268" i="1"/>
  <c r="AU267" i="1"/>
  <c r="AP267" i="1"/>
  <c r="AK267" i="1"/>
  <c r="AH267" i="1"/>
  <c r="AU266" i="1"/>
  <c r="AP266" i="1"/>
  <c r="AK266" i="1"/>
  <c r="AH266" i="1"/>
  <c r="AU265" i="1"/>
  <c r="AP265" i="1"/>
  <c r="AK265" i="1"/>
  <c r="AH265" i="1"/>
  <c r="AU264" i="1"/>
  <c r="AP264" i="1"/>
  <c r="AN264" i="1"/>
  <c r="AK264" i="1"/>
  <c r="AH264" i="1"/>
  <c r="AU263" i="1"/>
  <c r="AP263" i="1"/>
  <c r="AK263" i="1"/>
  <c r="AH263" i="1"/>
  <c r="AU262" i="1"/>
  <c r="AP262" i="1"/>
  <c r="AK262" i="1"/>
  <c r="AH262" i="1"/>
  <c r="AU261" i="1"/>
  <c r="AK261" i="1"/>
  <c r="AH261" i="1"/>
  <c r="AU260" i="1"/>
  <c r="AP260" i="1"/>
  <c r="AK260" i="1"/>
  <c r="AH260" i="1"/>
  <c r="AU259" i="1"/>
  <c r="AP259" i="1"/>
  <c r="AK259" i="1"/>
  <c r="AH259" i="1"/>
  <c r="AU258" i="1"/>
  <c r="AP258" i="1"/>
  <c r="AK258" i="1"/>
  <c r="AH258" i="1"/>
  <c r="AU257" i="1"/>
  <c r="AP257" i="1"/>
  <c r="AK257" i="1"/>
  <c r="AH257" i="1"/>
  <c r="AU256" i="1"/>
  <c r="AP256" i="1"/>
  <c r="AK256" i="1"/>
  <c r="AH256" i="1"/>
  <c r="AU255" i="1"/>
  <c r="AP255" i="1"/>
  <c r="AK255" i="1"/>
  <c r="AH255" i="1"/>
  <c r="AU254" i="1"/>
  <c r="AP254" i="1"/>
  <c r="AK254" i="1"/>
  <c r="AH254" i="1"/>
  <c r="AU253" i="1"/>
  <c r="AP253" i="1"/>
  <c r="AK253" i="1"/>
  <c r="AH253" i="1"/>
  <c r="AU252" i="1"/>
  <c r="AP252" i="1"/>
  <c r="AK252" i="1"/>
  <c r="AH252" i="1"/>
  <c r="AU251" i="1"/>
  <c r="AP251" i="1"/>
  <c r="AK251" i="1"/>
  <c r="AH251" i="1"/>
  <c r="AU250" i="1"/>
  <c r="AP250" i="1"/>
  <c r="AK250" i="1"/>
  <c r="AH250" i="1"/>
  <c r="AU249" i="1"/>
  <c r="AP249" i="1"/>
  <c r="AK249" i="1"/>
  <c r="AH249" i="1"/>
  <c r="AU248" i="1"/>
  <c r="AP248" i="1"/>
  <c r="AK248" i="1"/>
  <c r="AH248" i="1"/>
  <c r="AU247" i="1"/>
  <c r="AP247" i="1"/>
  <c r="AK247" i="1"/>
  <c r="AH247" i="1"/>
  <c r="AU246" i="1"/>
  <c r="AP246" i="1"/>
  <c r="AN246" i="1"/>
  <c r="AK246" i="1"/>
  <c r="AH246" i="1"/>
  <c r="AU245" i="1"/>
  <c r="AP245" i="1"/>
  <c r="AK245" i="1"/>
  <c r="AH245" i="1"/>
  <c r="AU244" i="1"/>
  <c r="AP244" i="1"/>
  <c r="AK244" i="1"/>
  <c r="AH244" i="1"/>
  <c r="AU243" i="1"/>
  <c r="AP243" i="1"/>
  <c r="AK243" i="1"/>
  <c r="AH243" i="1"/>
  <c r="AU242" i="1"/>
  <c r="AP242" i="1"/>
  <c r="AK242" i="1"/>
  <c r="AH242" i="1"/>
  <c r="AU241" i="1"/>
  <c r="AP241" i="1"/>
  <c r="AK241" i="1"/>
  <c r="AH241" i="1"/>
  <c r="AU240" i="1"/>
  <c r="AK240" i="1"/>
  <c r="AH240" i="1"/>
  <c r="AU239" i="1"/>
  <c r="AP239" i="1"/>
  <c r="AK239" i="1"/>
  <c r="AH239" i="1"/>
  <c r="AU238" i="1"/>
  <c r="AK238" i="1"/>
  <c r="AH238" i="1"/>
  <c r="AU237" i="1"/>
  <c r="AP237" i="1"/>
  <c r="AK237" i="1"/>
  <c r="AH237" i="1"/>
  <c r="AU236" i="1"/>
  <c r="AK236" i="1"/>
  <c r="AH236" i="1"/>
  <c r="AU235" i="1"/>
  <c r="AP235" i="1"/>
  <c r="AK235" i="1"/>
  <c r="AH235" i="1"/>
  <c r="AU234" i="1"/>
  <c r="AP234" i="1"/>
  <c r="AK234" i="1"/>
  <c r="AH234" i="1"/>
  <c r="AU233" i="1"/>
  <c r="AP233" i="1"/>
  <c r="AK233" i="1"/>
  <c r="AH233" i="1"/>
  <c r="AU232" i="1"/>
  <c r="AP232" i="1"/>
  <c r="AK232" i="1"/>
  <c r="AH232" i="1"/>
  <c r="AU231" i="1"/>
  <c r="AP231" i="1"/>
  <c r="AK231" i="1"/>
  <c r="AH231" i="1"/>
  <c r="AU230" i="1"/>
  <c r="AP230" i="1"/>
  <c r="AK230" i="1"/>
  <c r="AH230" i="1"/>
  <c r="AU229" i="1"/>
  <c r="AP229" i="1"/>
  <c r="AK229" i="1"/>
  <c r="AH229" i="1"/>
  <c r="AU228" i="1"/>
  <c r="AP228" i="1"/>
  <c r="AK228" i="1"/>
  <c r="AH228" i="1"/>
  <c r="AU227" i="1"/>
  <c r="AK227" i="1"/>
  <c r="AH227" i="1"/>
  <c r="AU226" i="1"/>
  <c r="AP226" i="1"/>
  <c r="AK226" i="1"/>
  <c r="AH226" i="1"/>
  <c r="AU225" i="1"/>
  <c r="AP225" i="1"/>
  <c r="AK225" i="1"/>
  <c r="AH225" i="1"/>
  <c r="AU224" i="1"/>
  <c r="AP224" i="1"/>
  <c r="AK224" i="1"/>
  <c r="AH224" i="1"/>
  <c r="AU223" i="1"/>
  <c r="AP223" i="1"/>
  <c r="AK223" i="1"/>
  <c r="AH223" i="1"/>
  <c r="AU222" i="1"/>
  <c r="AP222" i="1"/>
  <c r="AK222" i="1"/>
  <c r="AH222" i="1"/>
  <c r="AU221" i="1"/>
  <c r="AP221" i="1"/>
  <c r="AK221" i="1"/>
  <c r="AH221" i="1"/>
  <c r="AU220" i="1"/>
  <c r="AP220" i="1"/>
  <c r="AK220" i="1"/>
  <c r="AH220" i="1"/>
  <c r="AU219" i="1"/>
  <c r="AP219" i="1"/>
  <c r="AK219" i="1"/>
  <c r="AH219" i="1"/>
  <c r="AU218" i="1"/>
  <c r="AP218" i="1"/>
  <c r="AK218" i="1"/>
  <c r="AH218" i="1"/>
  <c r="AU217" i="1"/>
  <c r="AP217" i="1"/>
  <c r="AK217" i="1"/>
  <c r="AH217" i="1"/>
  <c r="AU216" i="1"/>
  <c r="AP216" i="1"/>
  <c r="AK216" i="1"/>
  <c r="AH216" i="1"/>
  <c r="AU215" i="1"/>
  <c r="AK215" i="1"/>
  <c r="AH215" i="1"/>
  <c r="AU214" i="1"/>
  <c r="AP214" i="1"/>
  <c r="AK214" i="1"/>
  <c r="AH214" i="1"/>
  <c r="AU213" i="1"/>
  <c r="AK213" i="1"/>
  <c r="AH213" i="1"/>
  <c r="AU212" i="1"/>
  <c r="AP212" i="1"/>
  <c r="AK212" i="1"/>
  <c r="AH212" i="1"/>
  <c r="AU211" i="1"/>
  <c r="AP211" i="1"/>
  <c r="AK211" i="1"/>
  <c r="AH211" i="1"/>
  <c r="AU210" i="1"/>
  <c r="AK210" i="1"/>
  <c r="AH210" i="1"/>
  <c r="AU209" i="1"/>
  <c r="AP209" i="1"/>
  <c r="AK209" i="1"/>
  <c r="AH209" i="1"/>
  <c r="AU208" i="1"/>
  <c r="AP208" i="1"/>
  <c r="AK208" i="1"/>
  <c r="AH208" i="1"/>
  <c r="AU207" i="1"/>
  <c r="AK207" i="1"/>
  <c r="AH207" i="1"/>
  <c r="AU206" i="1"/>
  <c r="AK206" i="1"/>
  <c r="AH206" i="1"/>
  <c r="AU205" i="1"/>
  <c r="AP205" i="1"/>
  <c r="AK205" i="1"/>
  <c r="AH205" i="1"/>
  <c r="AU204" i="1"/>
  <c r="AP204" i="1"/>
  <c r="AK204" i="1"/>
  <c r="AH204" i="1"/>
  <c r="AU203" i="1"/>
  <c r="AP203" i="1"/>
  <c r="AK203" i="1"/>
  <c r="AH203" i="1"/>
  <c r="AU202" i="1"/>
  <c r="AP202" i="1"/>
  <c r="AK202" i="1"/>
  <c r="AH202" i="1"/>
  <c r="AU201" i="1"/>
  <c r="AK201" i="1"/>
  <c r="AH201" i="1"/>
  <c r="AU200" i="1"/>
  <c r="AP200" i="1"/>
  <c r="AK200" i="1"/>
  <c r="AH200" i="1"/>
  <c r="AU199" i="1"/>
  <c r="AP199" i="1"/>
  <c r="AK199" i="1"/>
  <c r="AH199" i="1"/>
  <c r="AU198" i="1"/>
  <c r="AP198" i="1"/>
  <c r="AK198" i="1"/>
  <c r="AH198" i="1"/>
  <c r="AU197" i="1"/>
  <c r="AP197" i="1"/>
  <c r="AK197" i="1"/>
  <c r="AH197" i="1"/>
  <c r="AU196" i="1"/>
  <c r="AK196" i="1"/>
  <c r="AH196" i="1"/>
  <c r="AU195" i="1"/>
  <c r="AP195" i="1"/>
  <c r="AK195" i="1"/>
  <c r="AH195" i="1"/>
  <c r="AU194" i="1"/>
  <c r="AP194" i="1"/>
  <c r="AK194" i="1"/>
  <c r="AH194" i="1"/>
  <c r="AU193" i="1"/>
  <c r="AK193" i="1"/>
  <c r="AH193" i="1"/>
  <c r="AU192" i="1"/>
  <c r="AP192" i="1"/>
  <c r="AK192" i="1"/>
  <c r="AH192" i="1"/>
  <c r="AU191" i="1"/>
  <c r="AK191" i="1"/>
  <c r="AH191" i="1"/>
  <c r="AU190" i="1"/>
  <c r="AP190" i="1"/>
  <c r="AK190" i="1"/>
  <c r="AH190" i="1"/>
  <c r="AU189" i="1"/>
  <c r="AP189" i="1"/>
  <c r="AK189" i="1"/>
  <c r="AH189" i="1"/>
  <c r="AU188" i="1"/>
  <c r="AP188" i="1"/>
  <c r="AK188" i="1"/>
  <c r="AH188" i="1"/>
  <c r="AU187" i="1"/>
  <c r="AP187" i="1"/>
  <c r="AK187" i="1"/>
  <c r="AH187" i="1"/>
  <c r="AU186" i="1"/>
  <c r="AP186" i="1"/>
  <c r="AK186" i="1"/>
  <c r="AH186" i="1"/>
  <c r="AU185" i="1"/>
  <c r="AP185" i="1"/>
  <c r="AK185" i="1"/>
  <c r="AH185" i="1"/>
  <c r="AU184" i="1"/>
  <c r="AP184" i="1"/>
  <c r="AK184" i="1"/>
  <c r="AH184" i="1"/>
  <c r="AU183" i="1"/>
  <c r="AP183" i="1"/>
  <c r="AK183" i="1"/>
  <c r="AH183" i="1"/>
  <c r="AU182" i="1"/>
  <c r="AP182" i="1"/>
  <c r="AK182" i="1"/>
  <c r="AH182" i="1"/>
  <c r="AU181" i="1"/>
  <c r="AP181" i="1"/>
  <c r="AK181" i="1"/>
  <c r="AH181" i="1"/>
  <c r="AU180" i="1"/>
  <c r="AP180" i="1"/>
  <c r="AK180" i="1"/>
  <c r="AH180" i="1"/>
  <c r="AU179" i="1"/>
  <c r="AP179" i="1"/>
  <c r="AK179" i="1"/>
  <c r="AH179" i="1"/>
  <c r="AU178" i="1"/>
  <c r="AP178" i="1"/>
  <c r="AK178" i="1"/>
  <c r="AH178" i="1"/>
  <c r="AU177" i="1"/>
  <c r="AP177" i="1"/>
  <c r="AK177" i="1"/>
  <c r="AH177" i="1"/>
  <c r="AU176" i="1"/>
  <c r="AP176" i="1"/>
  <c r="AK176" i="1"/>
  <c r="AH176" i="1"/>
  <c r="AU175" i="1"/>
  <c r="AP175" i="1"/>
  <c r="AK175" i="1"/>
  <c r="AH175" i="1"/>
  <c r="AU174" i="1"/>
  <c r="AK174" i="1"/>
  <c r="AH174" i="1"/>
  <c r="AU173" i="1"/>
  <c r="AP173" i="1"/>
  <c r="AK173" i="1"/>
  <c r="AH173" i="1"/>
  <c r="AU172" i="1"/>
  <c r="AP172" i="1"/>
  <c r="AK172" i="1"/>
  <c r="AH172" i="1"/>
  <c r="AU171" i="1"/>
  <c r="AP171" i="1"/>
  <c r="AK171" i="1"/>
  <c r="AH171" i="1"/>
  <c r="AU170" i="1"/>
  <c r="AP170" i="1"/>
  <c r="AK170" i="1"/>
  <c r="AH170" i="1"/>
  <c r="AU169" i="1"/>
  <c r="AP169" i="1"/>
  <c r="AK169" i="1"/>
  <c r="AH169" i="1"/>
  <c r="AU168" i="1"/>
  <c r="AP168" i="1"/>
  <c r="AK168" i="1"/>
  <c r="AH168" i="1"/>
  <c r="AU167" i="1"/>
  <c r="AP167" i="1"/>
  <c r="AK167" i="1"/>
  <c r="AH167" i="1"/>
  <c r="AU166" i="1"/>
  <c r="AP166" i="1"/>
  <c r="AK166" i="1"/>
  <c r="AH166" i="1"/>
  <c r="AU165" i="1"/>
  <c r="AP165" i="1"/>
  <c r="AK165" i="1"/>
  <c r="AH165" i="1"/>
  <c r="AU164" i="1"/>
  <c r="AP164" i="1"/>
  <c r="AK164" i="1"/>
  <c r="AH164" i="1"/>
  <c r="AU163" i="1"/>
  <c r="AP163" i="1"/>
  <c r="AK163" i="1"/>
  <c r="AH163" i="1"/>
  <c r="AU162" i="1"/>
  <c r="AP162" i="1"/>
  <c r="AK162" i="1"/>
  <c r="AH162" i="1"/>
  <c r="AU161" i="1"/>
  <c r="AK161" i="1"/>
  <c r="AH161" i="1"/>
  <c r="AU160" i="1"/>
  <c r="AP160" i="1"/>
  <c r="AK160" i="1"/>
  <c r="AH160" i="1"/>
  <c r="AU159" i="1"/>
  <c r="AP159" i="1"/>
  <c r="AK159" i="1"/>
  <c r="AH159" i="1"/>
  <c r="AU158" i="1"/>
  <c r="AP158" i="1"/>
  <c r="AK158" i="1"/>
  <c r="AH158" i="1"/>
  <c r="AU157" i="1"/>
  <c r="AP157" i="1"/>
  <c r="AK157" i="1"/>
  <c r="AH157" i="1"/>
  <c r="AU156" i="1"/>
  <c r="AP156" i="1"/>
  <c r="AK156" i="1"/>
  <c r="AH156" i="1"/>
  <c r="AU155" i="1"/>
  <c r="AP155" i="1"/>
  <c r="AK155" i="1"/>
  <c r="AH155" i="1"/>
  <c r="AU154" i="1"/>
  <c r="AP154" i="1"/>
  <c r="AK154" i="1"/>
  <c r="AH154" i="1"/>
  <c r="AU153" i="1"/>
  <c r="AK153" i="1"/>
  <c r="AH153" i="1"/>
  <c r="AU152" i="1"/>
  <c r="AP152" i="1"/>
  <c r="AK152" i="1"/>
  <c r="AH152" i="1"/>
  <c r="AU151" i="1"/>
  <c r="AK151" i="1"/>
  <c r="AH151" i="1"/>
  <c r="AU150" i="1"/>
  <c r="AP150" i="1"/>
  <c r="AK150" i="1"/>
  <c r="AH150" i="1"/>
  <c r="AU149" i="1"/>
  <c r="AP149" i="1"/>
  <c r="AK149" i="1"/>
  <c r="AH149" i="1"/>
  <c r="AU148" i="1"/>
  <c r="AP148" i="1"/>
  <c r="AK148" i="1"/>
  <c r="AH148" i="1"/>
  <c r="AU147" i="1"/>
  <c r="AP147" i="1"/>
  <c r="AK147" i="1"/>
  <c r="AH147" i="1"/>
  <c r="AU146" i="1"/>
  <c r="AP146" i="1"/>
  <c r="AN146" i="1"/>
  <c r="AK146" i="1"/>
  <c r="AH146" i="1"/>
  <c r="AU145" i="1"/>
  <c r="AP145" i="1"/>
  <c r="AK145" i="1"/>
  <c r="AH145" i="1"/>
  <c r="AU144" i="1"/>
  <c r="AK144" i="1"/>
  <c r="AH144" i="1"/>
  <c r="AU143" i="1"/>
  <c r="AP143" i="1"/>
  <c r="AK143" i="1"/>
  <c r="AH143" i="1"/>
  <c r="AU142" i="1"/>
  <c r="AP142" i="1"/>
  <c r="AK142" i="1"/>
  <c r="AH142" i="1"/>
  <c r="AU141" i="1"/>
  <c r="AP141" i="1"/>
  <c r="AK141" i="1"/>
  <c r="AH141" i="1"/>
  <c r="AU140" i="1"/>
  <c r="AP140" i="1"/>
  <c r="AK140" i="1"/>
  <c r="AH140" i="1"/>
  <c r="AU139" i="1"/>
  <c r="AP139" i="1"/>
  <c r="AK139" i="1"/>
  <c r="AH139" i="1"/>
  <c r="AU138" i="1"/>
  <c r="AP138" i="1"/>
  <c r="AK138" i="1"/>
  <c r="AH138" i="1"/>
  <c r="AU137" i="1"/>
  <c r="AP137" i="1"/>
  <c r="AK137" i="1"/>
  <c r="AH137" i="1"/>
  <c r="AU136" i="1"/>
  <c r="AP136" i="1"/>
  <c r="AK136" i="1"/>
  <c r="AH136" i="1"/>
  <c r="AU135" i="1"/>
  <c r="AP135" i="1"/>
  <c r="AK135" i="1"/>
  <c r="AH135" i="1"/>
  <c r="AU134" i="1"/>
  <c r="AP134" i="1"/>
  <c r="AK134" i="1"/>
  <c r="AH134" i="1"/>
  <c r="AU133" i="1"/>
  <c r="AP133" i="1"/>
  <c r="AK133" i="1"/>
  <c r="AH133" i="1"/>
  <c r="AU132" i="1"/>
  <c r="AP132" i="1"/>
  <c r="AK132" i="1"/>
  <c r="AH132" i="1"/>
  <c r="AU131" i="1"/>
  <c r="AP131" i="1"/>
  <c r="AK131" i="1"/>
  <c r="AH131" i="1"/>
  <c r="AU130" i="1"/>
  <c r="AP130" i="1"/>
  <c r="AK130" i="1"/>
  <c r="AH130" i="1"/>
  <c r="AU129" i="1"/>
  <c r="AP129" i="1"/>
  <c r="AK129" i="1"/>
  <c r="AH129" i="1"/>
  <c r="AU128" i="1"/>
  <c r="AP128" i="1"/>
  <c r="AK128" i="1"/>
  <c r="AH128" i="1"/>
  <c r="AU127" i="1"/>
  <c r="AP127" i="1"/>
  <c r="AK127" i="1"/>
  <c r="AH127" i="1"/>
  <c r="AU126" i="1"/>
  <c r="AP126" i="1"/>
  <c r="AK126" i="1"/>
  <c r="AH126" i="1"/>
  <c r="AU125" i="1"/>
  <c r="AP125" i="1"/>
  <c r="AK125" i="1"/>
  <c r="AH125" i="1"/>
  <c r="AU124" i="1"/>
  <c r="AP124" i="1"/>
  <c r="AK124" i="1"/>
  <c r="AH124" i="1"/>
  <c r="AU123" i="1"/>
  <c r="AP123" i="1"/>
  <c r="AK123" i="1"/>
  <c r="AH123" i="1"/>
  <c r="AU122" i="1"/>
  <c r="AP122" i="1"/>
  <c r="AN122" i="1"/>
  <c r="AK122" i="1"/>
  <c r="AH122" i="1"/>
  <c r="AU121" i="1"/>
  <c r="AP121" i="1"/>
  <c r="AK121" i="1"/>
  <c r="AH121" i="1"/>
  <c r="AU120" i="1"/>
  <c r="AK120" i="1"/>
  <c r="AH120" i="1"/>
  <c r="AU119" i="1"/>
  <c r="AP119" i="1"/>
  <c r="AK119" i="1"/>
  <c r="AH119" i="1"/>
  <c r="AU118" i="1"/>
  <c r="AP118" i="1"/>
  <c r="AK118" i="1"/>
  <c r="AH118" i="1"/>
  <c r="AU117" i="1"/>
  <c r="AP117" i="1"/>
  <c r="AK117" i="1"/>
  <c r="AH117" i="1"/>
  <c r="AU116" i="1"/>
  <c r="AP116" i="1"/>
  <c r="AK116" i="1"/>
  <c r="AH116" i="1"/>
  <c r="AU115" i="1"/>
  <c r="AP115" i="1"/>
  <c r="AK115" i="1"/>
  <c r="AH115" i="1"/>
  <c r="AU114" i="1"/>
  <c r="AP114" i="1"/>
  <c r="AK114" i="1"/>
  <c r="AH114" i="1"/>
  <c r="AU113" i="1"/>
  <c r="AP113" i="1"/>
  <c r="AK113" i="1"/>
  <c r="AH113" i="1"/>
  <c r="AU112" i="1"/>
  <c r="AP112" i="1"/>
  <c r="AK112" i="1"/>
  <c r="AH112" i="1"/>
  <c r="AU111" i="1"/>
  <c r="AP111" i="1"/>
  <c r="AN111" i="1"/>
  <c r="AK111" i="1"/>
  <c r="AH111" i="1"/>
  <c r="AU110" i="1"/>
  <c r="AK110" i="1"/>
  <c r="AH110" i="1"/>
  <c r="AU109" i="1"/>
  <c r="AP109" i="1"/>
  <c r="AK109" i="1"/>
  <c r="AH109" i="1"/>
  <c r="AU108" i="1"/>
  <c r="AP108" i="1"/>
  <c r="AK108" i="1"/>
  <c r="AH108" i="1"/>
  <c r="AU107" i="1"/>
  <c r="AP107" i="1"/>
  <c r="AK107" i="1"/>
  <c r="AH107" i="1"/>
  <c r="AU106" i="1"/>
  <c r="AP106" i="1"/>
  <c r="AK106" i="1"/>
  <c r="AH106" i="1"/>
  <c r="AU105" i="1"/>
  <c r="AP105" i="1"/>
  <c r="AK105" i="1"/>
  <c r="AH105" i="1"/>
  <c r="AU104" i="1"/>
  <c r="AP104" i="1"/>
  <c r="AK104" i="1"/>
  <c r="AH104" i="1"/>
  <c r="AU103" i="1"/>
  <c r="AP103" i="1"/>
  <c r="AK103" i="1"/>
  <c r="AH103" i="1"/>
  <c r="AU102" i="1"/>
  <c r="AP102" i="1"/>
  <c r="AK102" i="1"/>
  <c r="AH102" i="1"/>
  <c r="AU101" i="1"/>
  <c r="AP101" i="1"/>
  <c r="AK101" i="1"/>
  <c r="AH101" i="1"/>
  <c r="AU100" i="1"/>
  <c r="AP100" i="1"/>
  <c r="AK100" i="1"/>
  <c r="AH100" i="1"/>
  <c r="AU99" i="1"/>
  <c r="AK99" i="1"/>
  <c r="AH99" i="1"/>
  <c r="AK98" i="1"/>
  <c r="AH98" i="1"/>
  <c r="AU97" i="1"/>
  <c r="AP97" i="1"/>
  <c r="AK97" i="1"/>
  <c r="AH97" i="1"/>
  <c r="AU96" i="1"/>
  <c r="AP96" i="1"/>
  <c r="AK96" i="1"/>
  <c r="AH96" i="1"/>
  <c r="AU95" i="1"/>
  <c r="AP95" i="1"/>
  <c r="AK95" i="1"/>
  <c r="AH95" i="1"/>
  <c r="AU94" i="1"/>
  <c r="AP94" i="1"/>
  <c r="AK94" i="1"/>
  <c r="AH94" i="1"/>
  <c r="AU93" i="1"/>
  <c r="AP93" i="1"/>
  <c r="AK93" i="1"/>
  <c r="AH93" i="1"/>
  <c r="AU92" i="1"/>
  <c r="AK92" i="1"/>
  <c r="AH92" i="1"/>
  <c r="AU91" i="1"/>
  <c r="AP91" i="1"/>
  <c r="AK91" i="1"/>
  <c r="AH91" i="1"/>
  <c r="AU90" i="1"/>
  <c r="AP90" i="1"/>
  <c r="AK90" i="1"/>
  <c r="AH90" i="1"/>
  <c r="AU89" i="1"/>
  <c r="AP89" i="1"/>
  <c r="AK89" i="1"/>
  <c r="AH89" i="1"/>
  <c r="AU88" i="1"/>
  <c r="AP88" i="1"/>
  <c r="AK88" i="1"/>
  <c r="AH88" i="1"/>
  <c r="AU87" i="1"/>
  <c r="AP87" i="1"/>
  <c r="AK87" i="1"/>
  <c r="AH87" i="1"/>
  <c r="AU86" i="1"/>
  <c r="AP86" i="1"/>
  <c r="AK86" i="1"/>
  <c r="AH86" i="1"/>
  <c r="AU85" i="1"/>
  <c r="AP85" i="1"/>
  <c r="AK85" i="1"/>
  <c r="AH85" i="1"/>
  <c r="P85" i="1"/>
  <c r="AU84" i="1"/>
  <c r="AP84" i="1"/>
  <c r="AK84" i="1"/>
  <c r="AH84" i="1"/>
  <c r="AU83" i="1"/>
  <c r="AP83" i="1"/>
  <c r="AK83" i="1"/>
  <c r="AH83" i="1"/>
  <c r="AU82" i="1"/>
  <c r="AP82" i="1"/>
  <c r="AK82" i="1"/>
  <c r="AH82" i="1"/>
  <c r="AU81" i="1"/>
  <c r="AP81" i="1"/>
  <c r="AK81" i="1"/>
  <c r="AH81" i="1"/>
  <c r="AU80" i="1"/>
  <c r="AP80" i="1"/>
  <c r="AK80" i="1"/>
  <c r="AH80" i="1"/>
  <c r="AU79" i="1"/>
  <c r="AK79" i="1"/>
  <c r="AH79" i="1"/>
  <c r="AU78" i="1"/>
  <c r="AP78" i="1"/>
  <c r="AK78" i="1"/>
  <c r="AH78" i="1"/>
  <c r="AU77" i="1"/>
  <c r="AP77" i="1"/>
  <c r="AK77" i="1"/>
  <c r="AH77" i="1"/>
  <c r="AU76" i="1"/>
  <c r="AP76" i="1"/>
  <c r="AK76" i="1"/>
  <c r="AH76" i="1"/>
  <c r="AU75" i="1"/>
  <c r="AP75" i="1"/>
  <c r="AK75" i="1"/>
  <c r="AH75" i="1"/>
  <c r="AU74" i="1"/>
  <c r="AP74" i="1"/>
  <c r="AK74" i="1"/>
  <c r="AH74" i="1"/>
  <c r="AU73" i="1"/>
  <c r="AP73" i="1"/>
  <c r="AK73" i="1"/>
  <c r="AH73" i="1"/>
  <c r="AU72" i="1"/>
  <c r="AP72" i="1"/>
  <c r="AK72" i="1"/>
  <c r="AH72" i="1"/>
  <c r="AU71" i="1"/>
  <c r="AP71" i="1"/>
  <c r="AK71" i="1"/>
  <c r="AH71" i="1"/>
  <c r="AU70" i="1"/>
  <c r="AP70" i="1"/>
  <c r="AK70" i="1"/>
  <c r="AH70" i="1"/>
  <c r="AU69" i="1"/>
  <c r="AP69" i="1"/>
  <c r="AK69" i="1"/>
  <c r="AH69" i="1"/>
  <c r="AU68" i="1"/>
  <c r="AP68" i="1"/>
  <c r="AK68" i="1"/>
  <c r="AH68" i="1"/>
  <c r="AU67" i="1"/>
  <c r="AP67" i="1"/>
  <c r="AK67" i="1"/>
  <c r="AH67" i="1"/>
  <c r="AU66" i="1"/>
  <c r="AP66" i="1"/>
  <c r="AK66" i="1"/>
  <c r="AH66" i="1"/>
  <c r="AU65" i="1"/>
  <c r="AP65" i="1"/>
  <c r="AK65" i="1"/>
  <c r="AH65" i="1"/>
  <c r="AU64" i="1"/>
  <c r="AP64" i="1"/>
  <c r="AK64" i="1"/>
  <c r="AH64" i="1"/>
  <c r="AU63" i="1"/>
  <c r="AP63" i="1"/>
  <c r="AK63" i="1"/>
  <c r="AH63" i="1"/>
  <c r="AU62" i="1"/>
  <c r="AK62" i="1"/>
  <c r="AH62" i="1"/>
  <c r="AU61" i="1"/>
  <c r="AP61" i="1"/>
  <c r="AK61" i="1"/>
  <c r="AH61" i="1"/>
  <c r="AU60" i="1"/>
  <c r="AP60" i="1"/>
  <c r="AK60" i="1"/>
  <c r="AH60" i="1"/>
  <c r="AU59" i="1"/>
  <c r="AP59" i="1"/>
  <c r="AK59" i="1"/>
  <c r="AH59" i="1"/>
  <c r="AU58" i="1"/>
  <c r="AP58" i="1"/>
  <c r="AK58" i="1"/>
  <c r="AH58" i="1"/>
  <c r="AU57" i="1"/>
  <c r="AP57" i="1"/>
  <c r="AK57" i="1"/>
  <c r="AH57" i="1"/>
  <c r="AU56" i="1"/>
  <c r="AP56" i="1"/>
  <c r="AK56" i="1"/>
  <c r="AH56" i="1"/>
  <c r="AU55" i="1"/>
  <c r="AP55" i="1"/>
  <c r="AK55" i="1"/>
  <c r="AH55" i="1"/>
  <c r="AU54" i="1"/>
  <c r="AP54" i="1"/>
  <c r="AK54" i="1"/>
  <c r="AH54" i="1"/>
  <c r="AU53" i="1"/>
  <c r="AP53" i="1"/>
  <c r="AK53" i="1"/>
  <c r="AH53" i="1"/>
  <c r="AU52" i="1"/>
  <c r="AP52" i="1"/>
  <c r="AK52" i="1"/>
  <c r="AH52" i="1"/>
  <c r="AU51" i="1"/>
  <c r="AK51" i="1"/>
  <c r="AH51" i="1"/>
  <c r="AU50" i="1"/>
  <c r="AP50" i="1"/>
  <c r="AK50" i="1"/>
  <c r="AH50" i="1"/>
  <c r="AU49" i="1"/>
  <c r="AP49" i="1"/>
  <c r="AK49" i="1"/>
  <c r="AH49" i="1"/>
  <c r="AU48" i="1"/>
  <c r="AP48" i="1"/>
  <c r="AK48" i="1"/>
  <c r="AH48" i="1"/>
  <c r="AU47" i="1"/>
  <c r="AP47" i="1"/>
  <c r="AK47" i="1"/>
  <c r="AH47" i="1"/>
  <c r="AU46" i="1"/>
  <c r="AP46" i="1"/>
  <c r="AK46" i="1"/>
  <c r="AH46" i="1"/>
  <c r="AU45" i="1"/>
  <c r="AP45" i="1"/>
  <c r="AK45" i="1"/>
  <c r="AH45" i="1"/>
  <c r="AU44" i="1"/>
  <c r="AP44" i="1"/>
  <c r="AK44" i="1"/>
  <c r="AH44" i="1"/>
  <c r="AU43" i="1"/>
  <c r="AP43" i="1"/>
  <c r="AK43" i="1"/>
  <c r="AH43" i="1"/>
  <c r="AU42" i="1"/>
  <c r="AP42" i="1"/>
  <c r="AK42" i="1"/>
  <c r="AH42" i="1"/>
  <c r="AU41" i="1"/>
  <c r="AP41" i="1"/>
  <c r="AK41" i="1"/>
  <c r="AH41" i="1"/>
  <c r="AU40" i="1"/>
  <c r="AP40" i="1"/>
  <c r="AK40" i="1"/>
  <c r="AH40" i="1"/>
  <c r="AU39" i="1"/>
  <c r="AP39" i="1"/>
  <c r="AK39" i="1"/>
  <c r="AH39" i="1"/>
  <c r="AU38" i="1"/>
  <c r="AP38" i="1"/>
  <c r="AK38" i="1"/>
  <c r="AH38" i="1"/>
  <c r="AU37" i="1"/>
  <c r="AP37" i="1"/>
  <c r="AK37" i="1"/>
  <c r="AH37" i="1"/>
  <c r="AU36" i="1"/>
  <c r="AP36" i="1"/>
  <c r="AK36" i="1"/>
  <c r="AH36" i="1"/>
  <c r="AU35" i="1"/>
  <c r="AP35" i="1"/>
  <c r="AK35" i="1"/>
  <c r="AH35" i="1"/>
  <c r="AU34" i="1"/>
  <c r="AP34" i="1"/>
  <c r="AK34" i="1"/>
  <c r="AH34" i="1"/>
  <c r="AU33" i="1"/>
  <c r="AP33" i="1"/>
  <c r="AK33" i="1"/>
  <c r="AH33" i="1"/>
  <c r="AU32" i="1"/>
  <c r="AP32" i="1"/>
  <c r="AK32" i="1"/>
  <c r="AH32" i="1"/>
  <c r="AU31" i="1"/>
  <c r="AP31" i="1"/>
  <c r="AK31" i="1"/>
  <c r="AH31" i="1"/>
  <c r="AU30" i="1"/>
  <c r="AK30" i="1"/>
  <c r="AH30" i="1"/>
  <c r="AU29" i="1"/>
  <c r="AK29" i="1"/>
  <c r="AH29" i="1"/>
  <c r="AU28" i="1"/>
  <c r="AP28" i="1"/>
  <c r="AK28" i="1"/>
  <c r="AH28" i="1"/>
  <c r="AU27" i="1"/>
  <c r="AP27" i="1"/>
  <c r="AK27" i="1"/>
  <c r="AH27" i="1"/>
  <c r="AU26" i="1"/>
  <c r="AP26" i="1"/>
  <c r="AK26" i="1"/>
  <c r="AH26" i="1"/>
  <c r="AU25" i="1"/>
  <c r="AP25" i="1"/>
  <c r="AK25" i="1"/>
  <c r="AH25" i="1"/>
  <c r="AU24" i="1"/>
  <c r="AP24" i="1"/>
  <c r="AK24" i="1"/>
  <c r="AH24" i="1"/>
  <c r="AU23" i="1"/>
  <c r="AP23" i="1"/>
  <c r="AK23" i="1"/>
  <c r="AH23" i="1"/>
  <c r="AU22" i="1"/>
  <c r="AP22" i="1"/>
  <c r="AK22" i="1"/>
  <c r="AH22" i="1"/>
  <c r="AU21" i="1"/>
  <c r="AP21" i="1"/>
  <c r="AK21" i="1"/>
  <c r="AH21" i="1"/>
  <c r="AU20" i="1"/>
  <c r="AP20" i="1"/>
  <c r="AK20" i="1"/>
  <c r="AH20" i="1"/>
  <c r="AU19" i="1"/>
  <c r="AP19" i="1"/>
  <c r="AK19" i="1"/>
  <c r="AH19" i="1"/>
  <c r="AU18" i="1"/>
  <c r="AP18" i="1"/>
  <c r="AK18" i="1"/>
  <c r="AH18" i="1"/>
  <c r="AU17" i="1"/>
  <c r="AP17" i="1"/>
  <c r="AK17" i="1"/>
  <c r="AH17" i="1"/>
  <c r="AU16" i="1"/>
  <c r="AP16" i="1"/>
  <c r="AK16" i="1"/>
  <c r="AH16" i="1"/>
  <c r="AU15" i="1"/>
  <c r="AP15" i="1"/>
  <c r="AK15" i="1"/>
  <c r="AH15" i="1"/>
  <c r="AU14" i="1"/>
  <c r="AP14" i="1"/>
  <c r="AK14" i="1"/>
  <c r="AH14" i="1"/>
  <c r="AU13" i="1"/>
  <c r="AP13" i="1"/>
  <c r="AK13" i="1"/>
  <c r="AH13" i="1"/>
  <c r="AU12" i="1"/>
  <c r="AP12" i="1"/>
  <c r="AK12" i="1"/>
  <c r="AH12" i="1"/>
  <c r="AU11" i="1"/>
  <c r="AP11" i="1"/>
  <c r="AK11" i="1"/>
  <c r="AH11" i="1"/>
  <c r="AU10" i="1"/>
  <c r="AP10" i="1"/>
  <c r="AK10" i="1"/>
  <c r="AH10" i="1"/>
  <c r="AU9" i="1"/>
  <c r="AP9" i="1"/>
  <c r="AK9" i="1"/>
  <c r="AH9" i="1"/>
  <c r="AU8" i="1"/>
  <c r="AP8" i="1"/>
  <c r="AK8" i="1"/>
  <c r="AH8" i="1"/>
  <c r="AU7" i="1"/>
  <c r="AP7" i="1"/>
  <c r="AK7" i="1"/>
  <c r="AH7" i="1"/>
  <c r="AU6" i="1"/>
  <c r="AP6" i="1"/>
  <c r="AK6" i="1"/>
  <c r="AH6" i="1"/>
  <c r="AU5" i="1"/>
  <c r="AP5" i="1"/>
  <c r="AK5" i="1"/>
  <c r="AH5" i="1"/>
  <c r="AU4" i="1"/>
  <c r="AP4" i="1"/>
  <c r="AK4" i="1"/>
  <c r="AH4" i="1"/>
  <c r="AU3" i="1"/>
  <c r="AP3" i="1"/>
  <c r="AK3" i="1"/>
  <c r="AH3" i="1"/>
</calcChain>
</file>

<file path=xl/comments1.xml><?xml version="1.0" encoding="utf-8"?>
<comments xmlns="http://schemas.openxmlformats.org/spreadsheetml/2006/main">
  <authors>
    <author/>
  </authors>
  <commentList>
    <comment ref="AJ7" authorId="0" shapeId="0">
      <text>
        <r>
          <rPr>
            <sz val="10"/>
            <color rgb="FF000000"/>
            <rFont val="Arial"/>
          </rPr>
          <t>admin-120502:
15/7/2013 - Nghỉ không lương</t>
        </r>
      </text>
    </comment>
    <comment ref="AJ35" authorId="0" shapeId="0">
      <text>
        <r>
          <rPr>
            <sz val="10"/>
            <color rgb="FF000000"/>
            <rFont val="Arial"/>
          </rPr>
          <t>Chưa có hồ sơ nghỉ việc</t>
        </r>
      </text>
    </comment>
    <comment ref="AJ64" authorId="0" shapeId="0">
      <text>
        <r>
          <rPr>
            <sz val="10"/>
            <color rgb="FF000000"/>
            <rFont val="Arial"/>
          </rPr>
          <t>admin-120502:
nghỉ thai sản</t>
        </r>
      </text>
    </comment>
    <comment ref="AJ80" authorId="0" shapeId="0">
      <text>
        <r>
          <rPr>
            <sz val="10"/>
            <color rgb="FF000000"/>
            <rFont val="Arial"/>
          </rPr>
          <t>admin-120502:
Nghỉ thai sản</t>
        </r>
      </text>
    </comment>
    <comment ref="AJ104" authorId="0" shapeId="0">
      <text>
        <r>
          <rPr>
            <sz val="10"/>
            <color rgb="FF000000"/>
            <rFont val="Arial"/>
          </rPr>
          <t>admin-120502:
Nghỉ thai sản</t>
        </r>
      </text>
    </comment>
    <comment ref="AD109" authorId="0" shapeId="0">
      <text>
        <r>
          <rPr>
            <sz val="10"/>
            <color rgb="FF000000"/>
            <rFont val="Arial"/>
          </rPr>
          <t>admin-120502:
Hậu cần TVTS</t>
        </r>
      </text>
    </comment>
    <comment ref="AF120" authorId="0" shapeId="0">
      <text>
        <r>
          <rPr>
            <sz val="10"/>
            <color rgb="FF000000"/>
            <rFont val="Arial"/>
          </rPr>
          <t>admin-120502:
7/1/2009 - Làm TCW</t>
        </r>
      </text>
    </comment>
    <comment ref="X179" authorId="0" shapeId="0">
      <text>
        <r>
          <rPr>
            <sz val="10"/>
            <color rgb="FF000000"/>
            <rFont val="Arial"/>
          </rPr>
          <t>admin-120502:
Bổ nhiệm từ ngày 15/9/2013</t>
        </r>
      </text>
    </comment>
    <comment ref="AC186" authorId="0" shapeId="0">
      <text>
        <r>
          <rPr>
            <sz val="10"/>
            <color rgb="FF000000"/>
            <rFont val="Arial"/>
          </rPr>
          <t>admin-120502:
Từ TMH chuyển sang TTN ngày 17/6/2013</t>
        </r>
      </text>
    </comment>
    <comment ref="AJ204" authorId="0" shapeId="0">
      <text>
        <r>
          <rPr>
            <sz val="10"/>
            <color rgb="FF000000"/>
            <rFont val="Arial"/>
          </rPr>
          <t>Đã nghỉ việc, chưa có hồ sơ nghỉ việc cụ thể, hỏi lại, làm part time từ tháng 5,6,7,8, quay lại làm chính thức tại TPE 3 tháng</t>
        </r>
      </text>
    </comment>
    <comment ref="X220" authorId="0" shapeId="0">
      <text>
        <r>
          <rPr>
            <sz val="10"/>
            <color rgb="FF000000"/>
            <rFont val="Arial"/>
          </rPr>
          <t xml:space="preserve">admin-120502:
Bổ nhiệm từ ngày 20/9/2013
</t>
        </r>
      </text>
    </comment>
    <comment ref="AC261" authorId="0" shapeId="0">
      <text>
        <r>
          <rPr>
            <sz val="10"/>
            <color rgb="FF000000"/>
            <rFont val="Arial"/>
          </rPr>
          <t>admin-120502:
Trước bên TOS1, sau 
Chạy dự án phát triển TTN rồi chuyển sang TTN luôn.</t>
        </r>
      </text>
    </comment>
    <comment ref="X266" authorId="0" shapeId="0">
      <text>
        <r>
          <rPr>
            <sz val="10"/>
            <color rgb="FF000000"/>
            <rFont val="Arial"/>
          </rPr>
          <t xml:space="preserve">admin-120502:
Trainer
</t>
        </r>
      </text>
    </comment>
    <comment ref="AH286" authorId="0" shapeId="0">
      <text>
        <r>
          <rPr>
            <sz val="10"/>
            <color rgb="FF000000"/>
            <rFont val="Arial"/>
          </rPr>
          <t>Đã nghỉ việc 1 thời gian và quay lại làm việc</t>
        </r>
      </text>
    </comment>
    <comment ref="AJ286" authorId="0" shapeId="0">
      <text>
        <r>
          <rPr>
            <sz val="10"/>
            <color rgb="FF000000"/>
            <rFont val="Arial"/>
          </rPr>
          <t>admin-120502:
Chưa có thu tuc nghi viec</t>
        </r>
      </text>
    </comment>
    <comment ref="AJ288" authorId="0" shapeId="0">
      <text>
        <r>
          <rPr>
            <sz val="10"/>
            <color rgb="FF000000"/>
            <rFont val="Arial"/>
          </rPr>
          <t>admin-120502:
Chưa có HS nghi viec</t>
        </r>
      </text>
    </comment>
    <comment ref="AJ289" authorId="0" shapeId="0">
      <text>
        <r>
          <rPr>
            <sz val="10"/>
            <color rgb="FF000000"/>
            <rFont val="Arial"/>
          </rPr>
          <t>admin-120502:
Chưa co HS nghi viec</t>
        </r>
      </text>
    </comment>
    <comment ref="AF336" authorId="0" shapeId="0">
      <text>
        <r>
          <rPr>
            <sz val="10"/>
            <color rgb="FF000000"/>
            <rFont val="Arial"/>
          </rPr>
          <t xml:space="preserve">Nghỉ việc rồi đi làm lại
</t>
        </r>
      </text>
    </comment>
    <comment ref="AJ349" authorId="0" shapeId="0">
      <text>
        <r>
          <rPr>
            <sz val="10"/>
            <color rgb="FF000000"/>
            <rFont val="Arial"/>
          </rPr>
          <t>admin-120502:
Nghỉ việc từ ngày 30/6/2013 rồi - Đi làm lại, chính thức ngày 13/9/2013</t>
        </r>
      </text>
    </comment>
    <comment ref="AD362" authorId="0" shapeId="0">
      <text>
        <r>
          <rPr>
            <sz val="10"/>
            <color rgb="FF000000"/>
            <rFont val="Arial"/>
          </rPr>
          <t>admin-120502:
Hậu cần TVTS</t>
        </r>
      </text>
    </comment>
    <comment ref="AF381" authorId="0" shapeId="0">
      <text>
        <r>
          <rPr>
            <sz val="10"/>
            <color rgb="FF000000"/>
            <rFont val="Arial"/>
          </rPr>
          <t>Nghỉ việc TSA, 1/4/2013 thử việc TTV</t>
        </r>
      </text>
    </comment>
    <comment ref="AJ384" authorId="0" shapeId="0">
      <text>
        <r>
          <rPr>
            <sz val="10"/>
            <color rgb="FF000000"/>
            <rFont val="Arial"/>
          </rPr>
          <t>admin-120502:
nghỉ thai san</t>
        </r>
      </text>
    </comment>
    <comment ref="AC423" authorId="0" shapeId="0">
      <text>
        <r>
          <rPr>
            <sz val="10"/>
            <color rgb="FF000000"/>
            <rFont val="Arial"/>
          </rPr>
          <t>admin-120502:
Từ TRD chuyển sang TIS từ ngày 1/5/2013</t>
        </r>
      </text>
    </comment>
    <comment ref="AJ423" authorId="0" shapeId="0">
      <text>
        <r>
          <rPr>
            <sz val="10"/>
            <color rgb="FF000000"/>
            <rFont val="Arial"/>
          </rPr>
          <t>admin-120502:
Nghỉ việc từ ngày 4/7/2013. Đi làm lại.</t>
        </r>
      </text>
    </comment>
    <comment ref="AJ447" authorId="0" shapeId="0">
      <text>
        <r>
          <rPr>
            <sz val="10"/>
            <color rgb="FF000000"/>
            <rFont val="Arial"/>
          </rPr>
          <t>admin-120502:
1/8/2013 - Nghỉ Không Lương 2 tháng rồi nghỉ việc luôn.</t>
        </r>
      </text>
    </comment>
    <comment ref="AJ451" authorId="0" shapeId="0">
      <text>
        <r>
          <rPr>
            <sz val="10"/>
            <color rgb="FF000000"/>
            <rFont val="Arial"/>
          </rPr>
          <t>admin-120502:
Nghỉ Thai sản</t>
        </r>
      </text>
    </comment>
    <comment ref="AL643" authorId="0" shapeId="0">
      <text>
        <r>
          <rPr>
            <sz val="10"/>
            <color rgb="FF000000"/>
            <rFont val="Arial"/>
          </rPr>
          <t>minh hiền đã đi làm lại rồi
	-Nguyen Thi Hoang Ha</t>
        </r>
      </text>
    </comment>
    <comment ref="AJ648" authorId="0" shapeId="0">
      <text>
        <r>
          <rPr>
            <sz val="10"/>
            <color rgb="FF000000"/>
            <rFont val="Arial"/>
          </rPr>
          <t>admin-120502:
Nghỉ không lương từ T8-hết T9: Làm việc với đối tác</t>
        </r>
      </text>
    </comment>
    <comment ref="AJ667" authorId="0" shapeId="0">
      <text>
        <r>
          <rPr>
            <sz val="10"/>
            <color rgb="FF000000"/>
            <rFont val="Arial"/>
          </rPr>
          <t>admin-120502:
Thử việc không lương 2 tháng</t>
        </r>
      </text>
    </comment>
    <comment ref="C724" authorId="0" shapeId="0">
      <text>
        <r>
          <rPr>
            <sz val="10"/>
            <color rgb="FF000000"/>
            <rFont val="Arial"/>
          </rPr>
          <t>Thieu Ho so</t>
        </r>
      </text>
    </comment>
    <comment ref="AL737" authorId="0" shapeId="0">
      <text>
        <r>
          <rPr>
            <sz val="10"/>
            <color rgb="FF000000"/>
            <rFont val="Arial"/>
          </rPr>
          <t>Thử việc thêm
	-Nguyen Le Minh Phuong</t>
        </r>
      </text>
    </comment>
    <comment ref="AJ747" authorId="0" shapeId="0">
      <text>
        <r>
          <rPr>
            <sz val="10"/>
            <color rgb="FF000000"/>
            <rFont val="Arial"/>
          </rPr>
          <t>thử việc thêm</t>
        </r>
      </text>
    </comment>
    <comment ref="C756" authorId="0" shapeId="0">
      <text>
        <r>
          <rPr>
            <sz val="10"/>
            <color rgb="FF000000"/>
            <rFont val="Arial"/>
          </rPr>
          <t>Thieu CMND, SYLL</t>
        </r>
      </text>
    </comment>
    <comment ref="C757" authorId="0" shapeId="0">
      <text>
        <r>
          <rPr>
            <sz val="10"/>
            <color rgb="FF000000"/>
            <rFont val="Arial"/>
          </rPr>
          <t xml:space="preserve">Thieu ban khai thong tin
</t>
        </r>
      </text>
    </comment>
    <comment ref="C758" authorId="0" shapeId="0">
      <text>
        <r>
          <rPr>
            <sz val="10"/>
            <color rgb="FF000000"/>
            <rFont val="Arial"/>
          </rPr>
          <t>Thieu Ho so</t>
        </r>
      </text>
    </comment>
    <comment ref="C763" authorId="0" shapeId="0">
      <text>
        <r>
          <rPr>
            <sz val="10"/>
            <color rgb="FF000000"/>
            <rFont val="Arial"/>
          </rPr>
          <t>Thieu Anh + Ban Khai thong tin ca nhan</t>
        </r>
      </text>
    </comment>
    <comment ref="AJ763" authorId="0" shapeId="0">
      <text>
        <r>
          <rPr>
            <sz val="10"/>
            <color rgb="FF000000"/>
            <rFont val="Arial"/>
          </rPr>
          <t>Thu viec them 1 thang</t>
        </r>
      </text>
    </comment>
    <comment ref="C765" authorId="0" shapeId="0">
      <text>
        <r>
          <rPr>
            <sz val="10"/>
            <color rgb="FF000000"/>
            <rFont val="Arial"/>
          </rPr>
          <t>Thieu CMT</t>
        </r>
      </text>
    </comment>
    <comment ref="C772" authorId="0" shapeId="0">
      <text>
        <r>
          <rPr>
            <sz val="10"/>
            <color rgb="FF000000"/>
            <rFont val="Arial"/>
          </rPr>
          <t>Thieu ho so</t>
        </r>
      </text>
    </comment>
    <comment ref="C773" authorId="0" shapeId="0">
      <text>
        <r>
          <rPr>
            <sz val="10"/>
            <color rgb="FF000000"/>
            <rFont val="Arial"/>
          </rPr>
          <t>Thieu Ho so</t>
        </r>
      </text>
    </comment>
    <comment ref="C774" authorId="0" shapeId="0">
      <text>
        <r>
          <rPr>
            <sz val="10"/>
            <color rgb="FF000000"/>
            <rFont val="Arial"/>
          </rPr>
          <t>Thieu Ho so</t>
        </r>
      </text>
    </comment>
    <comment ref="C776" authorId="0" shapeId="0">
      <text>
        <r>
          <rPr>
            <sz val="10"/>
            <color rgb="FF000000"/>
            <rFont val="Arial"/>
          </rPr>
          <t>Thieu Ho so</t>
        </r>
      </text>
    </comment>
    <comment ref="C777" authorId="0" shapeId="0">
      <text>
        <r>
          <rPr>
            <sz val="10"/>
            <color rgb="FF000000"/>
            <rFont val="Arial"/>
          </rPr>
          <t>Thieu Ho so</t>
        </r>
      </text>
    </comment>
    <comment ref="C778" authorId="0" shapeId="0">
      <text>
        <r>
          <rPr>
            <sz val="10"/>
            <color rgb="FF000000"/>
            <rFont val="Arial"/>
          </rPr>
          <t>Thieu Ho so</t>
        </r>
      </text>
    </comment>
    <comment ref="C779" authorId="0" shapeId="0">
      <text>
        <r>
          <rPr>
            <sz val="10"/>
            <color rgb="FF000000"/>
            <rFont val="Arial"/>
          </rPr>
          <t>Thieu Ho so</t>
        </r>
      </text>
    </comment>
    <comment ref="C781" authorId="0" shapeId="0">
      <text>
        <r>
          <rPr>
            <sz val="10"/>
            <color rgb="FF000000"/>
            <rFont val="Arial"/>
          </rPr>
          <t>Thieu Giay kham SK + Bang cap + Giay Khai sinh</t>
        </r>
      </text>
    </comment>
    <comment ref="C784" authorId="0" shapeId="0">
      <text>
        <r>
          <rPr>
            <sz val="10"/>
            <color rgb="FF000000"/>
            <rFont val="Arial"/>
          </rPr>
          <t>Thiếu Hồ sơ full</t>
        </r>
      </text>
    </comment>
    <comment ref="C786" authorId="0" shapeId="0">
      <text>
        <r>
          <rPr>
            <sz val="10"/>
            <color rgb="FF000000"/>
            <rFont val="Arial"/>
          </rPr>
          <t>Thiếu bộ Hồ sơ</t>
        </r>
      </text>
    </comment>
    <comment ref="C789" authorId="0" shapeId="0">
      <text>
        <r>
          <rPr>
            <sz val="10"/>
            <color rgb="FF000000"/>
            <rFont val="Arial"/>
          </rPr>
          <t>Thieu ho so</t>
        </r>
      </text>
    </comment>
    <comment ref="C790" authorId="0" shapeId="0">
      <text>
        <r>
          <rPr>
            <sz val="10"/>
            <color rgb="FF000000"/>
            <rFont val="Arial"/>
          </rPr>
          <t>Thieu Ho so</t>
        </r>
      </text>
    </comment>
    <comment ref="C793" authorId="0" shapeId="0">
      <text>
        <r>
          <rPr>
            <sz val="10"/>
            <color rgb="FF000000"/>
            <rFont val="Arial"/>
          </rPr>
          <t>Thieu ho so Nhan su</t>
        </r>
      </text>
    </comment>
    <comment ref="C817" authorId="0" shapeId="0">
      <text>
        <r>
          <rPr>
            <sz val="10"/>
            <color rgb="FF000000"/>
            <rFont val="Arial"/>
          </rPr>
          <t>Thieu ho so</t>
        </r>
      </text>
    </comment>
  </commentList>
</comments>
</file>

<file path=xl/sharedStrings.xml><?xml version="1.0" encoding="utf-8"?>
<sst xmlns="http://schemas.openxmlformats.org/spreadsheetml/2006/main" count="20150" uniqueCount="6354">
  <si>
    <t/>
  </si>
  <si>
    <t>Mã nhân viên (*)</t>
  </si>
  <si>
    <t>Họ và đệm</t>
  </si>
  <si>
    <t>Tên</t>
  </si>
  <si>
    <t>Mã Headcount</t>
  </si>
  <si>
    <t>Giới tính</t>
  </si>
  <si>
    <t>Ngày sinh(nhập mm/dd/yyyy)</t>
  </si>
  <si>
    <t>Nơi sinh</t>
  </si>
  <si>
    <t>Nguyên quán</t>
  </si>
  <si>
    <t>Số CMND</t>
  </si>
  <si>
    <t>Ngày cấp CMND(Nhập mm/dd/yyyy)</t>
  </si>
  <si>
    <t>Nơi cấp CMND</t>
  </si>
  <si>
    <t>Trình độ</t>
  </si>
  <si>
    <t>Nơi đào tạo</t>
  </si>
  <si>
    <t>Chuyên ngành</t>
  </si>
  <si>
    <t>Năm tốt nghiệp</t>
  </si>
  <si>
    <t>Email cơ quan</t>
  </si>
  <si>
    <t>ĐT nhà riêng</t>
  </si>
  <si>
    <t>ĐT di động</t>
  </si>
  <si>
    <t>Email cá nhân</t>
  </si>
  <si>
    <t>Hộ khẩu thường trú</t>
  </si>
  <si>
    <t>Chỗ ở hiện nay</t>
  </si>
  <si>
    <t>Họ và tên (người liên hệ khẩn cấp)</t>
  </si>
  <si>
    <t>Quan hệ (người liên hệ khẩn cấp)</t>
  </si>
  <si>
    <t>ĐT di động (người liên hệ khẩn cấp)</t>
  </si>
  <si>
    <t>Mã vị trí công việc</t>
  </si>
  <si>
    <t>Chức danh</t>
  </si>
  <si>
    <t>Chức vụ Tiếng Anh</t>
  </si>
  <si>
    <t>Cấp</t>
  </si>
  <si>
    <t>Ngạch</t>
  </si>
  <si>
    <t>Mã đơn vị công tác (*)</t>
  </si>
  <si>
    <t>Mã phòng</t>
  </si>
  <si>
    <t>Nơi làm việc</t>
  </si>
  <si>
    <t>Ngày thử việc(Nhâp mm/dd/yyyy)</t>
  </si>
  <si>
    <t>Tháng vào</t>
  </si>
  <si>
    <t>Ngày hết thử việc</t>
  </si>
  <si>
    <t>Ngày chính thức (Nhập mm/dd/yyyy)</t>
  </si>
  <si>
    <t>Tháng hết thử việc</t>
  </si>
  <si>
    <t>Trạng thái lao động (*)</t>
  </si>
  <si>
    <t>Ngày nghỉ khác(Nhập mm/dd/yyyy)</t>
  </si>
  <si>
    <t>Ngày làm lại sau nghỉ khác (Nhập mm/dd/yyyy)</t>
  </si>
  <si>
    <t>Ngày nghỉ việc (mm/dd/yyyy)</t>
  </si>
  <si>
    <t>Tháng nghỉ</t>
  </si>
  <si>
    <t>Mã số thuế cá nhân</t>
  </si>
  <si>
    <t>Cơ chế</t>
  </si>
  <si>
    <t>Cơ cấu</t>
  </si>
  <si>
    <t>Danh Hiệu</t>
  </si>
  <si>
    <t>Tháng sinh</t>
  </si>
  <si>
    <t>Công ty</t>
  </si>
  <si>
    <t>Phạm Minh</t>
  </si>
  <si>
    <t>Tuấn</t>
  </si>
  <si>
    <t>Nam</t>
  </si>
  <si>
    <t>Hà Nội</t>
  </si>
  <si>
    <t>Hà Nội</t>
  </si>
  <si>
    <t>012190813</t>
  </si>
  <si>
    <t>Tiến sĩ</t>
  </si>
  <si>
    <t>Budapest University Of Technology And Economics</t>
  </si>
  <si>
    <t>tuanpm@topica.edu.vn</t>
  </si>
  <si>
    <t>04 3942 2822</t>
  </si>
  <si>
    <t>0913 563 976</t>
  </si>
  <si>
    <t>36/B6, Thành Công, Ba Đình, Hà Nội</t>
  </si>
  <si>
    <t>31 Lê Duẩn, Hoàn Kiếm, Hà Nội</t>
  </si>
  <si>
    <t>CC</t>
  </si>
  <si>
    <t>QL</t>
  </si>
  <si>
    <t>TEG</t>
  </si>
  <si>
    <t>HN</t>
  </si>
  <si>
    <t>Chính thức</t>
  </si>
  <si>
    <t>OTHER</t>
  </si>
  <si>
    <t>TU</t>
  </si>
  <si>
    <t>Nguyễn Hoài</t>
  </si>
  <si>
    <t>Giang</t>
  </si>
  <si>
    <t>Việt Trì</t>
  </si>
  <si>
    <t>Việt Trì</t>
  </si>
  <si>
    <t>011674923</t>
  </si>
  <si>
    <t>giangnh@topica.edu.vn</t>
  </si>
  <si>
    <t>04 3537 2849</t>
  </si>
  <si>
    <t>0904 145 536</t>
  </si>
  <si>
    <t>20A/117 Đặng Tiến Đông, Hà Nội</t>
  </si>
  <si>
    <t>20a/117 Đặng Tiến Đông, Hà Nội</t>
  </si>
  <si>
    <t>CX</t>
  </si>
  <si>
    <t>5</t>
  </si>
  <si>
    <t>BCV</t>
  </si>
  <si>
    <t>Nghỉ việc</t>
  </si>
  <si>
    <t>Nguyễn Thành</t>
  </si>
  <si>
    <t>Trung</t>
  </si>
  <si>
    <t>012726491</t>
  </si>
  <si>
    <t>Thạc sĩ</t>
  </si>
  <si>
    <t>trungnt@topica.edu.vn</t>
  </si>
  <si>
    <t>04 3943 7904</t>
  </si>
  <si>
    <t>0982 968 497</t>
  </si>
  <si>
    <t>Tổ 10, Phường Long Biên - Quận Long Biên - Hà Nội</t>
  </si>
  <si>
    <t>CC2</t>
  </si>
  <si>
    <t>Thái Minh</t>
  </si>
  <si>
    <t>Hạnh</t>
  </si>
  <si>
    <t>Nữ</t>
  </si>
  <si>
    <t>012042982</t>
  </si>
  <si>
    <t>ĐH Kinh Tế Quốc Dân</t>
  </si>
  <si>
    <t>hanhtm@topica.edu.vn</t>
  </si>
  <si>
    <t>04 3662 6719</t>
  </si>
  <si>
    <t>0912 313 731</t>
  </si>
  <si>
    <t>126 Bà Triệu, Hà Nội</t>
  </si>
  <si>
    <t>26 Tổ 56 Ngõ 190, Đường Hoàng Pri, Quận Hoàng Pri, Hà Nội</t>
  </si>
  <si>
    <t>TD1</t>
  </si>
  <si>
    <t>4</t>
  </si>
  <si>
    <t>TRD</t>
  </si>
  <si>
    <t>Nghỉ khác</t>
  </si>
  <si>
    <t>9/1/2012-11/30/2012
2/1/2013 - 3/31/2013
T4-T5-T6 Parttime
10/1/2013</t>
  </si>
  <si>
    <t>BACK_OFFICE</t>
  </si>
  <si>
    <t>Nguyễn Phùng Minh</t>
  </si>
  <si>
    <t>Hằng</t>
  </si>
  <si>
    <t>011908239</t>
  </si>
  <si>
    <t>ĐH Ngoại Thương</t>
  </si>
  <si>
    <t>hangnpm@topica.edu.vn</t>
  </si>
  <si>
    <t>04 3869 4409</t>
  </si>
  <si>
    <t>0912 819 079</t>
  </si>
  <si>
    <t>Nhà 16, Ngõ 17/2, Tạ Quang Bửu, Hà Nội</t>
  </si>
  <si>
    <t>Nhà 16, Ngõ 17/2, Phố Tạ Quang Bửu, Hà Nội</t>
  </si>
  <si>
    <t>8/15/2013</t>
  </si>
  <si>
    <t>Cao Công</t>
  </si>
  <si>
    <t>Minh</t>
  </si>
  <si>
    <t>Hưng Yên</t>
  </si>
  <si>
    <t>Hưng Yên</t>
  </si>
  <si>
    <t>012288579</t>
  </si>
  <si>
    <t>Đại học</t>
  </si>
  <si>
    <t>ĐH Bách Khoa Hà Nội</t>
  </si>
  <si>
    <t>minhcc@topica.edu.vn</t>
  </si>
  <si>
    <t>04 3636 1800</t>
  </si>
  <si>
    <t>0902 151 789</t>
  </si>
  <si>
    <t>07, Ngách 15, Ngõ 61, Lạc Trung, Hai Bà Trưng, Hà Nội</t>
  </si>
  <si>
    <t>TTN</t>
  </si>
  <si>
    <t>Trương Thị Thu</t>
  </si>
  <si>
    <t>Hiền</t>
  </si>
  <si>
    <t>Thái Bình</t>
  </si>
  <si>
    <t>Thái Bình</t>
  </si>
  <si>
    <t>012549149</t>
  </si>
  <si>
    <t>Học viên Tài chính</t>
  </si>
  <si>
    <t>0436881292</t>
  </si>
  <si>
    <t>091 230 9830</t>
  </si>
  <si>
    <t>TT Công ty vận tải lâm sản HN -Thanh Trì HN</t>
  </si>
  <si>
    <t>Số nhà 34 ngõ 190 Nguyễn Trãi, tổ 10, Thượng Đình, Thanh Xuân, HN</t>
  </si>
  <si>
    <t>Phạm Quốc</t>
  </si>
  <si>
    <t>Hùng</t>
  </si>
  <si>
    <t>111687592</t>
  </si>
  <si>
    <t>hungpq@topica.edu.vn</t>
  </si>
  <si>
    <t>0982 090 582</t>
  </si>
  <si>
    <t>Phượng Dực - Phú Xuyên - Hà Nội</t>
  </si>
  <si>
    <t>Phường Bách Khoa, Quận Hai Bà Trưng, Hà Nội</t>
  </si>
  <si>
    <t>SD2</t>
  </si>
  <si>
    <t>S2</t>
  </si>
  <si>
    <t>Dương Hữu</t>
  </si>
  <si>
    <t>Quang</t>
  </si>
  <si>
    <t>011948466</t>
  </si>
  <si>
    <t>Điện tử - Viễn thông</t>
  </si>
  <si>
    <t>quangdh@topica.edu.vn</t>
  </si>
  <si>
    <t>04 3716 4506</t>
  </si>
  <si>
    <t>0943 199 998</t>
  </si>
  <si>
    <t>61 Nguyễn Trường Tộ - Ba Đình - Hà Nội</t>
  </si>
  <si>
    <t>SD1</t>
  </si>
  <si>
    <t>TPE</t>
  </si>
  <si>
    <t>Hoàng Thế</t>
  </si>
  <si>
    <t>Anh</t>
  </si>
  <si>
    <t>Hải Phòng</t>
  </si>
  <si>
    <t>Hải Phòng</t>
  </si>
  <si>
    <t>013097808</t>
  </si>
  <si>
    <t>anhht@topica.edu.vn</t>
  </si>
  <si>
    <t>0905 500 555</t>
  </si>
  <si>
    <t>11b-N2, Tập Thể Viện Lịch Sử Quân Sự, Tổ 33, Nghĩa Đô, Hà Nội</t>
  </si>
  <si>
    <t>Số 14 Tổ 36 Phường Quan Hoa, Quận Cầu Giấy, Hà Nội</t>
  </si>
  <si>
    <t>TAL</t>
  </si>
  <si>
    <t>Nguyễn Hoàng</t>
  </si>
  <si>
    <t>Tú</t>
  </si>
  <si>
    <t>Hà Tây</t>
  </si>
  <si>
    <t>Hà Tây Hà Nội</t>
  </si>
  <si>
    <t>111711490</t>
  </si>
  <si>
    <t>tunh@topica.edu.vn</t>
  </si>
  <si>
    <t>0914 325 560</t>
  </si>
  <si>
    <t>Phùng Xá- Thạch Thất- Hà Tây Hà Nội</t>
  </si>
  <si>
    <t>Thôn Tảo-đông Ngạc-từ Liêm-hà Nội Hà Nội</t>
  </si>
  <si>
    <t>Nguyễn Hoàng Trung</t>
  </si>
  <si>
    <t>0985 907 351</t>
  </si>
  <si>
    <t>TD2</t>
  </si>
  <si>
    <t>TIC</t>
  </si>
  <si>
    <t>0103305483</t>
  </si>
  <si>
    <t>Phạm Hoàng</t>
  </si>
  <si>
    <t>011970188</t>
  </si>
  <si>
    <t>giangph@topica.edu.vn</t>
  </si>
  <si>
    <t>04 3718 5843</t>
  </si>
  <si>
    <t>0913 006 898</t>
  </si>
  <si>
    <t>74 Quan Thánh, Hà Nội</t>
  </si>
  <si>
    <t>228 Nghi Tàm, Hà Nội</t>
  </si>
  <si>
    <t>Vũ Thị Hồng</t>
  </si>
  <si>
    <t>Thúy</t>
  </si>
  <si>
    <t>011723426</t>
  </si>
  <si>
    <t>ĐH Tài Chính Kế Toán</t>
  </si>
  <si>
    <t>thuyvth@topica.edu.vn</t>
  </si>
  <si>
    <t>04 6296 4998</t>
  </si>
  <si>
    <t>0989 339 096</t>
  </si>
  <si>
    <t>Số 4 Phạm Đình Hồ, Hai Bà Trưng</t>
  </si>
  <si>
    <t>TFP</t>
  </si>
  <si>
    <t>Nguyễn Thị Thanh</t>
  </si>
  <si>
    <t>Thu</t>
  </si>
  <si>
    <t>012553208</t>
  </si>
  <si>
    <t>thuntt@topica.edu.vn</t>
  </si>
  <si>
    <t>0913 832 261</t>
  </si>
  <si>
    <t>50b Ngõ Tiến Bộ, Phường Thổ Quan, Đống Đa, Hà Nội</t>
  </si>
  <si>
    <t>89 Chùa Láng, Phường Láng Thượng, Đống Đa, Hà Nội</t>
  </si>
  <si>
    <t>PM2</t>
  </si>
  <si>
    <t>TAW</t>
  </si>
  <si>
    <t>Bùi Xuân</t>
  </si>
  <si>
    <t>Dương</t>
  </si>
  <si>
    <t>011938110</t>
  </si>
  <si>
    <t>ĐH Shinawatra - Newzeland</t>
  </si>
  <si>
    <t>04 3 824 4583</t>
  </si>
  <si>
    <t>091 234 9018
 0122 331 3773</t>
  </si>
  <si>
    <t>Số 7 Phan Bội Châu, Hoàn Kiếm, HN</t>
  </si>
  <si>
    <t>Nguyễn Bảo</t>
  </si>
  <si>
    <t>011785320</t>
  </si>
  <si>
    <t>ĐH Hà Nội</t>
  </si>
  <si>
    <t>thuynb@topica.edu.vn</t>
  </si>
  <si>
    <t>0912 233 223</t>
  </si>
  <si>
    <t>Số 4 Ngõ 133 Phùng Khoang, Từ Liêm, Hà Nội</t>
  </si>
  <si>
    <t>TAD</t>
  </si>
  <si>
    <t>Nguyễn Đình</t>
  </si>
  <si>
    <t>Thông</t>
  </si>
  <si>
    <t>031151039</t>
  </si>
  <si>
    <t>thongnd@topica.edu.vn</t>
  </si>
  <si>
    <t>0313 853 605</t>
  </si>
  <si>
    <t>0912 343 126</t>
  </si>
  <si>
    <t>36/274 Hàng Kênh, Lê Chân, Hải Phòng</t>
  </si>
  <si>
    <t>42/37/yên Đỗ, P1, Quận Bình Thạnh,hcm</t>
  </si>
  <si>
    <t>THC</t>
  </si>
  <si>
    <t>HCM</t>
  </si>
  <si>
    <t>Lan</t>
  </si>
  <si>
    <t>011896204</t>
  </si>
  <si>
    <t>0904239239</t>
  </si>
  <si>
    <t>C8, Khu văn phòng chính phủ Hoàng Cầu</t>
  </si>
  <si>
    <t>CB</t>
  </si>
  <si>
    <t>Đặng Mỹ</t>
  </si>
  <si>
    <t>Châu</t>
  </si>
  <si>
    <t>HCM</t>
  </si>
  <si>
    <t>024657253</t>
  </si>
  <si>
    <t>TP.HCM</t>
  </si>
  <si>
    <t>Trường Quản Trị Doanh Nghiệp - Thái Lan</t>
  </si>
  <si>
    <t>chaudm@topica.edu.vn</t>
  </si>
  <si>
    <t>08 7304 8488</t>
  </si>
  <si>
    <t>0908 289 320</t>
  </si>
  <si>
    <t>7/61/6/25 Đường Thành Thái, P 14. Quận 10, HCM</t>
  </si>
  <si>
    <t>7/61/6/25 Đường Thành Thái, P14. Quận 10,
 HCM</t>
  </si>
  <si>
    <t>SN</t>
  </si>
  <si>
    <t>Ngô Thu</t>
  </si>
  <si>
    <t>Thủy</t>
  </si>
  <si>
    <t>010284264</t>
  </si>
  <si>
    <t>01255 038 658</t>
  </si>
  <si>
    <t>Số 36, Nhà B6 Khu Tập Thể Thành Công, Phường Thành Công, Quận Ba Đình, Hà Nội.</t>
  </si>
  <si>
    <t>Số 36, nhà B6 Khu tập thể Thành Công, phường Thành Công, quận Ba Đình, Hà Nội.</t>
  </si>
  <si>
    <t>Nguyễn Thị Phương</t>
  </si>
  <si>
    <t>Thảo</t>
  </si>
  <si>
    <t>011674925</t>
  </si>
  <si>
    <t>ĐH Monash</t>
  </si>
  <si>
    <t>Tài chính</t>
  </si>
  <si>
    <t>thaonp@topica.edu.vn</t>
  </si>
  <si>
    <t>0437530410</t>
  </si>
  <si>
    <t>0912 044 958</t>
  </si>
  <si>
    <t>P509, G23, Thành Công, Ba Đình, HN</t>
  </si>
  <si>
    <t>Số 4, Làng Kiến trúc phong cảnh, Võng Thị, Bưởi, Tây Hồ, HN</t>
  </si>
  <si>
    <t>Nguyễn Thị</t>
  </si>
  <si>
    <t>Huyền</t>
  </si>
  <si>
    <t>031269582</t>
  </si>
  <si>
    <t>CA Hải Phòng</t>
  </si>
  <si>
    <t>CB_HR</t>
  </si>
  <si>
    <t>Hoàng Thị Hồng</t>
  </si>
  <si>
    <t>Nhung</t>
  </si>
  <si>
    <t>Quảng Ninh</t>
  </si>
  <si>
    <t>Quảng Ninh</t>
  </si>
  <si>
    <t>013028545</t>
  </si>
  <si>
    <t>ĐH Dân Lập Phương Đông</t>
  </si>
  <si>
    <t>Kế toán kiểm toán</t>
  </si>
  <si>
    <t>nhunghth@topica.edu.vn</t>
  </si>
  <si>
    <t>04 3642 2624</t>
  </si>
  <si>
    <t>0948 998 959</t>
  </si>
  <si>
    <t>tổ 18 phường Cẩm Tây, Cẩm Phả, Quảng Ninh</t>
  </si>
  <si>
    <t>P1102,18t2, Trung Hòa,nhân Chính</t>
  </si>
  <si>
    <t>Hoàng Đức Huy</t>
  </si>
  <si>
    <t>Bố</t>
  </si>
  <si>
    <t>OP</t>
  </si>
  <si>
    <t>1</t>
  </si>
  <si>
    <t>Hồ Thị Thanh</t>
  </si>
  <si>
    <t>Mai</t>
  </si>
  <si>
    <t>012225832</t>
  </si>
  <si>
    <t>ĐH Ngoại Ngữ - ĐH Quốc Gia HN</t>
  </si>
  <si>
    <t>maihtt@topica.edu.vn</t>
  </si>
  <si>
    <t>04 3853 6727</t>
  </si>
  <si>
    <t>0912 509 596</t>
  </si>
  <si>
    <t>466 Đường Láng, Phường Láng Hạ, Đống Đa, Hà Nội.</t>
  </si>
  <si>
    <t>OX</t>
  </si>
  <si>
    <t>Lê Vũ</t>
  </si>
  <si>
    <t>Kiên</t>
  </si>
  <si>
    <t>012001905</t>
  </si>
  <si>
    <t>kienlv@topica.edu.vn</t>
  </si>
  <si>
    <t>0904 868 411</t>
  </si>
  <si>
    <t>Số 46, Tổ 31, Đại Kim, Hoàng Mai, Hà Nội</t>
  </si>
  <si>
    <t>Thôn Phương Nhị, Liên Ninh, Thanh Trì, Hà Nội</t>
  </si>
  <si>
    <t>Lê Thị Quỳnh</t>
  </si>
  <si>
    <t>Thanh Hóa</t>
  </si>
  <si>
    <t>Thanh Hóa</t>
  </si>
  <si>
    <t>013134686</t>
  </si>
  <si>
    <t>Học viện Ngân hàng</t>
  </si>
  <si>
    <t>Tài chính - Ngân hàng</t>
  </si>
  <si>
    <t>lanltq@topica.edu.vn</t>
  </si>
  <si>
    <t>04 3568 0344</t>
  </si>
  <si>
    <t>0904 677 682</t>
  </si>
  <si>
    <t>Sn 12, Ngách 250/40 Khương Trung, Thanh Xuân, Hà Nội</t>
  </si>
  <si>
    <t>OXG</t>
  </si>
  <si>
    <t>PFPC</t>
  </si>
  <si>
    <t>Thái Thị Hạnh</t>
  </si>
  <si>
    <t>Nguyên</t>
  </si>
  <si>
    <t>Hà nội</t>
  </si>
  <si>
    <t>011788471</t>
  </si>
  <si>
    <t>ĐH</t>
  </si>
  <si>
    <t>ĐH KTQD&amp;KHXH</t>
  </si>
  <si>
    <t>0</t>
  </si>
  <si>
    <t>098 908 8375</t>
  </si>
  <si>
    <t>3 ngách 135/26 Đội Cấn, Ba Đình, Hà Nội</t>
  </si>
  <si>
    <t>Hà nội</t>
  </si>
  <si>
    <t>04 22404412</t>
  </si>
  <si>
    <t>3 ngách 135/26 Đội Cấn, Ba Đình, Hà Nội</t>
  </si>
  <si>
    <t>NV</t>
  </si>
  <si>
    <t>Phạm Đức</t>
  </si>
  <si>
    <t>Hiếu</t>
  </si>
  <si>
    <t>012461003</t>
  </si>
  <si>
    <t>Học Viện Công Nghệ M.s Rapriah (msrit)</t>
  </si>
  <si>
    <t>hieupd@topica.edu.vn</t>
  </si>
  <si>
    <t>04 3864 3923</t>
  </si>
  <si>
    <t>0983 818 985</t>
  </si>
  <si>
    <t>7 Ngõ 167 Tân Mai, Hoàng Mai, Hà Nội</t>
  </si>
  <si>
    <t>8 Ngõ 167 Tân Mai, Hoàng Mai, Hà Nội</t>
  </si>
  <si>
    <t>Nguyễn Thành</t>
  </si>
  <si>
    <t>Luân</t>
  </si>
  <si>
    <t>Tuyên Quang</t>
  </si>
  <si>
    <t>Tuyên Quang</t>
  </si>
  <si>
    <t>013479087</t>
  </si>
  <si>
    <t>Cao đẳng</t>
  </si>
  <si>
    <t>Cisco Networking Academy</t>
  </si>
  <si>
    <t>luannt@topica.edu.vn</t>
  </si>
  <si>
    <t>027.3864658</t>
  </si>
  <si>
    <t>0904 485 932</t>
  </si>
  <si>
    <t>Số 38, Ngách 521/36 Cổ Nhuế, Từ Liêm Hà Nội</t>
  </si>
  <si>
    <t>FRONT_OFFICE</t>
  </si>
  <si>
    <t>Lưu Thị</t>
  </si>
  <si>
    <t>Ly</t>
  </si>
  <si>
    <t>Hà Tây</t>
  </si>
  <si>
    <t>001186000150</t>
  </si>
  <si>
    <t>Trung cấp</t>
  </si>
  <si>
    <t>Trung học dân lập kinh tế kỹ thuật tổng hợp HN</t>
  </si>
  <si>
    <t>Hạch toán kế toán</t>
  </si>
  <si>
    <t>lylt@topica.edu.vn</t>
  </si>
  <si>
    <t>04 2218 7352</t>
  </si>
  <si>
    <t>0989 068 822</t>
  </si>
  <si>
    <t>Đại Kim, Hoàng Mai, Hà Nội</t>
  </si>
  <si>
    <t>Liên Ninh, Thanh Trì, Hà Nội</t>
  </si>
  <si>
    <t>NXG</t>
  </si>
  <si>
    <t>2</t>
  </si>
  <si>
    <t>CG</t>
  </si>
  <si>
    <t>Bùi Thị</t>
  </si>
  <si>
    <t>Nga</t>
  </si>
  <si>
    <t>Nam Định</t>
  </si>
  <si>
    <t>Nam Định</t>
  </si>
  <si>
    <t>162374810</t>
  </si>
  <si>
    <t>Quản trị kinh doanh</t>
  </si>
  <si>
    <t>ngabt@topica.edu.vn</t>
  </si>
  <si>
    <t>04 6296 1113</t>
  </si>
  <si>
    <t>0912 486 428</t>
  </si>
  <si>
    <t>Đội 1, Xã Hải Hà, Huyện Hải Hậu, Nam Định</t>
  </si>
  <si>
    <t>201 Minh Khai</t>
  </si>
  <si>
    <t>PM1</t>
  </si>
  <si>
    <t>TOS</t>
  </si>
  <si>
    <t>POSD</t>
  </si>
  <si>
    <t>Bùi Thị Thu</t>
  </si>
  <si>
    <t>Hường</t>
  </si>
  <si>
    <t>Ninh Bình</t>
  </si>
  <si>
    <t>Ninh Bình</t>
  </si>
  <si>
    <t>012733108</t>
  </si>
  <si>
    <t>ĐH Thương Mại</t>
  </si>
  <si>
    <t>huongbtt@topica.edu.vn</t>
  </si>
  <si>
    <t>04 3862 6937</t>
  </si>
  <si>
    <t>0973 025 466</t>
  </si>
  <si>
    <t>Số 23, Lô D, Khu Mơ Táo, Hoàng Văn Thụ, Hoàng Mai, Hà Nội</t>
  </si>
  <si>
    <t>Ngô Thanh</t>
  </si>
  <si>
    <t>Tùng</t>
  </si>
  <si>
    <t>012046800</t>
  </si>
  <si>
    <t>ĐH Ngoại Thương Budapest</t>
  </si>
  <si>
    <t>tungnt@topica.edu.vn</t>
  </si>
  <si>
    <t>0972 546 276</t>
  </si>
  <si>
    <t>2 Ngõ Trạm, Hoàn Kiếm, Hà Nội</t>
  </si>
  <si>
    <t>20 Ngõ Yên Thế - Đống Đa - Hà Nội</t>
  </si>
  <si>
    <t>Lê Thanh</t>
  </si>
  <si>
    <t>Tâm</t>
  </si>
  <si>
    <t>Hà Nam</t>
  </si>
  <si>
    <t>Hà Nam</t>
  </si>
  <si>
    <t>168051438</t>
  </si>
  <si>
    <t>tamlt@topica.edu.vn</t>
  </si>
  <si>
    <t>03513 874 219</t>
  </si>
  <si>
    <t>0936 401 466</t>
  </si>
  <si>
    <t>Hải Long 1, Nguyên Lý, Lý Nhân, Hà Nam</t>
  </si>
  <si>
    <t>TMH</t>
  </si>
  <si>
    <t>Phạm Thị Ngọc</t>
  </si>
  <si>
    <t>012132101</t>
  </si>
  <si>
    <t>lanptn@topica.edu.vn</t>
  </si>
  <si>
    <t>04 3926 1440</t>
  </si>
  <si>
    <t>0904 848 960</t>
  </si>
  <si>
    <t>29 Hàng Đào, Hoàn Kiếm, Hà Nội</t>
  </si>
  <si>
    <t>Nguyễn Thị Hồng</t>
  </si>
  <si>
    <t>Hải Dương</t>
  </si>
  <si>
    <t>Hải Dương</t>
  </si>
  <si>
    <t>141854090</t>
  </si>
  <si>
    <t>Hải Hưng</t>
  </si>
  <si>
    <t>CĐ Sư Phạm Kỹ Thuật I</t>
  </si>
  <si>
    <t>Sư phạm kỹ thuật Tin học</t>
  </si>
  <si>
    <t>lannth@topica.edu.vn</t>
  </si>
  <si>
    <t>04 3624 2273</t>
  </si>
  <si>
    <t>0948 323 848</t>
  </si>
  <si>
    <t>22 - Khu Cầu Sắt, Phố Lục Đầu Giang , Tt Phả Lại, Chí Linh, Hải Dương</t>
  </si>
  <si>
    <t>22e, 169/119 Đường Hoàng Pri,Hà Nội</t>
  </si>
  <si>
    <t>Đàm Thị Hải</t>
  </si>
  <si>
    <t>Yến</t>
  </si>
  <si>
    <t>151513212</t>
  </si>
  <si>
    <t>yendth@topica.edu.vn</t>
  </si>
  <si>
    <t>036 523 309</t>
  </si>
  <si>
    <t>0987891399</t>
  </si>
  <si>
    <t>Vũ Quý, Kiến Xương, Thái Bình</t>
  </si>
  <si>
    <t>75/129, Trương Định, Hà Nội</t>
  </si>
  <si>
    <t>Nguyễn Thị Lan</t>
  </si>
  <si>
    <t>013048166</t>
  </si>
  <si>
    <t>ĐH Luật Hà Nội</t>
  </si>
  <si>
    <t>anhntl@topica.edu.vn</t>
  </si>
  <si>
    <t>04 3685 5778</t>
  </si>
  <si>
    <t>0982 119 096</t>
  </si>
  <si>
    <t>Yên Xá- Tân Triều, Thanh Trì, Hà Nội</t>
  </si>
  <si>
    <t>Yên Xá- Tân Triều- Thanh Trì- Hà Nội</t>
  </si>
  <si>
    <t>Đinh Thị</t>
  </si>
  <si>
    <t>164049173</t>
  </si>
  <si>
    <t>ĐH Ngoại Ngữ Hà Nội</t>
  </si>
  <si>
    <t>hiendt@topica.edu.vn</t>
  </si>
  <si>
    <t>0984 774 178</t>
  </si>
  <si>
    <t>Xóm Đông Thắng, Xã Gia Lạc, Huyện Gia Viễn, Tỉnh Ninh Bình</t>
  </si>
  <si>
    <t>Tổ 32 Thịnh Liệt, Hoàng Pri, Hà Nội</t>
  </si>
  <si>
    <t>Phạm Thị Hương</t>
  </si>
  <si>
    <t>162642180</t>
  </si>
  <si>
    <t>Viện ĐH Mở Hà Nội</t>
  </si>
  <si>
    <t>0350 3.500947</t>
  </si>
  <si>
    <t>0975781606</t>
  </si>
  <si>
    <t>Ngõ 100, phố Minh Khai, thành phố Nam Định, tỉnh Nam Định</t>
  </si>
  <si>
    <t>Phòng 511, nhà C2, khu tập thể Vĩnh Hồ, quận Đống Đa, Hà Nội</t>
  </si>
  <si>
    <t>TCW</t>
  </si>
  <si>
    <t>Lê Thị</t>
  </si>
  <si>
    <t>Huế</t>
  </si>
  <si>
    <t>151285580</t>
  </si>
  <si>
    <t>Trường CĐ Quản Trị Kinh Doanh</t>
  </si>
  <si>
    <t>Kế toán</t>
  </si>
  <si>
    <t>huelt@topica.edu.vn</t>
  </si>
  <si>
    <t>04 3864 9598</t>
  </si>
  <si>
    <t>0984 277 786</t>
  </si>
  <si>
    <t>Thái Hồng, Thái Thụy, Thái Bình</t>
  </si>
  <si>
    <t>Số 9 Tổ 25 Đường Nước Phần Lan, Tứ Liên, Tây Hồ, Hà Nội</t>
  </si>
  <si>
    <t>TAF</t>
  </si>
  <si>
    <t>Trần Thị</t>
  </si>
  <si>
    <t>Ngọc</t>
  </si>
  <si>
    <t>012264080</t>
  </si>
  <si>
    <t>Genetic- ĐH Bách Khoa</t>
  </si>
  <si>
    <t>Tin học quản lý</t>
  </si>
  <si>
    <t>ngoctt@topica.edu.vn</t>
  </si>
  <si>
    <t>04 3972 0623</t>
  </si>
  <si>
    <t>0989 674 906</t>
  </si>
  <si>
    <t>220 Lò Đúc, Phường Đống Mác, Hbt, Hà Nội</t>
  </si>
  <si>
    <t>220 Lò Đúc - Phường Đống Mác - Hbt - Hà Nội</t>
  </si>
  <si>
    <t>POSC</t>
  </si>
  <si>
    <t>Trần Tân</t>
  </si>
  <si>
    <t>Nhật</t>
  </si>
  <si>
    <t>162642709</t>
  </si>
  <si>
    <t>nhattt@topica.edu.vn</t>
  </si>
  <si>
    <t>04 3662 4621</t>
  </si>
  <si>
    <t>0918 233 424</t>
  </si>
  <si>
    <t>121 Minh Khai, Nam Định</t>
  </si>
  <si>
    <t>5c9 Nguyễn An Ninh, Q Hoàng Pri, Hà Nội</t>
  </si>
  <si>
    <t>PFPD</t>
  </si>
  <si>
    <t>Nguyễn Trung</t>
  </si>
  <si>
    <t>Thành</t>
  </si>
  <si>
    <t>012598357</t>
  </si>
  <si>
    <t>CĐ Kinh Tế Kỹ Thuật Công Nghiệp I Hà Nội</t>
  </si>
  <si>
    <t>Tin học kế toán</t>
  </si>
  <si>
    <t>thanhnt@topica.edu.vn</t>
  </si>
  <si>
    <t>04 3675 0122</t>
  </si>
  <si>
    <t>0973 599 658</t>
  </si>
  <si>
    <t>34 Tổ 10, P.long Biên, Q.long Biên , Hà Nội</t>
  </si>
  <si>
    <t>34 -tổ 10 - P.long Biên - Q.long Biên - Tp.hà Nội</t>
  </si>
  <si>
    <t>Nguyễn Thị</t>
  </si>
  <si>
    <t>Vinh</t>
  </si>
  <si>
    <t>012358215</t>
  </si>
  <si>
    <t>ĐH Quốc Gia HCM</t>
  </si>
  <si>
    <t>Công nghệ Phần mềm</t>
  </si>
  <si>
    <t>vinhnt@topica.edu.vn</t>
  </si>
  <si>
    <t>04 3661 5047</t>
  </si>
  <si>
    <t>0986 963 604</t>
  </si>
  <si>
    <t>P2 - Tân Mai - Hoàng Mai - Hà Nội</t>
  </si>
  <si>
    <t>P2 - Tân Pri - Hoàng Pri - Hà Nội</t>
  </si>
  <si>
    <t>Ngô Thị Thanh</t>
  </si>
  <si>
    <t>012252138</t>
  </si>
  <si>
    <t>thuyntt@topica.edu.vn</t>
  </si>
  <si>
    <t>04 3762 6047</t>
  </si>
  <si>
    <t>0985 904 390</t>
  </si>
  <si>
    <t>11C -Tổ 15 Tương Mai, Hà Nội</t>
  </si>
  <si>
    <t>Sô 18- Ngõ 260/6 Đội Cấn, Ba Đình Hà Nội</t>
  </si>
  <si>
    <t>TNE</t>
  </si>
  <si>
    <t>Nguyễn Mạnh</t>
  </si>
  <si>
    <t>Hưng</t>
  </si>
  <si>
    <t>031285975</t>
  </si>
  <si>
    <t>TT Đào tạo mỹ thuật HITEC</t>
  </si>
  <si>
    <t>090 477 9293</t>
  </si>
  <si>
    <t>65 Lô 3 Thái Phiên - Cầu Tre - Ngô Quyền - Hải Phòng</t>
  </si>
  <si>
    <t>2/2/132 Cầu Giấy - Hà Nội</t>
  </si>
  <si>
    <t>Ngô Thị Minh</t>
  </si>
  <si>
    <t>111842746</t>
  </si>
  <si>
    <t>hieuntm@topica.edu.vn</t>
  </si>
  <si>
    <t>0945 353 298</t>
  </si>
  <si>
    <t>Số 53b Xóm 18b Thôn Trù 2 Xã Cổ Nhuế - Từ Liêm - Hà Nội</t>
  </si>
  <si>
    <t>PAWD</t>
  </si>
  <si>
    <t>Nguyễn Hữu</t>
  </si>
  <si>
    <t>Chiến</t>
  </si>
  <si>
    <t>011701859</t>
  </si>
  <si>
    <t>chiennh@topica.edu.vn</t>
  </si>
  <si>
    <t>04 3646 1363</t>
  </si>
  <si>
    <t>01239 525 852</t>
  </si>
  <si>
    <t>P508 C5 Trung Tự, Đống Đa, Hà Nội</t>
  </si>
  <si>
    <t>Số Nhà 24 Ngõ 126/30/14 Phố Vĩnh Hưng, Hoàng Pri, Hà Nội</t>
  </si>
  <si>
    <t>Vũ Thị Xuân</t>
  </si>
  <si>
    <t>Ngân</t>
  </si>
  <si>
    <t>012595595</t>
  </si>
  <si>
    <t>ĐH Ngoại Ngữ  Hà Nội</t>
  </si>
  <si>
    <t>0976299390</t>
  </si>
  <si>
    <t>04 37644286</t>
  </si>
  <si>
    <t>Tổ 19 Cầu Diễn -  Từ Liêm - Hà Nội</t>
  </si>
  <si>
    <t>Bùi Thị Xuân</t>
  </si>
  <si>
    <t>162556199</t>
  </si>
  <si>
    <t>ĐH Khoa học Xã hội và Nhân văn – ĐH Quốc gia Hà Nội</t>
  </si>
  <si>
    <t>Tâm lý xã hội</t>
  </si>
  <si>
    <t>thaobtx@topica.edu.vn</t>
  </si>
  <si>
    <t>03503 811 021</t>
  </si>
  <si>
    <t>01668 182 183</t>
  </si>
  <si>
    <t>Tổ Dân Phố Hưng Lộc, Tt Mỹ Lộc, Nam Định</t>
  </si>
  <si>
    <t>Số 22, Ngách 96, Ngõ Tự Do, Phường Đồng Tâm, Hai Bà Trưng, Hà Nội</t>
  </si>
  <si>
    <t>Phạm Thị Thanh</t>
  </si>
  <si>
    <t>Thái Nguyên</t>
  </si>
  <si>
    <t>Thái Nguyên</t>
  </si>
  <si>
    <t>013156426</t>
  </si>
  <si>
    <t>ĐH Giao Thông Vận Tải HN</t>
  </si>
  <si>
    <t>ngaptt@topica.edu.vn</t>
  </si>
  <si>
    <t>04 6285 1819</t>
  </si>
  <si>
    <t>0915 821 849</t>
  </si>
  <si>
    <t>P1508, Ct9, Khu Đô Thị Đinh Công, Hoàng Mai, Hà Nội</t>
  </si>
  <si>
    <t>P1508, Ct9, Khu Đô Thị Đinh Công, Hoàng Pri, Hà Nội</t>
  </si>
  <si>
    <t>Phạm Thị Thu</t>
  </si>
  <si>
    <t>Hồng</t>
  </si>
  <si>
    <t>151654896</t>
  </si>
  <si>
    <t>036 2.218.266</t>
  </si>
  <si>
    <t>097 956 9486</t>
  </si>
  <si>
    <t>Tân Thành- Phúc Thành- Vũ Thư- Thái Bình</t>
  </si>
  <si>
    <t>35A- Ngách 37/27- Dịch Vọng- Cầu Giấy</t>
  </si>
  <si>
    <t>Tho</t>
  </si>
  <si>
    <t>162357620</t>
  </si>
  <si>
    <t>thontm@topica.edu.vn</t>
  </si>
  <si>
    <t>0982408599</t>
  </si>
  <si>
    <t>Khu 3 TT Ngô Đồng, Giao Thủy, Nam Định</t>
  </si>
  <si>
    <t>Trần Minh</t>
  </si>
  <si>
    <t>Việt</t>
  </si>
  <si>
    <t>PM2008</t>
  </si>
  <si>
    <t>Bùi Thị Phương</t>
  </si>
  <si>
    <t>Thùy</t>
  </si>
  <si>
    <t>111689667</t>
  </si>
  <si>
    <t>ĐH Sư phạm Hà Nội</t>
  </si>
  <si>
    <t>Sư phạm giáo dục đặc biệt</t>
  </si>
  <si>
    <t>thuybtp@topica.edu.vn</t>
  </si>
  <si>
    <t>04 3388 3036</t>
  </si>
  <si>
    <t>0914 512 988</t>
  </si>
  <si>
    <t>Thị Trấn Vân Đình, Ứng Hòa, Hà Nội</t>
  </si>
  <si>
    <t>18/23 Hồ Tùng Mậu, Cầu Giấy Hà Nội</t>
  </si>
  <si>
    <t>PAWS</t>
  </si>
  <si>
    <t>8/19/2013</t>
  </si>
  <si>
    <t>Lê Ngọc</t>
  </si>
  <si>
    <t>012018465</t>
  </si>
  <si>
    <t>CĐ Sư Phạm Kỹ Thuật Nam Định</t>
  </si>
  <si>
    <t>thuyln@topica.edu.vn</t>
  </si>
  <si>
    <t>04 3861 6035</t>
  </si>
  <si>
    <t>01227 263 666</t>
  </si>
  <si>
    <t>Số 8 Dãy 10 Tt Z179 Tứ Hiệp, Thanh Trì, Hà Nội</t>
  </si>
  <si>
    <t>Số 8 Dãy 10 Tt Z179 Tứ Hiệp, Thanh Trì - Hà Nội</t>
  </si>
  <si>
    <t>NS</t>
  </si>
  <si>
    <t>Phạm Thị</t>
  </si>
  <si>
    <t>151528159</t>
  </si>
  <si>
    <t>ĐH Ngoại Ngữ - ĐH Quốc Gia Hà Nội</t>
  </si>
  <si>
    <t>Tiếng Pháp sư phạm</t>
  </si>
  <si>
    <t>thuypt@topica.edu.vn</t>
  </si>
  <si>
    <t>036 3722 051</t>
  </si>
  <si>
    <t>0972 446 620</t>
  </si>
  <si>
    <t>Việt Hùng, Vũ Thư, Thái Bình</t>
  </si>
  <si>
    <t>12 Ngách 20/15 Hồ Tùng Mậu, Hà Nội</t>
  </si>
  <si>
    <t>NXS</t>
  </si>
  <si>
    <t>Phạm Lan</t>
  </si>
  <si>
    <t>Phương</t>
  </si>
  <si>
    <t>Oanh</t>
  </si>
  <si>
    <t>151512022</t>
  </si>
  <si>
    <t>ĐH Dân Lập Hải Phòng</t>
  </si>
  <si>
    <t>oanhnt@topica.edu.vn</t>
  </si>
  <si>
    <t>0363 865 690</t>
  </si>
  <si>
    <t>0936 385 223</t>
  </si>
  <si>
    <t>Đông Hải, Quỳnh Phụ, Thái Bình</t>
  </si>
  <si>
    <t>9 Lĩnh Nam Hoafng Pri- Hà Nội</t>
  </si>
  <si>
    <t>OS</t>
  </si>
  <si>
    <t>Vũ Thị Thu</t>
  </si>
  <si>
    <t>Hương</t>
  </si>
  <si>
    <t>011951694</t>
  </si>
  <si>
    <t>090 452 9886</t>
  </si>
  <si>
    <t>413 C14 Thanh Xuân Bắc, Hà Nội</t>
  </si>
  <si>
    <t>Nguyễn Đức</t>
  </si>
  <si>
    <t>012373451</t>
  </si>
  <si>
    <t>tuannd@topica.edu.vn</t>
  </si>
  <si>
    <t>04 3756 7763</t>
  </si>
  <si>
    <t>01695 401 049</t>
  </si>
  <si>
    <t>Tổ 3, Khối 4, Nghĩa Đô, Cầu Giấy, Hà Nội</t>
  </si>
  <si>
    <t>Số 23, Ngách 81/30/20 Đường Lạc Long Quân, Quận Cầu Giấy, Thành Phố Hà Nội</t>
  </si>
  <si>
    <t>THO</t>
  </si>
  <si>
    <t>Trịnh Văn</t>
  </si>
  <si>
    <t>162498326</t>
  </si>
  <si>
    <t>ĐH Dân Lập Đông Đô</t>
  </si>
  <si>
    <t>chientv@topica.edu.vn</t>
  </si>
  <si>
    <t>0988 474 394</t>
  </si>
  <si>
    <t>83d/74 Điện Biên, Nam Định</t>
  </si>
  <si>
    <t>Tt Nhà Máy Xây Lắp Ngõ 72 Ngách 178 Nguyễn Trãi, Tx, Hà Nội</t>
  </si>
  <si>
    <t>Lê Thị Vân</t>
  </si>
  <si>
    <t>Hải</t>
  </si>
  <si>
    <t>012893382</t>
  </si>
  <si>
    <t>hailtv@topica.edu.vn</t>
  </si>
  <si>
    <t>0989 069 119</t>
  </si>
  <si>
    <t>138 Hoàng Ngân - Trung Hòa - Cầu Giấy</t>
  </si>
  <si>
    <t>Vân</t>
  </si>
  <si>
    <t>Sư phạm Lịch sử</t>
  </si>
  <si>
    <t>Trần Tuấn</t>
  </si>
  <si>
    <t>012623993</t>
  </si>
  <si>
    <t>anhtt@topica.edu.vn</t>
  </si>
  <si>
    <t>04 3747 8439</t>
  </si>
  <si>
    <t>0904 354 422</t>
  </si>
  <si>
    <t>49 Cửa Nam, Phường Cửa Nam, Quận Hoàn Kiếm, Hà Nội</t>
  </si>
  <si>
    <t>12 Nguyễn Khuyến- Phường Văn Miếu- Quận Đống Đa- Hà Nội</t>
  </si>
  <si>
    <t>TCO</t>
  </si>
  <si>
    <t>Lê Trung</t>
  </si>
  <si>
    <t>162359309</t>
  </si>
  <si>
    <t>0126 203 5417</t>
  </si>
  <si>
    <t>Ngõ An Sơn- Đại La- Hà Nội</t>
  </si>
  <si>
    <t>Lê Thị Anh</t>
  </si>
  <si>
    <t>011872716</t>
  </si>
  <si>
    <t>tulta@topica.edu.vn</t>
  </si>
  <si>
    <t>04 3856 1605</t>
  </si>
  <si>
    <t>0904 802 773</t>
  </si>
  <si>
    <t>P405, A2, Tt Hào Nam, Phường Ô Chợ Dừa, Đống Đa, Hà Nội</t>
  </si>
  <si>
    <t>P405, A2, Tập Thể Hào Nam, Phường Ô Chợ Dừa, Đống Đa, Hà Nội</t>
  </si>
  <si>
    <t>Nguyễn Hữu</t>
  </si>
  <si>
    <t>Thức</t>
  </si>
  <si>
    <t>Vũ Thị Hải</t>
  </si>
  <si>
    <t>Hà</t>
  </si>
  <si>
    <t>012633319</t>
  </si>
  <si>
    <t>havth@topica.edu.vn</t>
  </si>
  <si>
    <t>0904 065 995</t>
  </si>
  <si>
    <t>Sn 02 Ktt Binh Đoàn 12, Ngọc Hồi, Thanh Trì, Hà Nội</t>
  </si>
  <si>
    <t>Sn 02 Ktt Binh Đoàn 12, Ngọc Hồi, Thanh Trì</t>
  </si>
  <si>
    <t>Lê Thị Minh</t>
  </si>
  <si>
    <t>162437058</t>
  </si>
  <si>
    <t>094 478 2233</t>
  </si>
  <si>
    <t>Nam Vinh- Yên Lương- Ý Yên- Nam Định</t>
  </si>
  <si>
    <t>Số nhà 49A- ngõ 189- đường Nguyễn Ngọc Vũ- Hà Nội</t>
  </si>
  <si>
    <t>Trần Vũ Việt</t>
  </si>
  <si>
    <t>012145454</t>
  </si>
  <si>
    <t>hatvv@topica.edu.vn</t>
  </si>
  <si>
    <t>04 3 852 7849</t>
  </si>
  <si>
    <t>0983 061 583</t>
  </si>
  <si>
    <t>Số 78, Tổ 44, Phường Trung Tự, Đống Đa, Hà Nội</t>
  </si>
  <si>
    <t>Dương Thị Thu</t>
  </si>
  <si>
    <t>Trang</t>
  </si>
  <si>
    <t>111822959</t>
  </si>
  <si>
    <t>Học Viện Khoa học Quân Sự</t>
  </si>
  <si>
    <t>04 3 3512062</t>
  </si>
  <si>
    <t>097 977 0785</t>
  </si>
  <si>
    <t>10 dãy A3 ngõ 6 Ngô Quyền Hà Đông, Hà Nội</t>
  </si>
  <si>
    <t>Trần Thị</t>
  </si>
  <si>
    <t>Hợi</t>
  </si>
  <si>
    <t>151342462</t>
  </si>
  <si>
    <t>Tiếng Anh sư phạm</t>
  </si>
  <si>
    <t>hoitt@topica.edu.vn</t>
  </si>
  <si>
    <t>0912 820 566</t>
  </si>
  <si>
    <t>Xóm 1, Thụy Trình, Thái Thụy, Thái Bình</t>
  </si>
  <si>
    <t>Sn 3 Ngách 233/27/10 Dịch Vọng- Xuân Thủy- Hà Nội</t>
  </si>
  <si>
    <t>PXC</t>
  </si>
  <si>
    <t>PMHS</t>
  </si>
  <si>
    <t>Bùi Thị</t>
  </si>
  <si>
    <t>162328150</t>
  </si>
  <si>
    <t>0983 233 380</t>
  </si>
  <si>
    <t>Số nhà 26, ngõ 1277/68 Giải Phóng- Hà Nội</t>
  </si>
  <si>
    <t>Nguyễn Thị Tú</t>
  </si>
  <si>
    <t>Uyên</t>
  </si>
  <si>
    <t>012124399</t>
  </si>
  <si>
    <t>04 3 718 3848</t>
  </si>
  <si>
    <t>091 464 7079</t>
  </si>
  <si>
    <t>Số 10 ngách 406/66 đường Âu Cơ, Tây Hồ, Hà Nội</t>
  </si>
  <si>
    <t>Xuân</t>
  </si>
  <si>
    <t>172118883</t>
  </si>
  <si>
    <t>04 6 2969450</t>
  </si>
  <si>
    <t>01698 304 979</t>
  </si>
  <si>
    <t>Nhân Phú- Đồng Lộc- Hậu Lộc- Thanh Hóa</t>
  </si>
  <si>
    <t>162 Nguyễn Lương Bằng- Đống Đa- Hà Nội</t>
  </si>
  <si>
    <t>172372791</t>
  </si>
  <si>
    <t>CĐ Giao Thông Vận Tải 3</t>
  </si>
  <si>
    <t>nganpt@topica.edu.vn</t>
  </si>
  <si>
    <t>04 3 751 2562</t>
  </si>
  <si>
    <t>0976 693 913</t>
  </si>
  <si>
    <t>Xuân Thiên, Thọ Xuân, Thanh Hóa</t>
  </si>
  <si>
    <t>Liên Mạc- Từ Liêm- Hà Nội</t>
  </si>
  <si>
    <t>Trần Thị Phương</t>
  </si>
  <si>
    <t>Thảo</t>
  </si>
  <si>
    <t>Nghệ An</t>
  </si>
  <si>
    <t>Nghệ An</t>
  </si>
  <si>
    <t>182426213</t>
  </si>
  <si>
    <t>TP Vinh</t>
  </si>
  <si>
    <t>Victoria University, Swinburne University of Technology</t>
  </si>
  <si>
    <t>04 3 773 4388</t>
  </si>
  <si>
    <t>094 282 1234</t>
  </si>
  <si>
    <t>2F Quang Trung- phường Trần Hưng Đạo-Hoàn Kiếm- Hà Nội</t>
  </si>
  <si>
    <t>Nhà 210- 63B TT Thành Công- Ba Đình- Hà Nội</t>
  </si>
  <si>
    <t>Phạm Ngọc</t>
  </si>
  <si>
    <t>Lân</t>
  </si>
  <si>
    <t>011923356</t>
  </si>
  <si>
    <t>ĐH Công Đoàn</t>
  </si>
  <si>
    <t>lanpn@topica.edu.vn</t>
  </si>
  <si>
    <t>04 3662 6095</t>
  </si>
  <si>
    <t>0983 613 968</t>
  </si>
  <si>
    <t>Số 104a Ngõ 422, Đường Trương Định, Hà Nội</t>
  </si>
  <si>
    <t>Số 104a Ngõ 422 Đường Trương Định</t>
  </si>
  <si>
    <t>Nguyễn Thị Luyến</t>
  </si>
  <si>
    <t>Mẹ</t>
  </si>
  <si>
    <t>Diễn</t>
  </si>
  <si>
    <t>010107013</t>
  </si>
  <si>
    <t>P109 Nhà 57 Giảng võ, Cát Linh, Hà Nội</t>
  </si>
  <si>
    <t>Lê Văn</t>
  </si>
  <si>
    <t>Vĩnh Phúc</t>
  </si>
  <si>
    <t>Vĩnh Phúc</t>
  </si>
  <si>
    <t>135155981</t>
  </si>
  <si>
    <t>CA Vĩnh Phúc</t>
  </si>
  <si>
    <t>0959339821</t>
  </si>
  <si>
    <t>Thôn Tảo- Tuân Chính- Vĩnh Tường- Vĩnh Phúc</t>
  </si>
  <si>
    <t>Nhà số 7 ngõ 79A- Lương Khánh Thiện- Hoàng Mai</t>
  </si>
  <si>
    <t>Nguyễn Thị Lan</t>
  </si>
  <si>
    <t>111881339</t>
  </si>
  <si>
    <t>ĐH Công Nghệ Thông Tin – ĐH Quốc Gia TP.HCM</t>
  </si>
  <si>
    <t>Công nghệ thông tin</t>
  </si>
  <si>
    <t>anhntl1@topica.edu.vn</t>
  </si>
  <si>
    <t>04 3383 2777</t>
  </si>
  <si>
    <t>0914 801 546</t>
  </si>
  <si>
    <t>Số 33 Lê Lợi, Sơn Tây, Hà Nội</t>
  </si>
  <si>
    <t>Khương Đình- Thanh Xuân- Hà Nội</t>
  </si>
  <si>
    <t>Nguyễn Thùy</t>
  </si>
  <si>
    <t>162555971</t>
  </si>
  <si>
    <t>097 244 3586</t>
  </si>
  <si>
    <t>Số nhà 5/487 đường Trường Chinh, TP Nam Định</t>
  </si>
  <si>
    <t>Phòng 46, nhà A6, ngõ 120 Hoàng Quốc Việt- Cầu Giấy, Hà Nội</t>
  </si>
  <si>
    <t>Quyên</t>
  </si>
  <si>
    <t>145150528</t>
  </si>
  <si>
    <t>quyennt@topica.edu.vn</t>
  </si>
  <si>
    <t>01699 785 649</t>
  </si>
  <si>
    <t>Ân Thi 1, Hồng Quang, Ân Thi, Hưng Yên</t>
  </si>
  <si>
    <t>Số Nhà A5- Ngõ 245-mái Dịch- Cầu Giấy</t>
  </si>
  <si>
    <t>Bùi Ngọc</t>
  </si>
  <si>
    <t>Dung</t>
  </si>
  <si>
    <t>012339560</t>
  </si>
  <si>
    <t>dungbn@topica.edu.vn</t>
  </si>
  <si>
    <t>04 3624 7472</t>
  </si>
  <si>
    <t>0975 413 477</t>
  </si>
  <si>
    <t>778 Minh Khai, Hà Nội</t>
  </si>
  <si>
    <t>Số 7 Ngách 15/9 Tổ 28 Hoàng Văn Thụ</t>
  </si>
  <si>
    <t>141770099</t>
  </si>
  <si>
    <t>Xã hội học</t>
  </si>
  <si>
    <t>thupt@topica.edu.vn</t>
  </si>
  <si>
    <t>03203 734 432</t>
  </si>
  <si>
    <t>01666 641 559</t>
  </si>
  <si>
    <t>Thôn Đào Lâm, Xã Đoàn Tùng, Huyện Thanh Miện, Hải Dương</t>
  </si>
  <si>
    <t>Số Nhà 14, Khu Tt Cục Csgt Đường Bộ, Đường Sắt, Ngõ 364 Giải Phóng, Hoàng Pri</t>
  </si>
  <si>
    <t>POSA</t>
  </si>
  <si>
    <t>Vũ Phương</t>
  </si>
  <si>
    <t>012255075</t>
  </si>
  <si>
    <t>CĐ Sư phạm Hà Nội</t>
  </si>
  <si>
    <t>Mỹ thuật</t>
  </si>
  <si>
    <t>uyenvp@topica.edu.vn</t>
  </si>
  <si>
    <t>04 6296 8304</t>
  </si>
  <si>
    <t>0988 901 141</t>
  </si>
  <si>
    <t>40 Nhà Chung, Hoàn Kiếm, Hà Nội</t>
  </si>
  <si>
    <t>Lê Thị</t>
  </si>
  <si>
    <t>12047332</t>
  </si>
  <si>
    <t>094 656 1212</t>
  </si>
  <si>
    <t>Lễ Pháp, Tiên Dương, Đông Anh, Hà Nội</t>
  </si>
  <si>
    <t>65/1 Tân Kỳ, Tân Quý, Khu phố 1, Tân Sơn nhì, quận Tân Phú, HCM</t>
  </si>
  <si>
    <t>Phạm Bích</t>
  </si>
  <si>
    <t>Huỳnh Thị Thanh</t>
  </si>
  <si>
    <t>Lê Thị Hoàng</t>
  </si>
  <si>
    <t>172396112</t>
  </si>
  <si>
    <t>08 239 3902</t>
  </si>
  <si>
    <t>098 988 9797</t>
  </si>
  <si>
    <t>Thị trấn Hà Trung, huyện Hà Trung, tỉnh Thanh Hóa</t>
  </si>
  <si>
    <t>123b, lô 9 cư xá Thanh Đa, Phường 27, Quận Bình Thạnh, TP.HCM</t>
  </si>
  <si>
    <t>Trần Anh</t>
  </si>
  <si>
    <t>Phú Thọ</t>
  </si>
  <si>
    <t>Phú Thọ</t>
  </si>
  <si>
    <t>131227061</t>
  </si>
  <si>
    <t>tuanta@topica.edu.vn</t>
  </si>
  <si>
    <t>0210 3761 334</t>
  </si>
  <si>
    <t>0987 927 006</t>
  </si>
  <si>
    <t>Khu 6, Thị Trấn Phong Châu, Phù Ninh, Phú Thọ</t>
  </si>
  <si>
    <t>Võ Thị Khánh</t>
  </si>
  <si>
    <t>Ngọc</t>
  </si>
  <si>
    <t>Quảng Ngãi</t>
  </si>
  <si>
    <t>212218422</t>
  </si>
  <si>
    <t>CĐ</t>
  </si>
  <si>
    <t>CĐ Kinh Tế Đối Ngoại HCM</t>
  </si>
  <si>
    <t>ngocvtk@topica.edu.vn</t>
  </si>
  <si>
    <t>0978 412 246</t>
  </si>
  <si>
    <t>87/137 Đinh Tiên Hoàng, P3, Quận Bình Thạnh</t>
  </si>
  <si>
    <t>NX</t>
  </si>
  <si>
    <t>Nguyễn Thị Thiên</t>
  </si>
  <si>
    <t>Thanh</t>
  </si>
  <si>
    <t>023918447</t>
  </si>
  <si>
    <t>ĐH Tài Chính Prketing</t>
  </si>
  <si>
    <t>thanhntt@topica.edu.vn</t>
  </si>
  <si>
    <t>0979 197 941</t>
  </si>
  <si>
    <t>176/14 Hậu Giang P6 Q6 Tphcm</t>
  </si>
  <si>
    <t>PHCS</t>
  </si>
  <si>
    <t>Huỳnh Thu</t>
  </si>
  <si>
    <t>Kiên Giang</t>
  </si>
  <si>
    <t>Kiên Giang</t>
  </si>
  <si>
    <t>371121962</t>
  </si>
  <si>
    <t>ĐH Nông Lâm HCM</t>
  </si>
  <si>
    <t>090 690 4919</t>
  </si>
  <si>
    <t>Ấp Xuân Đông, xã Thới Quản, huyện Gò Quao, Kiên Giang</t>
  </si>
  <si>
    <t>168 Lê Văn Kiệt, phường Tăng Nhơn Phú B, quận 9, HCM</t>
  </si>
  <si>
    <t>Nguyễn Thị Thu</t>
  </si>
  <si>
    <t>151355205</t>
  </si>
  <si>
    <t>hantt@topica.edu.vn</t>
  </si>
  <si>
    <t>0904 328 586</t>
  </si>
  <si>
    <t>Số Nhà 01, Ngõ 291, Tổ 22, Phường Bồ Xuyên, Thái Bình</t>
  </si>
  <si>
    <t>Số Nhà 21, Ngõ 162a Tôn Đức Thắng, Hà Nội</t>
  </si>
  <si>
    <t>Võ Thị</t>
  </si>
  <si>
    <t>Lành</t>
  </si>
  <si>
    <t>Quảng Trị</t>
  </si>
  <si>
    <t>Quảng Trị</t>
  </si>
  <si>
    <t>197151784</t>
  </si>
  <si>
    <t>ĐH Sư Phạm HCM</t>
  </si>
  <si>
    <t>Sư phạm tâm lý và giáo dục học</t>
  </si>
  <si>
    <t>lanhvt@topica.edu.vn</t>
  </si>
  <si>
    <t>01223 681 333</t>
  </si>
  <si>
    <t>Pri Thái, Gio Pri,gio Linh, Quảng Trị</t>
  </si>
  <si>
    <t>146 Nguyễn Sơn, Phường Phú Thọ Hòa, Tân Phú, Hcm</t>
  </si>
  <si>
    <t>OXS</t>
  </si>
  <si>
    <t>TSA</t>
  </si>
  <si>
    <t>PSAS</t>
  </si>
  <si>
    <t>Trương Thị</t>
  </si>
  <si>
    <t>Hòa</t>
  </si>
  <si>
    <t>Hòa Bình</t>
  </si>
  <si>
    <t>Hòa Bình</t>
  </si>
  <si>
    <t>162857898</t>
  </si>
  <si>
    <t>094 439 9369</t>
  </si>
  <si>
    <t>Trực Thái- Trực Ninh- Nam Định</t>
  </si>
  <si>
    <t>Kiều Mai- Phú Diễn- Từ Liêm- Hà Nội</t>
  </si>
  <si>
    <t>011932611</t>
  </si>
  <si>
    <t>ĐH Quốc gia Hà Nội</t>
  </si>
  <si>
    <t>04 2 210 8651</t>
  </si>
  <si>
    <t>090 629 4521</t>
  </si>
  <si>
    <t>23 Bát Sứ, Hoàn Kiếm, HN</t>
  </si>
  <si>
    <t>Số 1/5/8 Nguyễn Cao, HBT, Hn</t>
  </si>
  <si>
    <t>Đinh Trần Thị Kim</t>
  </si>
  <si>
    <t>Quyến</t>
  </si>
  <si>
    <t>Đồng Nai</t>
  </si>
  <si>
    <t>Đồng Nai</t>
  </si>
  <si>
    <t>271784475</t>
  </si>
  <si>
    <t>TC Du Lịch Và Khách Sạn HCM</t>
  </si>
  <si>
    <t>quyendtk@topica.edu.vn</t>
  </si>
  <si>
    <t>0972 304 446</t>
  </si>
  <si>
    <t>Bạch Lâm, Gia Tân 2, Thống Nhất, Đồng Nai</t>
  </si>
  <si>
    <t>45f Đặng Lộ, F7, Tân Bình</t>
  </si>
  <si>
    <t>Nguyễn Vũ Bảo</t>
  </si>
  <si>
    <t>Trâm</t>
  </si>
  <si>
    <t>Lê Đức</t>
  </si>
  <si>
    <t>Gia Lai</t>
  </si>
  <si>
    <t>230640274</t>
  </si>
  <si>
    <t>trungld@topica.edu.vn</t>
  </si>
  <si>
    <t>0906 757 417</t>
  </si>
  <si>
    <t>Thôn I, Xã Dun, Huyện Chư Sê, Gia Lai</t>
  </si>
  <si>
    <t>270 Hòa Hưng, Phường 13, Quận 10</t>
  </si>
  <si>
    <t>PSAL</t>
  </si>
  <si>
    <t>Nguyễn Kim Đức</t>
  </si>
  <si>
    <t>Vương Đình</t>
  </si>
  <si>
    <t>Học</t>
  </si>
  <si>
    <t>012393866</t>
  </si>
  <si>
    <t>CĐ Điện tử - Điện lạnh Hà Nội</t>
  </si>
  <si>
    <t>Kỹ thuật Máy tính</t>
  </si>
  <si>
    <t>hocvd@topica.edu.vn</t>
  </si>
  <si>
    <t>04 3837 1628</t>
  </si>
  <si>
    <t>0904 554 886</t>
  </si>
  <si>
    <t>Minh Khai, Từ Liêm, Hà Nội</t>
  </si>
  <si>
    <t>Minh Khai- Từ Liêm- Hà Nội</t>
  </si>
  <si>
    <t>171844211</t>
  </si>
  <si>
    <t>hant@topica.edu.vn</t>
  </si>
  <si>
    <t>0947 293 556</t>
  </si>
  <si>
    <t>Số 16 Ngõ 20 Kim Giang, Thanh Xuân, Hà Nội</t>
  </si>
  <si>
    <t>THR</t>
  </si>
  <si>
    <t>PHRS</t>
  </si>
  <si>
    <t>Trần Hoàng</t>
  </si>
  <si>
    <t>Linh</t>
  </si>
  <si>
    <t>Phú Yên</t>
  </si>
  <si>
    <t>Phú Yên</t>
  </si>
  <si>
    <t>221132968</t>
  </si>
  <si>
    <t>linhth@topica.edu.vn</t>
  </si>
  <si>
    <t>0907 918 969</t>
  </si>
  <si>
    <t>16/4 Phạm Hồng Thái, Phường 4, Tuy Hòa, Phú Yên</t>
  </si>
  <si>
    <t>91 Trần Quốc Toản, Phường 7, Quận 3, Hcm</t>
  </si>
  <si>
    <t>Hoài</t>
  </si>
  <si>
    <t>162748036</t>
  </si>
  <si>
    <t>0942 797 749</t>
  </si>
  <si>
    <t>Nam Tiến, Nam Trực, Nam Định</t>
  </si>
  <si>
    <t>Số 5 ngõ 13 đường Nguyễn Đức Cảnh, Hoàng PRi, HN</t>
  </si>
  <si>
    <t>Đàm Thị Phương</t>
  </si>
  <si>
    <t>090754917</t>
  </si>
  <si>
    <t>thaodtp@topica.edu.vn</t>
  </si>
  <si>
    <t>0982 175 174</t>
  </si>
  <si>
    <t>Tổ 32, Phường Hoàng Văn Thụ, Tp Thái Nguyên</t>
  </si>
  <si>
    <t>108/e9, Cộng Hòa, Phường 4, Tân Bình, Tp Hồ Chí Minh</t>
  </si>
  <si>
    <t>Liên</t>
  </si>
  <si>
    <t>171702104</t>
  </si>
  <si>
    <t>Báo chí</t>
  </si>
  <si>
    <t>lienpt@topica.edu.vn</t>
  </si>
  <si>
    <t>04 6293 7936</t>
  </si>
  <si>
    <t>0904 511 668</t>
  </si>
  <si>
    <t>P301, Nhà B1, Khu Tt Ngọc Khánh, Ba Đình, Hà Nội</t>
  </si>
  <si>
    <t>Lý</t>
  </si>
  <si>
    <t>073187402</t>
  </si>
  <si>
    <t>Trung cấp kinh tế kỹ thuật công nghiệp 1</t>
  </si>
  <si>
    <t>lyntt@topica.edu.vn</t>
  </si>
  <si>
    <t>0972 955 740</t>
  </si>
  <si>
    <t>22g, Ngách 169/119 Tổ 26 P. Hoàng Văn Thụ, Hoàng Mai, Hà Nội</t>
  </si>
  <si>
    <t>22G, Ngách 169/119 Tổ 26 P. Hoàng Văn Thụ, Hoàng Mai, Hà Nội</t>
  </si>
  <si>
    <t>Xuyến</t>
  </si>
  <si>
    <t>Bắc Giang</t>
  </si>
  <si>
    <t>Bắc Giang</t>
  </si>
  <si>
    <t>121000150</t>
  </si>
  <si>
    <t>Hà Bắc</t>
  </si>
  <si>
    <t>Trung học phổ thông</t>
  </si>
  <si>
    <t>xuyennt@topica.edu.vn</t>
  </si>
  <si>
    <t>04 3766 7050</t>
  </si>
  <si>
    <t>01674 763 577</t>
  </si>
  <si>
    <t>Cẩm Lý, Lục Nam, Bắc Giang</t>
  </si>
  <si>
    <t>PADA</t>
  </si>
  <si>
    <t>Nguyễn Tuấn</t>
  </si>
  <si>
    <t>Phan Thị</t>
  </si>
  <si>
    <t>172258384</t>
  </si>
  <si>
    <t>hienpt@topica.edu.vn</t>
  </si>
  <si>
    <t>04 3791 3316</t>
  </si>
  <si>
    <t>0989 852 020</t>
  </si>
  <si>
    <t>Thiệu Hóa, Thanh Hóa</t>
  </si>
  <si>
    <t>Nhà 36, Ngõ 6, Đường 800a, Nghĩa Đô, Cầu Giấy</t>
  </si>
  <si>
    <t>OXC</t>
  </si>
  <si>
    <t>PNES</t>
  </si>
  <si>
    <t>Đỗ Thúy</t>
  </si>
  <si>
    <t>111902409</t>
  </si>
  <si>
    <t>Thường Tín</t>
  </si>
  <si>
    <t>ngadt@topica.edu.vn</t>
  </si>
  <si>
    <t>04 3861 2343</t>
  </si>
  <si>
    <t>0974 713 966</t>
  </si>
  <si>
    <t>Ninh Sở, Thường Tín, Hà Nội</t>
  </si>
  <si>
    <t>Số 322 Ngõ Quỳnh, Quỳnh Lôi, Hbt, Hà Nội</t>
  </si>
  <si>
    <t>Đỗ Thị</t>
  </si>
  <si>
    <t>142160261</t>
  </si>
  <si>
    <t>ngocdt@topica.edu.vn</t>
  </si>
  <si>
    <t>0949380666</t>
  </si>
  <si>
    <t>Phúc Thành, Kim Thành, Hải Dương</t>
  </si>
  <si>
    <t>Số Nhà 47- Ngõ 177- Phùng Khoang, Tx, Hà Nội</t>
  </si>
  <si>
    <t>PAWF</t>
  </si>
  <si>
    <t>Nguyễn Thị Trâm</t>
  </si>
  <si>
    <t>031192806</t>
  </si>
  <si>
    <t>oanhntt@topica.edu.vn</t>
  </si>
  <si>
    <t>04 6659 4346</t>
  </si>
  <si>
    <t>0916 119 461</t>
  </si>
  <si>
    <t>12/135 Hàng Kênh, Lê Chân, Hải Phòng</t>
  </si>
  <si>
    <t>Số 9 Ngách 10/2 Tôn Thất Tùng, Hà Nội</t>
  </si>
  <si>
    <t>Âu Thị Hải</t>
  </si>
  <si>
    <t>Bắc Ninh</t>
  </si>
  <si>
    <t>Bắc Ninh</t>
  </si>
  <si>
    <t>125085643</t>
  </si>
  <si>
    <t>098 768 0082/ 090 204 8333</t>
  </si>
  <si>
    <t>Hoàn Sơn, Tiên Du, Bắc Ninh</t>
  </si>
  <si>
    <t>P32H1 Nguyễn Công Trứ- HBT-HN</t>
  </si>
  <si>
    <t>Trần Thị Thu</t>
  </si>
  <si>
    <t>012911376</t>
  </si>
  <si>
    <t>04 3 542 0082</t>
  </si>
  <si>
    <t>091 979 0878</t>
  </si>
  <si>
    <t>Xã Tứ Hiệp, Thnah Trì, HN</t>
  </si>
  <si>
    <t>Thôn Yên Xá, xã Tân Triều, Thanh Trì, HN</t>
  </si>
  <si>
    <t>Hà Thị Quế</t>
  </si>
  <si>
    <t>Trần Thị Thanh</t>
  </si>
  <si>
    <t>Đàm Thị</t>
  </si>
  <si>
    <t>Bình</t>
  </si>
  <si>
    <t>145220674</t>
  </si>
  <si>
    <t>091 263 2491</t>
  </si>
  <si>
    <t>Nhà 377, Lĩnh Nam, Hoàng PRi, HN</t>
  </si>
  <si>
    <t>Hồ Thị Như</t>
  </si>
  <si>
    <t>Quỳnh</t>
  </si>
  <si>
    <t>ĐH Kinh tế- ĐH Quốc Gia Hà Nội</t>
  </si>
  <si>
    <t>quynhhtn@topica.edu.vn</t>
  </si>
  <si>
    <t>0906568691</t>
  </si>
  <si>
    <t>P211-B21-Kim Liên- Đống Đa- HN</t>
  </si>
  <si>
    <t>P501-CT9-ĐTM Định Công- Hoàng PRi-HN</t>
  </si>
  <si>
    <t>Vũ Xuân</t>
  </si>
  <si>
    <t>Trường</t>
  </si>
  <si>
    <t>151225588</t>
  </si>
  <si>
    <t>truongvx@topica.edu.vn</t>
  </si>
  <si>
    <t>0912 421 852</t>
  </si>
  <si>
    <t>P. Trần Lãm, Thái Bình</t>
  </si>
  <si>
    <t>A7, Trần Quốc Hoàn, Cầu Giấy, Hà Nội</t>
  </si>
  <si>
    <t>Lê Thị Thu</t>
  </si>
  <si>
    <t>Cúc</t>
  </si>
  <si>
    <t>012142482</t>
  </si>
  <si>
    <t>CA Hà Nội</t>
  </si>
  <si>
    <t>04 3 559 7252</t>
  </si>
  <si>
    <t>098 871 2513</t>
  </si>
  <si>
    <t>SN 35 ngõ 317 Bùi Xương Trạch, tổ 4, Định Công, Hoàng Mai, HN</t>
  </si>
  <si>
    <t>Nguyễn Thu</t>
  </si>
  <si>
    <t>012540992</t>
  </si>
  <si>
    <t>hiennt@topica.edu.vn</t>
  </si>
  <si>
    <t>04 3861  9499</t>
  </si>
  <si>
    <t>0979 010 072</t>
  </si>
  <si>
    <t>Pháp Vân, Hoàng Liệt, Thanh Trì, Hà Nội</t>
  </si>
  <si>
    <t>1371, Đường Giải Phóng, Hoàng Liệt, Hoàng Pri, Hà Nội</t>
  </si>
  <si>
    <t>Hồ Diệu</t>
  </si>
  <si>
    <t>Khánh Hòa</t>
  </si>
  <si>
    <t>Khánh Hòa</t>
  </si>
  <si>
    <t>013194146</t>
  </si>
  <si>
    <t>ĐH Kinh doanh và Công nghệ</t>
  </si>
  <si>
    <t>tranghd@topica.edu.vn</t>
  </si>
  <si>
    <t>0976 524 959</t>
  </si>
  <si>
    <t>Số 8, Ngõ 1 Kim Mã, Ba Đình, Hà Nội</t>
  </si>
  <si>
    <t>172358754</t>
  </si>
  <si>
    <t>037 866 9325</t>
  </si>
  <si>
    <t>Xuân Vinh, Thọ Xuân, Thanh Hóa</t>
  </si>
  <si>
    <t>5/2/81 Lạc Long Quân</t>
  </si>
  <si>
    <t>Lê Phương</t>
  </si>
  <si>
    <t>172019745</t>
  </si>
  <si>
    <t>0989 346 400</t>
  </si>
  <si>
    <t>20/54 tống Duy Tân, Lam Sơn, 
Thanh Hóa</t>
  </si>
  <si>
    <t>154/48/30 Phạm Văn Hai, P3
Tân Bình, TPHCM</t>
  </si>
  <si>
    <t>012378474</t>
  </si>
  <si>
    <t>Công nghệ máy tính</t>
  </si>
  <si>
    <t>trangntt@topica.edu.vn</t>
  </si>
  <si>
    <t>04 3511 5918</t>
  </si>
  <si>
    <t>0915 161 337</t>
  </si>
  <si>
    <t>38 Hẻm 22/17 Ngõ Lệnh Cư Khâm Thiên</t>
  </si>
  <si>
    <t>TIS</t>
  </si>
  <si>
    <t>PISO</t>
  </si>
  <si>
    <t>8051228617</t>
  </si>
  <si>
    <t>Nguyễn Như</t>
  </si>
  <si>
    <t>12348131</t>
  </si>
  <si>
    <t>0986184318</t>
  </si>
  <si>
    <t>12, Ngõ 93 Hoàng văn Thái</t>
  </si>
  <si>
    <t>Nguyễn Ngọc</t>
  </si>
  <si>
    <t>Bích</t>
  </si>
  <si>
    <t>Vũ Quốc</t>
  </si>
  <si>
    <t>012127028</t>
  </si>
  <si>
    <t>trungvq@topica.edu.vn</t>
  </si>
  <si>
    <t>0912 334 486</t>
  </si>
  <si>
    <t>Số 20 Ngõ 266, Lê Thanh Nghị</t>
  </si>
  <si>
    <t>3</t>
  </si>
  <si>
    <t>8051228423</t>
  </si>
  <si>
    <t>Hoàng Thị</t>
  </si>
  <si>
    <t>168142319</t>
  </si>
  <si>
    <t>Tin học ứng dụng</t>
  </si>
  <si>
    <t>xuanht@topica.edu.vn</t>
  </si>
  <si>
    <t>0906 040 285</t>
  </si>
  <si>
    <t>Thị Trấn Hòa Mạc, Duy Tiên, Hà Nam</t>
  </si>
  <si>
    <t>Sôố 4, Ngõ 2 Quagn Trung Hà Đông</t>
  </si>
  <si>
    <t>PTNS</t>
  </si>
  <si>
    <t>Nguyễn Anh</t>
  </si>
  <si>
    <t>Vũ</t>
  </si>
  <si>
    <t>Dương Thị Trà</t>
  </si>
  <si>
    <t>My</t>
  </si>
  <si>
    <t>111948702</t>
  </si>
  <si>
    <t>mydtt@topica.edu.vn</t>
  </si>
  <si>
    <t>04 3681 1431</t>
  </si>
  <si>
    <t>0983 500 722</t>
  </si>
  <si>
    <t>Phượng Dực, Phú Xuyên, Hà Nội</t>
  </si>
  <si>
    <t>39A/Ngách 15/51 Ngọc Hồi, Hoàng Mai, Hà Nội</t>
  </si>
  <si>
    <t>Dương Ngọc Thúy</t>
  </si>
  <si>
    <t>An</t>
  </si>
  <si>
    <t>Quảng Nam</t>
  </si>
  <si>
    <t>024105203</t>
  </si>
  <si>
    <t>CA. TPHCM</t>
  </si>
  <si>
    <t>ĐH Công Nghiệp TP.HCM</t>
  </si>
  <si>
    <t>andnt@topica.edu.vn</t>
  </si>
  <si>
    <t>0908 614 301</t>
  </si>
  <si>
    <t>69/6C Quang trung, P.8, Q. Gò Vấp, TP.HCM</t>
  </si>
  <si>
    <t>145/58 phường 17, lê đức thọ, quận gò vấp</t>
  </si>
  <si>
    <t>Trương Hữu</t>
  </si>
  <si>
    <t>Tỉnh</t>
  </si>
  <si>
    <t>012781949</t>
  </si>
  <si>
    <t>tinhth@topica.edu.vn</t>
  </si>
  <si>
    <t>04 3950 0158</t>
  </si>
  <si>
    <t>0919 876 487</t>
  </si>
  <si>
    <t>Xuân Canh, Đông Anh, Hà Nội</t>
  </si>
  <si>
    <t>PISD</t>
  </si>
  <si>
    <t>8051228409</t>
  </si>
  <si>
    <t>Phạm Thị Tuyết</t>
  </si>
  <si>
    <t>Chinh</t>
  </si>
  <si>
    <t>012117896</t>
  </si>
  <si>
    <t>TC</t>
  </si>
  <si>
    <t>TC Điện Tử  Điện Lạnh</t>
  </si>
  <si>
    <t>chinhptt@topica.edu.vn</t>
  </si>
  <si>
    <t>0984 281 194</t>
  </si>
  <si>
    <t>TT Công Ty 26 Liên Ninh, Thanh Trì, Hà Nội</t>
  </si>
  <si>
    <t>PAWM</t>
  </si>
  <si>
    <t>Lê Thị Ngọc</t>
  </si>
  <si>
    <t>Mỹ</t>
  </si>
  <si>
    <t>012530122</t>
  </si>
  <si>
    <t>myltn@topica.edu.vn</t>
  </si>
  <si>
    <t>04 3559 1995</t>
  </si>
  <si>
    <t>0936 773 728</t>
  </si>
  <si>
    <t>Số 46 Tổ 31 Đại Kim, Hoàng Mai, Hà Nội</t>
  </si>
  <si>
    <t>PAWL</t>
  </si>
  <si>
    <t>Trần Thị Mỹ</t>
  </si>
  <si>
    <t>250736128</t>
  </si>
  <si>
    <t>Lâm Đồng</t>
  </si>
  <si>
    <t>ĐH Văn Lang TpHCM</t>
  </si>
  <si>
    <t>linhttm@topica.edu.vn</t>
  </si>
  <si>
    <t>01227 037 177/ 0948446320</t>
  </si>
  <si>
    <t>41, Nam Kỳ Khởi Nghĩa, P1, Đà Lạt, Lâm Đồng</t>
  </si>
  <si>
    <t>A7-08 Chung Cư Thủ Thiêm Xanh, đường Nguyễn Duy Trinh, P.Bình Trưng Đông, Q.2, TP.HCM</t>
  </si>
  <si>
    <t>TSG</t>
  </si>
  <si>
    <t>PSGF</t>
  </si>
  <si>
    <t>Nguyễn Châu</t>
  </si>
  <si>
    <t>Long An</t>
  </si>
  <si>
    <t>Long An</t>
  </si>
  <si>
    <t>301225468</t>
  </si>
  <si>
    <t>Long an</t>
  </si>
  <si>
    <t>ĐH công nghệ thông tin</t>
  </si>
  <si>
    <t>tuannc@topica.edu.vn</t>
  </si>
  <si>
    <t>0723502211</t>
  </si>
  <si>
    <t>0937 822 472</t>
  </si>
  <si>
    <t>44/A4, Tân Thanh, Thủ Thừa, Long an</t>
  </si>
  <si>
    <t>332/26 Dương Quảng Hàm, P5, Quận Gò Vấp</t>
  </si>
  <si>
    <t>Thao</t>
  </si>
  <si>
    <t>186170197</t>
  </si>
  <si>
    <t>CĐ Sư phạm Trung ương</t>
  </si>
  <si>
    <t>thaovt@topica.edu.vn</t>
  </si>
  <si>
    <t>0383 645 793</t>
  </si>
  <si>
    <t>0972281656</t>
  </si>
  <si>
    <t>Xóm 5, Quỳnh Bá Quỳnh Lưu Nghệ An</t>
  </si>
  <si>
    <t>Xóm 4a, Cổ Nhuế Từ Liêm Hà Nội</t>
  </si>
  <si>
    <t>TAE</t>
  </si>
  <si>
    <t>PAEF</t>
  </si>
  <si>
    <t>Bùi Phương</t>
  </si>
  <si>
    <t>012899763</t>
  </si>
  <si>
    <t>ĐH Mỹ Thuật Công Nghiệp</t>
  </si>
  <si>
    <t>nambp@topica.edu.vn</t>
  </si>
  <si>
    <t>0975 253 241</t>
  </si>
  <si>
    <t>Số 6, Ngõ 40, Phan Đình Giót, Hà Nội</t>
  </si>
  <si>
    <t>PAWP</t>
  </si>
  <si>
    <t>172890712</t>
  </si>
  <si>
    <t>ĐH Hồng Đức</t>
  </si>
  <si>
    <t>vinhht@topica.edu.vn</t>
  </si>
  <si>
    <t>0373 542 940</t>
  </si>
  <si>
    <t>01696 777 345</t>
  </si>
  <si>
    <t>Xuân Tân, Thọ Xuân, Thanh Hóa</t>
  </si>
  <si>
    <t>Phường 17, Bình Thạnh, Hcm</t>
  </si>
  <si>
    <t>NXC</t>
  </si>
  <si>
    <t>TTV</t>
  </si>
  <si>
    <t>PTVS</t>
  </si>
  <si>
    <t>6/1/2013 - 11/30/2013: Nghỉ thai sản
12/1/2013 - 2/15/2013: Nghỉ không lương</t>
  </si>
  <si>
    <t>Hà Tĩnh</t>
  </si>
  <si>
    <t>183436174</t>
  </si>
  <si>
    <t>ĐH KHXH Và Nhân Văn</t>
  </si>
  <si>
    <t>hanglt@topica.edu.vn</t>
  </si>
  <si>
    <t>01686567557</t>
  </si>
  <si>
    <t>18a/37/10 Nguyễn T Minh Khai, Đa Kao, 1, HCM</t>
  </si>
  <si>
    <t>PHCC</t>
  </si>
  <si>
    <t>Trần Thị Bích</t>
  </si>
  <si>
    <t>023816928</t>
  </si>
  <si>
    <t>TP HCM</t>
  </si>
  <si>
    <t>Kinh tế và Quản lý Công</t>
  </si>
  <si>
    <t>hongttb@topica.edu.vn</t>
  </si>
  <si>
    <t>0837 330 045</t>
  </si>
  <si>
    <t>0902 836 065</t>
  </si>
  <si>
    <t>196/1 Hoàng Hữu Nam, Long Thạnh Mỹ, Q9, Hcm</t>
  </si>
  <si>
    <t>196/1 Hoàng Hữu Nam, Long Thạnh Mỹ, Q9, HCM</t>
  </si>
  <si>
    <t>Thoa</t>
  </si>
  <si>
    <t>212183479</t>
  </si>
  <si>
    <t>ĐH Kỹ Thuật Công Nghệ HCM</t>
  </si>
  <si>
    <t>thoantt@topica.edu.vn</t>
  </si>
  <si>
    <t>0988 607 455</t>
  </si>
  <si>
    <t>34f, Ngô Tất Tố, F22, Bình Thạnh</t>
  </si>
  <si>
    <t>Lê Thị Kim</t>
  </si>
  <si>
    <t>Quảng Bình</t>
  </si>
  <si>
    <t>Quảng Bình</t>
  </si>
  <si>
    <t>194183394</t>
  </si>
  <si>
    <t>CA Quảng Bình</t>
  </si>
  <si>
    <t>ĐH Khoa Học Xã Hội &amp; Nhân Văn HCM</t>
  </si>
  <si>
    <t>hangltk@topica.edu.vn</t>
  </si>
  <si>
    <t>0976 425 338</t>
  </si>
  <si>
    <t>Thôn 9, Phú Xá, Tp.Đồng Hới, Quảng Bình</t>
  </si>
  <si>
    <t>63, Ngô Thị Thu Minh, P.2, Q. Tân Bình</t>
  </si>
  <si>
    <t>PXG</t>
  </si>
  <si>
    <t>PTVG</t>
  </si>
  <si>
    <t>Nguyễn Thị Ngọc</t>
  </si>
  <si>
    <t>HN</t>
  </si>
  <si>
    <t>012230089</t>
  </si>
  <si>
    <t>0916978456</t>
  </si>
  <si>
    <t>46 Phan Đình Giót, Thanh Xuân, HN</t>
  </si>
  <si>
    <t>Bùi Việt</t>
  </si>
  <si>
    <t>Đức</t>
  </si>
  <si>
    <t>162867131</t>
  </si>
  <si>
    <t>Học Viện Ngân Hàng</t>
  </si>
  <si>
    <t>ngocdt2@topica.edu.vn</t>
  </si>
  <si>
    <t>01252 757 588</t>
  </si>
  <si>
    <t>20, Ngách 251/8 Nguyễn Khang</t>
  </si>
  <si>
    <t>Phạm Thị Minh</t>
  </si>
  <si>
    <t>162775989</t>
  </si>
  <si>
    <t>35372862</t>
  </si>
  <si>
    <t>0945 362 055</t>
  </si>
  <si>
    <t>Cổ lễ, Trực Ninh, Nam Định</t>
  </si>
  <si>
    <t>8, Ngách 183/31, Đặng Tiến Đông, HN</t>
  </si>
  <si>
    <t>Phạm Chí</t>
  </si>
  <si>
    <t>011931916</t>
  </si>
  <si>
    <t>Pháp luật kinh tế và luật Quốc tế</t>
  </si>
  <si>
    <t>kienpc@topica.edu.vn</t>
  </si>
  <si>
    <t>04 3833 2057</t>
  </si>
  <si>
    <t>0916 616 266</t>
  </si>
  <si>
    <t>Số 17 Ngách 255/37 Cầu Giấy</t>
  </si>
  <si>
    <t>8029550843</t>
  </si>
  <si>
    <t>Nguyễn Vân Hồng</t>
  </si>
  <si>
    <t>012644792</t>
  </si>
  <si>
    <t>TC Kinh Tế</t>
  </si>
  <si>
    <t>trangnvh@topica.edu.vn</t>
  </si>
  <si>
    <t>0932 287 322</t>
  </si>
  <si>
    <t>Số 7, Ngõ 103, Trương Định, Hbt, Hà Nội</t>
  </si>
  <si>
    <t>Hà Thị Nhã</t>
  </si>
  <si>
    <t>Ca</t>
  </si>
  <si>
    <t>321278348</t>
  </si>
  <si>
    <t>Bến Tre</t>
  </si>
  <si>
    <t>Công nghệ Sinh học</t>
  </si>
  <si>
    <t>cahtn@topica.edu.vn</t>
  </si>
  <si>
    <t>0977 464 283</t>
  </si>
  <si>
    <t>110b, Ấp 6, Xã Tân Thạch, Huyện Châu Thành, Tỉnh Bến Tre</t>
  </si>
  <si>
    <t>Trần Thế</t>
  </si>
  <si>
    <t>168054447</t>
  </si>
  <si>
    <t>giangtt@topica.edu.vn</t>
  </si>
  <si>
    <t>0351 629 799</t>
  </si>
  <si>
    <t>0986 011 190</t>
  </si>
  <si>
    <t>Lý Nhân, Hà Nam</t>
  </si>
  <si>
    <t>Số 9 Ngõ 1142, Đường Láng</t>
  </si>
  <si>
    <t>8051228649</t>
  </si>
  <si>
    <t>Lương Thị Thu</t>
  </si>
  <si>
    <t>012099809</t>
  </si>
  <si>
    <t>P202, G1, TT Xí nghiệp khảo sát thiết kế
giao thông 2, Trung Liệt</t>
  </si>
  <si>
    <t>P202, G1, TT Xí nghiệp khảo sát thiết kế giao thông 2, Trung Liệt</t>
  </si>
  <si>
    <t>Huệ</t>
  </si>
  <si>
    <t>271633824</t>
  </si>
  <si>
    <t>huent@topica.edu.vn</t>
  </si>
  <si>
    <t>0903 617 847</t>
  </si>
  <si>
    <t>443, Ấp 10, Sông Ray, Cẩm Mỹ Đồng Nai</t>
  </si>
  <si>
    <t>301, Cư Xá, Thanh Đa, Bình Thạnh, HCM</t>
  </si>
  <si>
    <t>Dương Thị Thúy</t>
  </si>
  <si>
    <t>Ân</t>
  </si>
  <si>
    <t>Sóc Trăng</t>
  </si>
  <si>
    <t>Sóc Trăng</t>
  </si>
  <si>
    <t>365464439</t>
  </si>
  <si>
    <t>CA Sóc Trăng</t>
  </si>
  <si>
    <t>ĐH Cần Thơ</t>
  </si>
  <si>
    <t>0939 029 087</t>
  </si>
  <si>
    <t>80 Thiều Văn Trỗi, Ấp An Định,
 TT Kế Sách, Sóc Trăng</t>
  </si>
  <si>
    <t>50, nguyễn Văn Công, Gò Vấp, HCM</t>
  </si>
  <si>
    <t>Thiêm</t>
  </si>
  <si>
    <t>125238992</t>
  </si>
  <si>
    <t>CA. Bắc Ninh</t>
  </si>
  <si>
    <t>thiemnt@topica.edu.vn</t>
  </si>
  <si>
    <t>0972 973 123</t>
  </si>
  <si>
    <t>Số Nhà 47, Ngọc Khánh, Quận Ba Đình, Hà Nội.</t>
  </si>
  <si>
    <t>063195053</t>
  </si>
  <si>
    <t>HV Công nghệ Bưu chính Viễn thông</t>
  </si>
  <si>
    <t>dungnt2@topica.edu.vn</t>
  </si>
  <si>
    <t>0915 369 900</t>
  </si>
  <si>
    <t>Nhà 12, Ngõ 181, Trường Chinh, Hà Nội</t>
  </si>
  <si>
    <t>012228163</t>
  </si>
  <si>
    <t>CĐ Du lịch Hà Nội</t>
  </si>
  <si>
    <t>thutm@topica.edu.vn</t>
  </si>
  <si>
    <t>0982415751</t>
  </si>
  <si>
    <t>375, Hồng Hà, Hoàn Kiếm Hà Nội</t>
  </si>
  <si>
    <t>Chu Thị Thu</t>
  </si>
  <si>
    <t>trangctt@topica.edu.vn</t>
  </si>
  <si>
    <t>Trần Thanh</t>
  </si>
  <si>
    <t>Vũng Tàu</t>
  </si>
  <si>
    <t>Vũng Tàu</t>
  </si>
  <si>
    <t>273134434</t>
  </si>
  <si>
    <t>huongtt@topica.edu.vn</t>
  </si>
  <si>
    <t>0643 720 402</t>
  </si>
  <si>
    <t>0937 692 406</t>
  </si>
  <si>
    <t>2682 Khu Phố 3, Phước Nguyên, Bà Rịa Vũng Tàu</t>
  </si>
  <si>
    <t>4/6 Đồ Sơn, P.2, Q. Tân Bình</t>
  </si>
  <si>
    <t>Lâm Thị Thúy</t>
  </si>
  <si>
    <t>Cao Bằng</t>
  </si>
  <si>
    <t>Cao Bằng</t>
  </si>
  <si>
    <t>080420879</t>
  </si>
  <si>
    <t>mailtt@topica.edu.vn</t>
  </si>
  <si>
    <t>0987 945 268</t>
  </si>
  <si>
    <t>Số 18, Tổ 17, Hợp Giang, Cao Bằng</t>
  </si>
  <si>
    <t>32, Ngách 53, Cầu Giấy, Hà Nội</t>
  </si>
  <si>
    <t>Hoàng Thu</t>
  </si>
  <si>
    <t>031275019</t>
  </si>
  <si>
    <t>Genetic - Bách khoa Hà Nội</t>
  </si>
  <si>
    <t>phuonght@topica.edu.vn</t>
  </si>
  <si>
    <t>0983 529 286</t>
  </si>
  <si>
    <t>10, Ngõ 111, Thanh Lân, Hà Nội</t>
  </si>
  <si>
    <t>Vũ Thị Thanh</t>
  </si>
  <si>
    <t>0985229213</t>
  </si>
  <si>
    <t>Hà Thúy</t>
  </si>
  <si>
    <t>012264949</t>
  </si>
  <si>
    <t>36334450</t>
  </si>
  <si>
    <t>0988080609</t>
  </si>
  <si>
    <t>403, ĐN 2, Nhà I, Ngõ 319, Tam Trinh, Hoàng Mai, HN</t>
  </si>
  <si>
    <t>403, ĐN 2, Nhà I, Ngõ 319, Tam Trinh, Hoàng PRi, HN</t>
  </si>
  <si>
    <t>Nguyễn Xuân</t>
  </si>
  <si>
    <t>Bách</t>
  </si>
  <si>
    <t>164261437</t>
  </si>
  <si>
    <t>bachnx@topica.edu.vn</t>
  </si>
  <si>
    <t>01688 900 928</t>
  </si>
  <si>
    <t>Thị Trấn Me, Gia Viễn, Ninh Bình</t>
  </si>
  <si>
    <t>TDT</t>
  </si>
  <si>
    <t>PDTO</t>
  </si>
  <si>
    <t>Đặng Thị Thuy</t>
  </si>
  <si>
    <t>273141200</t>
  </si>
  <si>
    <t>ĐH Hùng Vương (TP.HCM)</t>
  </si>
  <si>
    <t>thuydtt@topica.edu.vn</t>
  </si>
  <si>
    <t>08 6271 5484</t>
  </si>
  <si>
    <t>0977015424</t>
  </si>
  <si>
    <t>A3/22C Ấp 1, Vĩnh Lộc B, Bình Chánh, TP.HCM</t>
  </si>
  <si>
    <t>D0910 CHung cư Phú Thạnh, Tân Phú, TPHCM</t>
  </si>
  <si>
    <t>Nguyễn Thế Việt</t>
  </si>
  <si>
    <t>011988933</t>
  </si>
  <si>
    <t>ĐH Công Nghiệp Hà Nội</t>
  </si>
  <si>
    <t>phuongntv@topica.edu.vn</t>
  </si>
  <si>
    <t>04 3928 7174</t>
  </si>
  <si>
    <t>0974 748 800</t>
  </si>
  <si>
    <t>Số 9, Hàng Trống, Hoàn Kiếm, Hà Nội</t>
  </si>
  <si>
    <t>Huỳnh Ngọc</t>
  </si>
  <si>
    <t>CB_VH_BA</t>
  </si>
  <si>
    <t>012536120</t>
  </si>
  <si>
    <t>thaovp@topica.edu.vn</t>
  </si>
  <si>
    <t>04 3581 1866</t>
  </si>
  <si>
    <t>0936217136</t>
  </si>
  <si>
    <t>Hiền Lương, Hiền Linh, Sóc Sơn, Hà Nội</t>
  </si>
  <si>
    <t>010337154</t>
  </si>
  <si>
    <t>bichlt@topica.edu.vn</t>
  </si>
  <si>
    <t>01665 301 909</t>
  </si>
  <si>
    <t>Số Nhà 12 Tổ 6 Phường Vĩnh Hưng, Hà Nội</t>
  </si>
  <si>
    <t>Đặng Thu</t>
  </si>
  <si>
    <t>Hà Thị Ngọc</t>
  </si>
  <si>
    <t>131509420</t>
  </si>
  <si>
    <t>anhhtn@topica.edu.vn</t>
  </si>
  <si>
    <t>0936 572 466</t>
  </si>
  <si>
    <t>Số 36, Ngách 79, Cầu Giấy Hà Nội</t>
  </si>
  <si>
    <t>Đinh Thị Thanh</t>
  </si>
  <si>
    <t>183302768</t>
  </si>
  <si>
    <t>ĐH Quy Nhơn</t>
  </si>
  <si>
    <t>tamdtt@topica.edu.vn</t>
  </si>
  <si>
    <t>0984 900 045</t>
  </si>
  <si>
    <t>Số 4d, Ngõ 640, Ngách 51, Nguyễn Văn Cừ, Long Biên, Hà Nội</t>
  </si>
  <si>
    <t>Số 4D, Ngõ 640, Ngách 51, Nguyễn Văn Cừ, Long Biên, Hà Nội</t>
  </si>
  <si>
    <t>Hảo</t>
  </si>
  <si>
    <t>013221750</t>
  </si>
  <si>
    <t>HV Báo Chí Tuyên Truyền</t>
  </si>
  <si>
    <t>haottb@topica.edu.vn</t>
  </si>
  <si>
    <t>0912 220 581</t>
  </si>
  <si>
    <t>17, Ngõ 76, Vân Hồ 3, Hai Bà Trưng, Hà Nội</t>
  </si>
  <si>
    <t>Hoàng Thu</t>
  </si>
  <si>
    <t>Phạm Kim</t>
  </si>
  <si>
    <t>Nương</t>
  </si>
  <si>
    <t>162646603</t>
  </si>
  <si>
    <t>nuongpk@topica.edu.vn</t>
  </si>
  <si>
    <t>04 3838 3035</t>
  </si>
  <si>
    <t>0984 794 845</t>
  </si>
  <si>
    <t>Số 16, Cụm 11, Tân Xuân, Xuân Đỉnh, Từ Liêm, Hà Nội</t>
  </si>
  <si>
    <t>Đoàn Thị Huyền</t>
  </si>
  <si>
    <t>Chu Hoài</t>
  </si>
  <si>
    <t>Thương</t>
  </si>
  <si>
    <t>Lâm Đồng</t>
  </si>
  <si>
    <t>250683582</t>
  </si>
  <si>
    <t>CĐ Kinh tế đối ngoại</t>
  </si>
  <si>
    <t>thuongch@topica.edu.vn</t>
  </si>
  <si>
    <t>0917 545 808</t>
  </si>
  <si>
    <t>41 Tiền Lâm, Đông Thanh, Lâm Hà, Lâm Đồng</t>
  </si>
  <si>
    <t>23/13 Đường Tl.04 Khu Phố 3A, Thạnh Lộc, quận 12, HCM</t>
  </si>
  <si>
    <t>Gái</t>
  </si>
  <si>
    <t>Ninh Thuận</t>
  </si>
  <si>
    <t>264255050</t>
  </si>
  <si>
    <t>ĐH Khoa Học Xã Hội Và Nhân Văn</t>
  </si>
  <si>
    <t>gaitt@topica.edu.vn</t>
  </si>
  <si>
    <t>0986 748 158</t>
  </si>
  <si>
    <t>8a, Lê Thị Hồng, P17, Gò Vấp</t>
  </si>
  <si>
    <t>Nguyễn Danh</t>
  </si>
  <si>
    <t>012070088</t>
  </si>
  <si>
    <t>tund@topica.edu.vn</t>
  </si>
  <si>
    <t>04 3822 0875</t>
  </si>
  <si>
    <t>0904 257 115</t>
  </si>
  <si>
    <t>92b Lý Thường Kiệt, Hai Bà Trưng, Hà Nội</t>
  </si>
  <si>
    <t>Đại</t>
  </si>
  <si>
    <t>012745061</t>
  </si>
  <si>
    <t>dainx@topica.edu.vn</t>
  </si>
  <si>
    <t>01228 310 909</t>
  </si>
  <si>
    <t>Thôn Trung, Dương Hà, Gia Lâm, Hà Nội</t>
  </si>
  <si>
    <t>PHOD</t>
  </si>
  <si>
    <t>Nguyễn Phương</t>
  </si>
  <si>
    <t>Loan</t>
  </si>
  <si>
    <t>012122554</t>
  </si>
  <si>
    <t>Trung cấp Kỹ thuật Tin học Hà Nội</t>
  </si>
  <si>
    <t>loannp@topica.edu.vn</t>
  </si>
  <si>
    <t>04 3753 4546</t>
  </si>
  <si>
    <t>01666 596 589</t>
  </si>
  <si>
    <t>23/15/6 An Dương Vương, Tây Hồ, Hà Nội</t>
  </si>
  <si>
    <t>Kiều Mai</t>
  </si>
  <si>
    <t>186340153</t>
  </si>
  <si>
    <t>Nghệ an</t>
  </si>
  <si>
    <t>0916983939</t>
  </si>
  <si>
    <t>Tân Tiến, Hưng Dũng, TP Vinh, NA</t>
  </si>
  <si>
    <t>Yến</t>
  </si>
  <si>
    <t>141916927</t>
  </si>
  <si>
    <t>CA Hải Dương</t>
  </si>
  <si>
    <t>ĐH Tài chính kế toán</t>
  </si>
  <si>
    <t>0912 472 880</t>
  </si>
  <si>
    <t>59 Ngõ Hòa Bình, Minh Khai, HBT</t>
  </si>
  <si>
    <t>Trần Thị Khánh</t>
  </si>
  <si>
    <t>121389281</t>
  </si>
  <si>
    <t>TC Điện Tử Điện Lạnh</t>
  </si>
  <si>
    <t>hoattk@topica.edu.vn</t>
  </si>
  <si>
    <t>0989 134 996</t>
  </si>
  <si>
    <t>Số 3/199 Ngõ Thổ Quan 1, Ô Chợ Dừa, Hà Nội</t>
  </si>
  <si>
    <t>Hạ Thị Thùy</t>
  </si>
  <si>
    <t>Đăklak</t>
  </si>
  <si>
    <t>Đăklak</t>
  </si>
  <si>
    <t>240670795</t>
  </si>
  <si>
    <t>Daklak</t>
  </si>
  <si>
    <t>tranghtt@topica.edu.vn</t>
  </si>
  <si>
    <t>0958 396 141</t>
  </si>
  <si>
    <t>18/14/a5 Nguyễn Thị Minh Khai, P. Đa Kao, Qi, Hcm</t>
  </si>
  <si>
    <t>18/14/A5 Nguyễn Thị Minh Khai, P. Đa Kao, QI, HCM</t>
  </si>
  <si>
    <t>Nhàn</t>
  </si>
  <si>
    <t>012192404</t>
  </si>
  <si>
    <t>nhanntt@topica.edu.vn</t>
  </si>
  <si>
    <t>0953218190</t>
  </si>
  <si>
    <t>Thụy Khuê, Sài Sơn, Quốc Oai, Hà Nội</t>
  </si>
  <si>
    <t>112183443</t>
  </si>
  <si>
    <t>Trung học kinh tế Hà Tây</t>
  </si>
  <si>
    <t>quyenpt@topica.edu.vn</t>
  </si>
  <si>
    <t>01696 733 621</t>
  </si>
  <si>
    <t>Ngõ Chợ Khâm Thiên, Đống Đa, Hà Nội</t>
  </si>
  <si>
    <t>Phạm Tiến</t>
  </si>
  <si>
    <t>Huy</t>
  </si>
  <si>
    <t>162429756</t>
  </si>
  <si>
    <t>huypt@topica.edu.vn</t>
  </si>
  <si>
    <t>0984811440</t>
  </si>
  <si>
    <t>012668765</t>
  </si>
  <si>
    <t>vietth@topica.edu.vn</t>
  </si>
  <si>
    <t>04 3877 2064</t>
  </si>
  <si>
    <t>0985 865 247</t>
  </si>
  <si>
    <t>Ngọc Lôi, Dục Tú, Đông Anh, Hà Nội</t>
  </si>
  <si>
    <t>83 Ngách 564/32 Nguyễn Văn Cừ, Long Biên Hà Nội</t>
  </si>
  <si>
    <t>8081121653</t>
  </si>
  <si>
    <t>Đaknông</t>
  </si>
  <si>
    <t>Đaknông</t>
  </si>
  <si>
    <t>245125872</t>
  </si>
  <si>
    <t>CĐ Tài chính - Hải quan</t>
  </si>
  <si>
    <t>Kế Toán HCSL</t>
  </si>
  <si>
    <t>haipt@topica.edu.vn</t>
  </si>
  <si>
    <t>05016 282 809</t>
  </si>
  <si>
    <t>0907 040 630/ 0976124130</t>
  </si>
  <si>
    <t>66/23 Xô Viết Nghệ Tĩnh, P.21, Q.Bình Thạnh, TP.HCM</t>
  </si>
  <si>
    <t>Ninh Thị Thúy</t>
  </si>
  <si>
    <t>nữ</t>
  </si>
  <si>
    <t>164108826</t>
  </si>
  <si>
    <t>CA Ninh Bình</t>
  </si>
  <si>
    <t>Học viện kỹ thuật Quân sự</t>
  </si>
  <si>
    <t>0988 750 797</t>
  </si>
  <si>
    <t>17, Ngõ 97, Ngọc Thụy, Long Biên HN</t>
  </si>
  <si>
    <t>Nguyễn Hương</t>
  </si>
  <si>
    <t>012178809</t>
  </si>
  <si>
    <t>ĐH Thăng Long</t>
  </si>
  <si>
    <t>giangnh2@topica.edu.vn</t>
  </si>
  <si>
    <t>04 3863 8718</t>
  </si>
  <si>
    <t>0904 294 679</t>
  </si>
  <si>
    <t>74, Bạch Mai, Hai Bà Trưng, Hà Nội</t>
  </si>
  <si>
    <t>Vũ Thị</t>
  </si>
  <si>
    <t>151486570</t>
  </si>
  <si>
    <t>ĐH Đà Lạt</t>
  </si>
  <si>
    <t>trangvt2@topica.edu.vn</t>
  </si>
  <si>
    <t>0904 607 557</t>
  </si>
  <si>
    <t>Số 18/16, Ngõ 105, Hồ Tùng Mậu, Hà Nội</t>
  </si>
  <si>
    <t>012284757</t>
  </si>
  <si>
    <t>giangnh3@topica.edu.vn</t>
  </si>
  <si>
    <t>0947 082 314</t>
  </si>
  <si>
    <t>Số 28, Ngách 29/21 Thụy Khuê, Tây Hồ</t>
  </si>
  <si>
    <t>Son</t>
  </si>
  <si>
    <t>145190739</t>
  </si>
  <si>
    <t>ĐH Giáo dục – ĐH Quốc gia Hà Nội</t>
  </si>
  <si>
    <t>Sư Phạm Ngữ Văn</t>
  </si>
  <si>
    <t>sonnt@topica.edu.vn</t>
  </si>
  <si>
    <t>0989 794 339</t>
  </si>
  <si>
    <t>Trần Cao, Phù Cừ, Hưng Yên</t>
  </si>
  <si>
    <t>Nhà 5b, Ngõ77, Ngách 77/9, Bùi Xương Trạch, Thanh Xuân, Hà Nội</t>
  </si>
  <si>
    <t>OXP</t>
  </si>
  <si>
    <t>POSO</t>
  </si>
  <si>
    <t>031325166</t>
  </si>
  <si>
    <t>CA Hải phòng</t>
  </si>
  <si>
    <t>ĐH Qgia HCM</t>
  </si>
  <si>
    <t>0904 335 316</t>
  </si>
  <si>
    <t>25/629 Giải Phóng, Hoàng PRi, HN</t>
  </si>
  <si>
    <t>Thân Thị</t>
  </si>
  <si>
    <t>Khuyên</t>
  </si>
  <si>
    <t>121400639</t>
  </si>
  <si>
    <t>khuyentt@topica.edu.vn</t>
  </si>
  <si>
    <t>0333 863 941</t>
  </si>
  <si>
    <t>0983 280 617</t>
  </si>
  <si>
    <t>1140 Tổ 80, Cẩm Thạch Cẩm Phả, Quảng Ninh</t>
  </si>
  <si>
    <t>272, Nam Dư, Hoàng Mai, Hà Nội</t>
  </si>
  <si>
    <t>Vũ Thị Thúy</t>
  </si>
  <si>
    <t>250616426</t>
  </si>
  <si>
    <t>ĐH Nông Lâm</t>
  </si>
  <si>
    <t>hangvtt@topica.edu.vn</t>
  </si>
  <si>
    <t>0984294087</t>
  </si>
  <si>
    <t>4.9 Lô C - Chung Cư Bình Trưng - P.Bình Trưng Đông - Quận 2</t>
  </si>
  <si>
    <t>thc</t>
  </si>
  <si>
    <t>Lê Ngọc Hương</t>
  </si>
  <si>
    <t>Vy</t>
  </si>
  <si>
    <t>Trần Hoàng Cẩm</t>
  </si>
  <si>
    <t>211895995</t>
  </si>
  <si>
    <t>Bình Định</t>
  </si>
  <si>
    <t>ĐH Sư Phạm Kỹ Thuật Tp. Hồ Chí Minh</t>
  </si>
  <si>
    <t>tuthc@topica.edu.vn</t>
  </si>
  <si>
    <t>0902 802 303</t>
  </si>
  <si>
    <t>41B Cc 750/1BIS,  Nguyễn Kiệm, P04. Phú Nhuận, HCM</t>
  </si>
  <si>
    <t>111865691</t>
  </si>
  <si>
    <t>loannt@topica.edu.vn</t>
  </si>
  <si>
    <t>04 3363 1746</t>
  </si>
  <si>
    <t>0978 772 066</t>
  </si>
  <si>
    <t>Cụm 2, Tân Hội, Đan Phượng, Hà Nội</t>
  </si>
  <si>
    <t>Cụm 2 Tân Hội, Đan Phượng, Hà Nội</t>
  </si>
  <si>
    <t>01/5/2013</t>
  </si>
  <si>
    <t>Đào Thị</t>
  </si>
  <si>
    <t>172219141</t>
  </si>
  <si>
    <t>ĐH Vinh</t>
  </si>
  <si>
    <t>thanhdt@topica.edu.vn</t>
  </si>
  <si>
    <t>0986 926 638</t>
  </si>
  <si>
    <t>Định Liên, Yên Định, Thanh Hóa</t>
  </si>
  <si>
    <t>Thôn Phú Mỹ, Mỹ Đình, Từ Liêm, Hà Nội</t>
  </si>
  <si>
    <t>Phạm Anh</t>
  </si>
  <si>
    <t>Tuấn</t>
  </si>
  <si>
    <t>151355043</t>
  </si>
  <si>
    <t>ĐH Khoa học Tự nhiên</t>
  </si>
  <si>
    <t>Khoa học vật liệu</t>
  </si>
  <si>
    <t>tuanpa@topica.edu.vn</t>
  </si>
  <si>
    <t>0366 281 225</t>
  </si>
  <si>
    <t>01694 669 241</t>
  </si>
  <si>
    <t>Số 14, Tổ 8, P Tiền Phong, Thái Bình</t>
  </si>
  <si>
    <t>48, Chính Kinh, Thanh Xuân, Hà Nội</t>
  </si>
  <si>
    <t>Nguyễn Thị Quỳnh</t>
  </si>
  <si>
    <t>Lơ</t>
  </si>
  <si>
    <t>151687664</t>
  </si>
  <si>
    <t>Kinh tế</t>
  </si>
  <si>
    <t>lont@topica.edu.vn</t>
  </si>
  <si>
    <t>01227 397 398</t>
  </si>
  <si>
    <t>Xóm 6, Quỳnh Châu, Quỳnh Phụ Thái Bình</t>
  </si>
  <si>
    <t>56, Ngách 164/85 Vương Thừa Vũ, Thanh Xuân, Hà Nội</t>
  </si>
  <si>
    <t>Nguyễn Diệu Thảo</t>
  </si>
  <si>
    <t>Gia Lai</t>
  </si>
  <si>
    <t>230604565</t>
  </si>
  <si>
    <t>ĐH Sư phạm - ĐH Huế</t>
  </si>
  <si>
    <t>nguyenndt@topica.edu.vn</t>
  </si>
  <si>
    <t>0979 210 820</t>
  </si>
  <si>
    <t>Khối Phố 7, Tt Phú Túc, Huyện Krông Pa, Gia Lai</t>
  </si>
  <si>
    <t>40 Nguyễn Quang Bích, P.13, Q.tân Bình</t>
  </si>
  <si>
    <t>Vũ Trí</t>
  </si>
  <si>
    <t>121536844</t>
  </si>
  <si>
    <t>Công tác xã hội</t>
  </si>
  <si>
    <t>binhvt@topica.edu.vn</t>
  </si>
  <si>
    <t>0936 748 789</t>
  </si>
  <si>
    <t>26/44 Nguyễn An Ninh, Hoàng Mai, Hà Nội</t>
  </si>
  <si>
    <t>Châu Thị Thùy</t>
  </si>
  <si>
    <t>100736753</t>
  </si>
  <si>
    <t>duongctt@topica.edu.vn</t>
  </si>
  <si>
    <t>0972 181 083</t>
  </si>
  <si>
    <t>Tổ 86, Phường Cửa Ông, Tx Cẩm Phả, Quảng Ninh</t>
  </si>
  <si>
    <t>172308048</t>
  </si>
  <si>
    <t>gianglt@topica.edu.vn</t>
  </si>
  <si>
    <t>04 3753 5277</t>
  </si>
  <si>
    <t>0902 232 069</t>
  </si>
  <si>
    <t>204, Ngõ 06, Tô Vĩnh Diện, Triệu Sơn, Thanh Hóa</t>
  </si>
  <si>
    <t>48, Ngõ 105 Ngách 2/39 Xuân La, Tây Hồ, Hà Nội</t>
  </si>
  <si>
    <t>PMHO</t>
  </si>
  <si>
    <t>Sơn</t>
  </si>
  <si>
    <t>Đồng Tháp</t>
  </si>
  <si>
    <t>023832124</t>
  </si>
  <si>
    <t>ĐH Mở Tp HCM</t>
  </si>
  <si>
    <t>sonnh@topica.edu.vn</t>
  </si>
  <si>
    <t>0982 238 922</t>
  </si>
  <si>
    <t>Lô A514 Chung Cư Chợ Quán, Trần Bình Trọng, Quận 5, Tp.hcm</t>
  </si>
  <si>
    <t>024704898</t>
  </si>
  <si>
    <t>CĐ mẫu giáo trung ương 3</t>
  </si>
  <si>
    <t>Sư phạm mầm non</t>
  </si>
  <si>
    <t>hiennt2@topica.edu.vn</t>
  </si>
  <si>
    <t>0908 331 698</t>
  </si>
  <si>
    <t>79/98 Trần Văn Đang, P9, Q3, Hcm.</t>
  </si>
  <si>
    <t>79/98 Trần Văn Đang, P9, Q3, HCM.</t>
  </si>
  <si>
    <t>Phan Viết</t>
  </si>
  <si>
    <t>Dũng</t>
  </si>
  <si>
    <t>090892279</t>
  </si>
  <si>
    <t>ĐH Sư Phạm Thái Nguyên</t>
  </si>
  <si>
    <t>dungpv@topica.edu.vn</t>
  </si>
  <si>
    <t>0977 306 626</t>
  </si>
  <si>
    <t>Tổ 4, P. Hương Sơn, Tp Thái Nguyên</t>
  </si>
  <si>
    <t>Trần Thị Mai</t>
  </si>
  <si>
    <t>091028844</t>
  </si>
  <si>
    <t>Tiếng Đức</t>
  </si>
  <si>
    <t>thuyttm@topica.edu.vn</t>
  </si>
  <si>
    <t>02803 759 575</t>
  </si>
  <si>
    <t>0934 578 844</t>
  </si>
  <si>
    <t>Phường Trưng Vương, Tp Thái Nguyên</t>
  </si>
  <si>
    <t>C18, TT9 Văn Quán, Hà Đông, Hà Nội</t>
  </si>
  <si>
    <t>Nguyễn Khánh</t>
  </si>
  <si>
    <t>111539022</t>
  </si>
  <si>
    <t>hank@topica.edu.vn</t>
  </si>
  <si>
    <t>04 3354 0946</t>
  </si>
  <si>
    <t>0918 561 688</t>
  </si>
  <si>
    <t>B5/19, Ngõ 3 Tt Học Viện Quân Y Viện 103, Hà Đông, Hà Nội</t>
  </si>
  <si>
    <t>B5/19, Ngõ 3 TT Học Viện Quân Y Viện 103, Hà Đông, Hà Nội</t>
  </si>
  <si>
    <t>NXT</t>
  </si>
  <si>
    <t>PNEO</t>
  </si>
  <si>
    <t>Trần Thị Thùy</t>
  </si>
  <si>
    <t>273143332</t>
  </si>
  <si>
    <t>CA Vũng tàu</t>
  </si>
  <si>
    <t>ĐH MỞ TP.HCM</t>
  </si>
  <si>
    <t>0908 911 344</t>
  </si>
  <si>
    <t>84/8 Bùi Đình Túy, P 24, Quận Bình Thạnh</t>
  </si>
  <si>
    <t>Ngô Thị</t>
  </si>
  <si>
    <t>Chi</t>
  </si>
  <si>
    <t>031379146</t>
  </si>
  <si>
    <t>chint@topica.edu.vn</t>
  </si>
  <si>
    <t>0934 338 236</t>
  </si>
  <si>
    <t>28/15, Kiều Sơn, Đằng Lâm, Hải An, Hải Phòng</t>
  </si>
  <si>
    <t>Phạm Vũ Thu</t>
  </si>
  <si>
    <t>031102417</t>
  </si>
  <si>
    <t>Học viện Tài chính</t>
  </si>
  <si>
    <t>thuypvt@topica.edu.vn</t>
  </si>
  <si>
    <t>0313 764 125</t>
  </si>
  <si>
    <t>0904 952 688</t>
  </si>
  <si>
    <t>Số 253, Hai Bà Trưng, Cát Bà, Q Lê Chân, Hải Phòng</t>
  </si>
  <si>
    <t>Nguyễn Hồng</t>
  </si>
  <si>
    <t>012348781</t>
  </si>
  <si>
    <t>ĐH Tổng Hợp Thiên Tân</t>
  </si>
  <si>
    <t>hainh@topica.edu.vn</t>
  </si>
  <si>
    <t>0988 017 988</t>
  </si>
  <si>
    <t>Số 3 Nhà C, Tổ 12b, Trung Liệt, Đống Đa, Hà Nội</t>
  </si>
  <si>
    <t>Nguyễn Văn</t>
  </si>
  <si>
    <t>Đồng</t>
  </si>
  <si>
    <t>Bình Định</t>
  </si>
  <si>
    <t>215061535</t>
  </si>
  <si>
    <t>CA Bình Định</t>
  </si>
  <si>
    <t>ĐH Công nghệ Sài Gòn</t>
  </si>
  <si>
    <t>01262 692 764</t>
  </si>
  <si>
    <t>Hoài Đức, Hoài Nhơn Bình Định</t>
  </si>
  <si>
    <t>7/204 Cao Lỗ - P4 - Q8 - HCM</t>
  </si>
  <si>
    <t>Huỳnh Huy</t>
  </si>
  <si>
    <t>012544822</t>
  </si>
  <si>
    <t>minhhh@topica.edu.vn</t>
  </si>
  <si>
    <t>0904 726 289</t>
  </si>
  <si>
    <t>50h4, Tt Nguyễn Công Trứ, Phố Huế, Hai Bà Trưng, Hà Nội</t>
  </si>
  <si>
    <t>50H4, TT Nguyễn Công Trứ,  Phố Huế, Hai Bà Trưng, Hà Nội</t>
  </si>
  <si>
    <t>Đinh Thị Mai</t>
  </si>
  <si>
    <t>162731802</t>
  </si>
  <si>
    <t>anhdtm@topica.edu.vn</t>
  </si>
  <si>
    <t>0987 894 045</t>
  </si>
  <si>
    <t>Số 6, Ngõ 77/10 Bùi Xương Trạch, Thanh Xuân, Hà Nội</t>
  </si>
  <si>
    <t>131537432</t>
  </si>
  <si>
    <t>ĐH Sp Hà Nội I</t>
  </si>
  <si>
    <t>quynhnt@topica.edu.vn</t>
  </si>
  <si>
    <t>0976 053 585</t>
  </si>
  <si>
    <t>Cầu Giấy, Hà Nội</t>
  </si>
  <si>
    <t>Võ Nguyên</t>
  </si>
  <si>
    <t>301154605</t>
  </si>
  <si>
    <t>CA Long an</t>
  </si>
  <si>
    <t>ĐH Kinh Tế TP.HCM</t>
  </si>
  <si>
    <t>vuvn@topica.edu.vn</t>
  </si>
  <si>
    <t>01211 133 848</t>
  </si>
  <si>
    <t>A2/28 Ấp Vàm Kinh, Xã Bình An, huyện Thủ Thừa, Tỉnh Long An</t>
  </si>
  <si>
    <t>Lâm Văn Bền, Q.7, Tp. HCM</t>
  </si>
  <si>
    <t>Hiệp</t>
  </si>
  <si>
    <t>164194575</t>
  </si>
  <si>
    <t>hiepvt@topica.edu.vn</t>
  </si>
  <si>
    <t>0904 149 877</t>
  </si>
  <si>
    <t>Số 64, Đường C12, Phường 13, Quận Tân Bình, HCM</t>
  </si>
  <si>
    <t>Phan Thị Diễm</t>
  </si>
  <si>
    <t>Trinh</t>
  </si>
  <si>
    <t>301229270</t>
  </si>
  <si>
    <t>ĐH Sư Phạm Công Nghệ HCM</t>
  </si>
  <si>
    <t>trinhptd@topica.edu.vn</t>
  </si>
  <si>
    <t>0984 533 557</t>
  </si>
  <si>
    <t>113A, Quang Trung, P. Tăng Nhơn Phú B, Quận 9, HCM</t>
  </si>
  <si>
    <t>Phạm Thị Hiền</t>
  </si>
  <si>
    <t>012036050</t>
  </si>
  <si>
    <t>0983 321 090</t>
  </si>
  <si>
    <t>P 412, B11 Tập Thể Thanh Xuân Bắc, Thanh Xuân, HN</t>
  </si>
  <si>
    <t>Xóm lẻ, Triều Khúc, Tân Triều, Thanh Trì, HN</t>
  </si>
  <si>
    <t>Phạm Thị Lan</t>
  </si>
  <si>
    <t>025117195</t>
  </si>
  <si>
    <t>0917 878 211</t>
  </si>
  <si>
    <t>Số 52, đường số 6, khu phố 6, p Bình Chiểu, q Thủ Đức, Tp Hồ Chí Minh</t>
  </si>
  <si>
    <t>145081952</t>
  </si>
  <si>
    <t>thuynt@topica.edu.vn</t>
  </si>
  <si>
    <t>0915 607 178</t>
  </si>
  <si>
    <t>Số 575, Tổ 44, Định Công, Hoàng Mai, Hà Nội</t>
  </si>
  <si>
    <t>NXP</t>
  </si>
  <si>
    <t>Vương Quyết</t>
  </si>
  <si>
    <t>Thắng</t>
  </si>
  <si>
    <t>012535540</t>
  </si>
  <si>
    <t>CĐ Aptech - FPT</t>
  </si>
  <si>
    <t>thangvq@topica.edu.vn</t>
  </si>
  <si>
    <t>0944 344 898</t>
  </si>
  <si>
    <t>363, Bạch Đằng, Chương Dương, Hoàn Kiếm, Hà Nội</t>
  </si>
  <si>
    <t>Hoàng Diệu</t>
  </si>
  <si>
    <t>012248304</t>
  </si>
  <si>
    <t>linhhd@topica.edu.vn</t>
  </si>
  <si>
    <t>04 3848 0481</t>
  </si>
  <si>
    <t>0912 668 923</t>
  </si>
  <si>
    <t>Số 33 Hẻm 8/34/28 Khu Tt 28b Điện Biên Phủ, Ba Đình, Hà Nội</t>
  </si>
  <si>
    <t>PXS</t>
  </si>
  <si>
    <t>PDTS</t>
  </si>
  <si>
    <t>Nguyễn Thị Bích</t>
  </si>
  <si>
    <t>012178068</t>
  </si>
  <si>
    <t>Hệ thống Thông tin</t>
  </si>
  <si>
    <t>quynhntb@topica.edu.vn</t>
  </si>
  <si>
    <t>0983 959 696</t>
  </si>
  <si>
    <t>68 ngõ Quỳnh, Thanh Nhàn, Hai Bà trưng, HN</t>
  </si>
  <si>
    <t>74 Giảng Võ, Đống Đa, Hà Nội</t>
  </si>
  <si>
    <t>012452246</t>
  </si>
  <si>
    <t>thaottp@topica.edu.vn</t>
  </si>
  <si>
    <t>Nhà 1, Ngách 64/29, Ngõ 64 Phan Đình Giót</t>
  </si>
  <si>
    <t>271895594</t>
  </si>
  <si>
    <t>CA Đồng Nai</t>
  </si>
  <si>
    <t>CĐ Nguyễn Tất Thành</t>
  </si>
  <si>
    <t>tamnt@topica.edu.vn</t>
  </si>
  <si>
    <t>0907 749 643</t>
  </si>
  <si>
    <t>080 Hiền Đức,Phước Thái,Long Thành,Đồng Nai</t>
  </si>
  <si>
    <t>392/16/26,Cao Thắng,P 12,Q 10</t>
  </si>
  <si>
    <t>Nguyễn Thị Tường</t>
  </si>
  <si>
    <t>Vi</t>
  </si>
  <si>
    <t>Phú Khánh</t>
  </si>
  <si>
    <t>Phú Khánh</t>
  </si>
  <si>
    <t>221168361</t>
  </si>
  <si>
    <t>vintt@topica.edu.vn</t>
  </si>
  <si>
    <t>0933 754 429</t>
  </si>
  <si>
    <t>An Phú , Tuy Hòa, Phú Yên</t>
  </si>
  <si>
    <t>227 Nguyễn Oanh, F5, Q Gò Vấp, Tp.hcm</t>
  </si>
  <si>
    <t>TP HCM</t>
  </si>
  <si>
    <t>23919101</t>
  </si>
  <si>
    <t>CA TPHCM</t>
  </si>
  <si>
    <t>xuanntt@topica.edu.vn</t>
  </si>
  <si>
    <t>0937 367 574</t>
  </si>
  <si>
    <t>thanhxuan11888@gmail.com</t>
  </si>
  <si>
    <t>107/32E LẦU 1 NGÔ NHÂN TỊNH, P02, Q06, TP.HCM</t>
  </si>
  <si>
    <t>Trần Thị Hoa</t>
  </si>
  <si>
    <t>168202860</t>
  </si>
  <si>
    <t>Sư phạm sinh học</t>
  </si>
  <si>
    <t>hongtth@topica.edu.vn</t>
  </si>
  <si>
    <t>03513 718 551</t>
  </si>
  <si>
    <t>0986 353 816</t>
  </si>
  <si>
    <t>An Lão, Bình Lục, Hà Nam</t>
  </si>
  <si>
    <t>68/84 Đồng Nai, P15, Q10, Tphcm</t>
  </si>
  <si>
    <t>Trần Thị Hồng</t>
  </si>
  <si>
    <t>Đào</t>
  </si>
  <si>
    <t>Bến Tre</t>
  </si>
  <si>
    <t>321219757</t>
  </si>
  <si>
    <t>CA. Bến Tre</t>
  </si>
  <si>
    <t>ĐH Dân Lập Hùng Vương</t>
  </si>
  <si>
    <t>daotth@topica.edu.vn</t>
  </si>
  <si>
    <t>090 680 6273</t>
  </si>
  <si>
    <t>Ấp 1, Xã Lương Hòa, Huyện Giồng Trôm, Tỉnh Bến Tre</t>
  </si>
  <si>
    <t>6l Ngô Sĩ Liên, Phường 14, Quận 08, Tp. Hồ Chí Minh</t>
  </si>
  <si>
    <t>025756643</t>
  </si>
  <si>
    <t>nhungptt@topica.edu.vn</t>
  </si>
  <si>
    <t>0383 689 480</t>
  </si>
  <si>
    <t>0983 323 907</t>
  </si>
  <si>
    <t>7.30 lô G, Chung cư Miếu Nổi, P.3, Q. Bình Thạnh, TP.HCM</t>
  </si>
  <si>
    <t>7.30 lô G, Chung cư Miếu Nổi, P.3, Q. Bình Thạnh, TpHCM</t>
  </si>
  <si>
    <t>PTVO</t>
  </si>
  <si>
    <t>Đồng Thị Sen</t>
  </si>
  <si>
    <t>121374197</t>
  </si>
  <si>
    <t>ngadts@topica.edu.vn</t>
  </si>
  <si>
    <t>0983 032323</t>
  </si>
  <si>
    <t>Số 21, Hẻm 54/14/3, Ngõ 54, Ngọc Hồi Hoàng Mai, Hà Nội</t>
  </si>
  <si>
    <t>Nguyễn Thế</t>
  </si>
  <si>
    <t>011937906</t>
  </si>
  <si>
    <t>Tiếng Anh</t>
  </si>
  <si>
    <t>ducnt@topica.edu.vn</t>
  </si>
  <si>
    <t>04 5531 300</t>
  </si>
  <si>
    <t>0168 867 6686</t>
  </si>
  <si>
    <t>Trung Văn, Từ Liêm, Hà Nội</t>
  </si>
  <si>
    <t>Số 4, Ngõ 133 Phùng Khoang Từ Liêm, Hà Nội</t>
  </si>
  <si>
    <t>Bùi Thanh</t>
  </si>
  <si>
    <t>Sĩ</t>
  </si>
  <si>
    <t>Khánh Hoà</t>
  </si>
  <si>
    <t>sibt@topica.edu.vn</t>
  </si>
  <si>
    <t>0918 464 237</t>
  </si>
  <si>
    <t>187/20 Phan Bội Châu, Phường Cam Thuận, Thị Xã Cam Ranh, Khánh Hòa</t>
  </si>
  <si>
    <t>27/31 Cộng Hòa, Phường 4, Quận Tân Bình, Tphcm</t>
  </si>
  <si>
    <t>Huỳnh Văn</t>
  </si>
  <si>
    <t>Bình Thuận</t>
  </si>
  <si>
    <t>Bình Thuận</t>
  </si>
  <si>
    <t>261093968</t>
  </si>
  <si>
    <t>xuanhv@topica.edu.vn</t>
  </si>
  <si>
    <t>0907 386 691</t>
  </si>
  <si>
    <t>Tổ 15 Kp4 ,p.đúc Long , Phan Thiết ,bình Thuận</t>
  </si>
  <si>
    <t>12 Văn Côi, P14, Quận Tân Bình</t>
  </si>
  <si>
    <t>Nguyễn Sơn</t>
  </si>
  <si>
    <t>012128192</t>
  </si>
  <si>
    <t>ĐH Kinh doanh và Công nghệ Hà Nội</t>
  </si>
  <si>
    <t>tungns@topica.edu.vn</t>
  </si>
  <si>
    <t>043 843 1337</t>
  </si>
  <si>
    <t>0917 511 411</t>
  </si>
  <si>
    <t>74, Giảng Võ, Cát Linh Đống Đa, Hà Nội</t>
  </si>
  <si>
    <t>PTNO</t>
  </si>
  <si>
    <t>Tống Thị</t>
  </si>
  <si>
    <t>145149763</t>
  </si>
  <si>
    <t>huongtt2@topica.edu.vn</t>
  </si>
  <si>
    <t>0321 3851 246</t>
  </si>
  <si>
    <t>0979 312 668</t>
  </si>
  <si>
    <t>Tống Phan, Phù Cừ, Hưng Yên</t>
  </si>
  <si>
    <t>Pháo Đài Láng, Láng Thượng, Đống Đa, Hà Nội</t>
  </si>
  <si>
    <t>Bùi Thị Thảo</t>
  </si>
  <si>
    <t>205408834</t>
  </si>
  <si>
    <t>nguyenbtt@topica.edu.vn</t>
  </si>
  <si>
    <t>0987 348 146</t>
  </si>
  <si>
    <t>489/23a/30b Huỳnh Văn Bánh , Phường 13, Quận Phú Nhuận, Tp Hcm</t>
  </si>
  <si>
    <t>Thái Thị Huỳnh</t>
  </si>
  <si>
    <t>260855046</t>
  </si>
  <si>
    <t>Kinh Tế đối ngoại</t>
  </si>
  <si>
    <t>maitth@topica.edu.vn</t>
  </si>
  <si>
    <t>0908 024 501</t>
  </si>
  <si>
    <t>25/31 Cửu Long, Phường 2, Tân Bình, Tp Hồ Chí Minh</t>
  </si>
  <si>
    <t>Nguyễn Thị Thùy</t>
  </si>
  <si>
    <t>211882132</t>
  </si>
  <si>
    <t>ĐH Mở TP.HCM</t>
  </si>
  <si>
    <t>dungntt@topica.edu.vn</t>
  </si>
  <si>
    <t>0937 584 009</t>
  </si>
  <si>
    <t>Nhơn Hưng - An Nhơn - Bình Định</t>
  </si>
  <si>
    <t>1/15 Trần Tấn, P. Tân Sơn Nhì, Q. Tân Phú</t>
  </si>
  <si>
    <t>Phùng Thị Hải</t>
  </si>
  <si>
    <t>Cà Mau</t>
  </si>
  <si>
    <t>381300832</t>
  </si>
  <si>
    <t>linhpth@topica.edu.vn</t>
  </si>
  <si>
    <t>0933 713 133/ 0933110500</t>
  </si>
  <si>
    <t>37, Trần Văn Thời, P5, TP. Cà Mau</t>
  </si>
  <si>
    <t>304, Lô VII, Khách sạn Công đoàn Thanh Đa, Q. Bình Thạnh, TP.HCM</t>
  </si>
  <si>
    <t>Nông Hoàng Ngọc</t>
  </si>
  <si>
    <t>Viễn</t>
  </si>
  <si>
    <t>Tp.HCM</t>
  </si>
  <si>
    <t>Tp.HCM</t>
  </si>
  <si>
    <t>225297427</t>
  </si>
  <si>
    <t>Nha Trang</t>
  </si>
  <si>
    <t>viennnh@topica.edu.vn</t>
  </si>
  <si>
    <t>0905 470 877</t>
  </si>
  <si>
    <t>85/12/7 Phương Sài, Phương Sơn, Nha Trang, Khánh Hòa</t>
  </si>
  <si>
    <t>185/8/4 Thống Nhất, P.12, Q.gò Vấp, Tp.hcm</t>
  </si>
  <si>
    <t>Đoàn Thanh</t>
  </si>
  <si>
    <t>Tân</t>
  </si>
  <si>
    <t>012595921</t>
  </si>
  <si>
    <t>tandt@topica.edu.vn</t>
  </si>
  <si>
    <t>048 341 638</t>
  </si>
  <si>
    <t>0907 282 269</t>
  </si>
  <si>
    <t>237, K3, Cầu Diễn, Từ Liêm, Hà Nội</t>
  </si>
  <si>
    <t>Vũ Thị Phương</t>
  </si>
  <si>
    <t>142285422</t>
  </si>
  <si>
    <t>nhungvtp@topica.edu.vn</t>
  </si>
  <si>
    <t>03203 847 003</t>
  </si>
  <si>
    <t>0975 335 892</t>
  </si>
  <si>
    <t>7/20 Chi Lăng, Phường Nguyễn Trãi, Tp Hải Dương</t>
  </si>
  <si>
    <t>110a, Phạm Ngọc Thạch, Đống Đa, Hà Nội</t>
  </si>
  <si>
    <t>Lê Thùy</t>
  </si>
  <si>
    <t>131532487</t>
  </si>
  <si>
    <t>dunglt@topica.edu.vn</t>
  </si>
  <si>
    <t>0982 309 899</t>
  </si>
  <si>
    <t>Khu 5, Phường Trường Thịnh, Thị Xã Phú Thọ, Phú Thọ</t>
  </si>
  <si>
    <t>Sôố 12, Khu 3, Mai Dịch, Cầu Giấy, HN</t>
  </si>
  <si>
    <t>PAED</t>
  </si>
  <si>
    <t>112265445</t>
  </si>
  <si>
    <t>hatt@topica.edu.vn</t>
  </si>
  <si>
    <t>0945163237</t>
  </si>
  <si>
    <t>Chương Mỹ, Hà Nội</t>
  </si>
  <si>
    <t>Thanh Xuân, Hà Nội</t>
  </si>
  <si>
    <t>Đặng Thị Minh</t>
  </si>
  <si>
    <t>162442049</t>
  </si>
  <si>
    <t>tamdtm@topica.edu.vn</t>
  </si>
  <si>
    <t>0987 250 984</t>
  </si>
  <si>
    <t>Khu Chung Đồng Thị trấn Nê, Kiến Xương, Thái Bình</t>
  </si>
  <si>
    <t>45A, ngách 65/378 Thụy Khuê, Tây Hồ</t>
  </si>
  <si>
    <t>111878331</t>
  </si>
  <si>
    <t>ĐH Lâm Nghiệp Việt Nam</t>
  </si>
  <si>
    <t>Lâm nghiệp đô thị</t>
  </si>
  <si>
    <t>linhttk@topica.edu.vn</t>
  </si>
  <si>
    <t>0988 182 099</t>
  </si>
  <si>
    <t>Tổ 6 Đồng Mai, Hà Đông, Hà Nội</t>
  </si>
  <si>
    <t>Tổ 3, Phúc Đồng, Long Biên, HN</t>
  </si>
  <si>
    <t>Nguyễn Hải</t>
  </si>
  <si>
    <t>012314330</t>
  </si>
  <si>
    <t>Công nghệ Điện Tử</t>
  </si>
  <si>
    <t>hanh@topica.edu.vn</t>
  </si>
  <si>
    <t>043 862 6512</t>
  </si>
  <si>
    <t>098 355 6617</t>
  </si>
  <si>
    <t>Số 27, Ngõ 13, Lĩnh Nam, Hoàng Mai, HN</t>
  </si>
  <si>
    <t>Lê Trí</t>
  </si>
  <si>
    <t>024808519</t>
  </si>
  <si>
    <t>0862742712</t>
  </si>
  <si>
    <t>01669 570 848</t>
  </si>
  <si>
    <t>296/18 Tây Thạnh, Q. Tân Phú, TP Hồ Chí Minh</t>
  </si>
  <si>
    <t>SP</t>
  </si>
  <si>
    <t>PSGH</t>
  </si>
  <si>
    <t>Lê Minh</t>
  </si>
  <si>
    <t>Thư</t>
  </si>
  <si>
    <t>012532157</t>
  </si>
  <si>
    <t>thulm@topica.edu.vn</t>
  </si>
  <si>
    <t>0936 085 333</t>
  </si>
  <si>
    <t>Tổ 24, Cụm 3, Tứ Liên, Tây Hồ, HN</t>
  </si>
  <si>
    <t>Số 16, ngách 15, Ngõ 46, Phạm Ngọc Thạch, Đống Đa, HN</t>
  </si>
  <si>
    <t>025623297</t>
  </si>
  <si>
    <t>ngalt@topica.edu.vn</t>
  </si>
  <si>
    <t>0933 832 868</t>
  </si>
  <si>
    <t>18A/309 CC Huỳnh Văn Chính 1, P. Phú Trung, Q. Tân Phú</t>
  </si>
  <si>
    <t>Nguyễn Thị Minh</t>
  </si>
  <si>
    <t>Phượng</t>
  </si>
  <si>
    <t>024716347</t>
  </si>
  <si>
    <t>phuongntm@topica.edu.vn</t>
  </si>
  <si>
    <t>0839751625</t>
  </si>
  <si>
    <t>0935 798 855</t>
  </si>
  <si>
    <t>8.01 D, chung cư Ruby Garden, 2A Nguyễn Sỹ Sách, F15, Q.TB</t>
  </si>
  <si>
    <t>Nguyễn Thị Thúy</t>
  </si>
  <si>
    <t>Hoàng Minh</t>
  </si>
  <si>
    <t>023464807</t>
  </si>
  <si>
    <t>ĐH Hàng Hải Việt Nam</t>
  </si>
  <si>
    <t>thonghm@topica.edu.vn</t>
  </si>
  <si>
    <t>08 39753798</t>
  </si>
  <si>
    <t>0933 233 292</t>
  </si>
  <si>
    <t>338/51/3A Âu Cơ, P10, Quận Tân Bình, TPHCM</t>
  </si>
  <si>
    <t>Chung Thị Huyền</t>
  </si>
  <si>
    <t>Trân</t>
  </si>
  <si>
    <t>Trà Vinh</t>
  </si>
  <si>
    <t>Trà Vinh</t>
  </si>
  <si>
    <t>334189143</t>
  </si>
  <si>
    <t>trancth@topica.edu.vn</t>
  </si>
  <si>
    <t>0743841016</t>
  </si>
  <si>
    <t>0938 717 248</t>
  </si>
  <si>
    <t>Ấp Kỳ La, Hòa Thuận, Châu Thành, Trà Vinh</t>
  </si>
  <si>
    <t>121A/15C Hậu Giang, P5, Q6, Tp HCM</t>
  </si>
  <si>
    <t>183524486</t>
  </si>
  <si>
    <t>ĐH Khoa học Xã hội Nhân văn</t>
  </si>
  <si>
    <t>ngantt@topica.edu.vn</t>
  </si>
  <si>
    <t>097 505 6568</t>
  </si>
  <si>
    <t>276 Đội Cung, Q11, TPHCM</t>
  </si>
  <si>
    <t>PHCF</t>
  </si>
  <si>
    <t>Đào Quang</t>
  </si>
  <si>
    <t>012546843</t>
  </si>
  <si>
    <t>ducdq.ctv@topica.edu.vn</t>
  </si>
  <si>
    <t>043.540553</t>
  </si>
  <si>
    <t>0165 612 1996</t>
  </si>
  <si>
    <t>Tổ 33, Nghĩa Đô, Hà Nội</t>
  </si>
  <si>
    <t>Số 7, Ngõ 9, đường 800A, Tổ 33, Nghĩa Đô, Cầu Giấy, Hà Nội</t>
  </si>
  <si>
    <t>Trần Thu</t>
  </si>
  <si>
    <t>012651376</t>
  </si>
  <si>
    <t>CĐ APTech - FPT</t>
  </si>
  <si>
    <t>vantt2@topica.edu.vn</t>
  </si>
  <si>
    <t>0942 415 989</t>
  </si>
  <si>
    <t>240-B6, Tâm Mai, Hà Nội</t>
  </si>
  <si>
    <t>Số 44, Ngõ 276, Phố Đại Từ, Phường Đại Kim, Q.Hoàng Mai, Hà Nội</t>
  </si>
  <si>
    <t>8116822483</t>
  </si>
  <si>
    <t>Đặng Lê Linh</t>
  </si>
  <si>
    <t>012521259</t>
  </si>
  <si>
    <t>chidll@topica.edu.vn</t>
  </si>
  <si>
    <t>043 823 5004</t>
  </si>
  <si>
    <t>0959 202 898</t>
  </si>
  <si>
    <t>Số 04, Tập thể ủy ban khoa học nông nghiệp, Kim Mã, Ba Đình, HN</t>
  </si>
  <si>
    <t>Trần Mạnh</t>
  </si>
  <si>
    <t>Công</t>
  </si>
  <si>
    <t>162801659</t>
  </si>
  <si>
    <t>congtm@topica.edu.vn</t>
  </si>
  <si>
    <t>0466 593 564</t>
  </si>
  <si>
    <t>0982 662 686</t>
  </si>
  <si>
    <t>Côộng Hòa, Vụ Bản, Nam Định</t>
  </si>
  <si>
    <t>P 1004, CT8A, Khu ĐT Văn Quán, Hà Đông</t>
  </si>
  <si>
    <t>Đỗ Xuân</t>
  </si>
  <si>
    <t>Khoa</t>
  </si>
  <si>
    <t>012571166</t>
  </si>
  <si>
    <t>khoadx@topica.edu.vn</t>
  </si>
  <si>
    <t>043 7564 676</t>
  </si>
  <si>
    <t>01999 78 2222</t>
  </si>
  <si>
    <t>101 C3, Nghĩa Tân, Cầu Giấy, HN</t>
  </si>
  <si>
    <t>TPT</t>
  </si>
  <si>
    <t>Nguyễn Trọng</t>
  </si>
  <si>
    <t>Duy</t>
  </si>
  <si>
    <t>012681823</t>
  </si>
  <si>
    <t>duynt@topica.edu.vn</t>
  </si>
  <si>
    <t>043 784 6020</t>
  </si>
  <si>
    <t>0917 381 989</t>
  </si>
  <si>
    <t>Hoàng Cầu, Ô chợ Dừa, Đống Đa, HN</t>
  </si>
  <si>
    <t>17c, Nguyễn Khang, Trung Hòa, Cầu Giấy, HN</t>
  </si>
  <si>
    <t>Nguyễn Thuần</t>
  </si>
  <si>
    <t>Chất</t>
  </si>
  <si>
    <t>121773208</t>
  </si>
  <si>
    <t>chatnt@topica.edu.vn</t>
  </si>
  <si>
    <t>0983 088 259</t>
  </si>
  <si>
    <t>Tân Thịnh, Lạng Giang, Bắc Giang</t>
  </si>
  <si>
    <t>230710634</t>
  </si>
  <si>
    <t>hungnt@topica.edu.vn</t>
  </si>
  <si>
    <t>0978 415 402</t>
  </si>
  <si>
    <t>Iapiar, Ayunpa, Gia Lai</t>
  </si>
  <si>
    <t>Chớn</t>
  </si>
  <si>
    <t>142344802</t>
  </si>
  <si>
    <t>ĐH Sài Gòn</t>
  </si>
  <si>
    <t>chonnd@topica.edu.vn</t>
  </si>
  <si>
    <t>032036296812</t>
  </si>
  <si>
    <t>0908956105</t>
  </si>
  <si>
    <t>Trịnh Xuyên, Nghĩa An, Ninh Giang, Hải Dương</t>
  </si>
  <si>
    <t>Số 39, đường Nguyễn Bá Huân, Phường Thảo Điền, Quận 2, TPHCM</t>
  </si>
  <si>
    <t>Đỗ Thị Kim</t>
  </si>
  <si>
    <t>Thuyền</t>
  </si>
  <si>
    <t>TT Huế</t>
  </si>
  <si>
    <t>TT Huế</t>
  </si>
  <si>
    <t>245032169</t>
  </si>
  <si>
    <t>ĐăK Nông</t>
  </si>
  <si>
    <t>ĐH Kỹ Thuật Công Nghệ TP.HCM</t>
  </si>
  <si>
    <t>thuyendtk@topica.edu.vn</t>
  </si>
  <si>
    <t>0976 562 378</t>
  </si>
  <si>
    <t>309 thôn 7, Nam Dong, Cư Jut, Đăk Nông</t>
  </si>
  <si>
    <t>489A/23A/112 Huỳnh Văn Bách, Phường 13, Q. Phú Nhuận</t>
  </si>
  <si>
    <t>Thuận</t>
  </si>
  <si>
    <t>Tiền Giang</t>
  </si>
  <si>
    <t>Tiền Giang</t>
  </si>
  <si>
    <t>311748112</t>
  </si>
  <si>
    <t>thuanld@topica.edu.vn</t>
  </si>
  <si>
    <t>0902405034</t>
  </si>
  <si>
    <t>47, Đường số 06, Khu Bình Đăng, P6, Quận 8, TPHCM</t>
  </si>
  <si>
    <t>Lê Trần Tuyết</t>
  </si>
  <si>
    <t>Nha Trang</t>
  </si>
  <si>
    <t>225356790</t>
  </si>
  <si>
    <t>nhungltt@topica.edu.vn</t>
  </si>
  <si>
    <t>01228895512</t>
  </si>
  <si>
    <t>391 Hà Ra, Nha Trang, Khánh Hòa</t>
  </si>
  <si>
    <t>132/4C Thống Nhất, P16, Gò Vấp</t>
  </si>
  <si>
    <t>Tình</t>
  </si>
  <si>
    <t>197151798</t>
  </si>
  <si>
    <t>ĐH SP Huế</t>
  </si>
  <si>
    <t>tinhnt@topica.edu.vn</t>
  </si>
  <si>
    <t>0909147278</t>
  </si>
  <si>
    <t>419/14/27 Đường 48, P.Hiệp Bình Chánh, Q. Thủ Đức, TP.HCM</t>
  </si>
  <si>
    <t>Châu Thị Tố</t>
  </si>
  <si>
    <t>221213610</t>
  </si>
  <si>
    <t>tramctt@topica.edu.vn</t>
  </si>
  <si>
    <t>0979499407</t>
  </si>
  <si>
    <t>Phú Lộc, Hòa Thắng, Phú Hòa, Phú Yên.</t>
  </si>
  <si>
    <t>128/16 Bành Văn Trân, P7, Q.Tân Bình, TPHCM</t>
  </si>
  <si>
    <t>Nguyễn Quang</t>
  </si>
  <si>
    <t>Trọng</t>
  </si>
  <si>
    <t>012291356</t>
  </si>
  <si>
    <t>trongnq@topica.edu.vn</t>
  </si>
  <si>
    <t>01663332959</t>
  </si>
  <si>
    <t>P305, 4F, Trung Yên, Yên Hòa, Cầu Giấy, HN</t>
  </si>
  <si>
    <t>172743248</t>
  </si>
  <si>
    <t>Kinh tế và Quản lý</t>
  </si>
  <si>
    <t>loanntt@topica.edu.vn</t>
  </si>
  <si>
    <t>0988 303 586</t>
  </si>
  <si>
    <t>Số 43, Tổ 6, Khương Trung, Thanh Xuân, Hà Nội</t>
  </si>
  <si>
    <t>Trần Tuệ</t>
  </si>
  <si>
    <t>012667740</t>
  </si>
  <si>
    <t>Kinh tế thương mại</t>
  </si>
  <si>
    <t>antt@topica.edu.vn</t>
  </si>
  <si>
    <t>0438644497</t>
  </si>
  <si>
    <t>01656 060 031</t>
  </si>
  <si>
    <t>86C, Tổ 18B, Tương Mai, Hoàng Mai, Hà Nội</t>
  </si>
  <si>
    <t>POST</t>
  </si>
  <si>
    <t>012614173</t>
  </si>
  <si>
    <t>ĐH Dân tộc Quản Tây</t>
  </si>
  <si>
    <t>Ktế và Mậu dịch TMQT</t>
  </si>
  <si>
    <t>hattt@topica.edu.vn</t>
  </si>
  <si>
    <t>0947606055</t>
  </si>
  <si>
    <t>28 Nguyễn Trường Tộ, Ba Đình, Hà Nội</t>
  </si>
  <si>
    <t>PAWT</t>
  </si>
  <si>
    <t>131619180</t>
  </si>
  <si>
    <t>Văn hóa du lịch</t>
  </si>
  <si>
    <t>thunt@topica.edu.vn</t>
  </si>
  <si>
    <t>0984 721 982</t>
  </si>
  <si>
    <t>Thôn Đại Từ, Lam Điền, Chương Mỹ, Hà Nội</t>
  </si>
  <si>
    <t>Số 264, tập thể 918 sân bay Gia Lâm</t>
  </si>
  <si>
    <t>250755079</t>
  </si>
  <si>
    <t>xuanntt3@topica.edu.vn</t>
  </si>
  <si>
    <t>01689665234</t>
  </si>
  <si>
    <t>Hòa Trung, Di Linh, Lâm Đồng</t>
  </si>
  <si>
    <t>Lương Hoàng</t>
  </si>
  <si>
    <t>100783601</t>
  </si>
  <si>
    <t>namlh@topica.edu.vn</t>
  </si>
  <si>
    <t>0333728374</t>
  </si>
  <si>
    <t>0989 066 582</t>
  </si>
  <si>
    <t>Tổ 11, Khối I, Cẩm Phú, Cẩm Phả, Quảng Ninh</t>
  </si>
  <si>
    <t>Nhà 3, Ngõ 251, Vũ Hữu, Thanh Xuân, Hà Nội</t>
  </si>
  <si>
    <t>Vũ Tuấn</t>
  </si>
  <si>
    <t>172026589</t>
  </si>
  <si>
    <t>Toán tin ứng dụng</t>
  </si>
  <si>
    <t>anhvt@topica.edu.vn</t>
  </si>
  <si>
    <t>0373757040</t>
  </si>
  <si>
    <t>0986574333</t>
  </si>
  <si>
    <t>96 Đông Tác, Đông Thọ, Thanh Hóa</t>
  </si>
  <si>
    <t>8/326 Nguyễn Trãi, Hà Nội</t>
  </si>
  <si>
    <t>Trần Thị Thúy</t>
  </si>
  <si>
    <t>111919768</t>
  </si>
  <si>
    <t>hongttt@topica.edu.vn</t>
  </si>
  <si>
    <t>0466824623</t>
  </si>
  <si>
    <t>0988359715</t>
  </si>
  <si>
    <t>Văn Quán, Hà Đông, Hà Nội</t>
  </si>
  <si>
    <t>Số 121, ngõ 233, đường Chiến Thắng, Văn Quán, Hà Đông, HN</t>
  </si>
  <si>
    <t>Duyên</t>
  </si>
  <si>
    <t>135199669</t>
  </si>
  <si>
    <t>duyenpt@topica.edu.vn</t>
  </si>
  <si>
    <t>0211872234</t>
  </si>
  <si>
    <t>0986 535 218</t>
  </si>
  <si>
    <t>Tổ 5, phường Hùng Vương, thị xã Phúc Yên, Vĩnh Phúc</t>
  </si>
  <si>
    <t>Số 51, Xuân La, Tây Hồ, Hà Nội</t>
  </si>
  <si>
    <t>012016309</t>
  </si>
  <si>
    <t>anhltk@topica.edu.vn</t>
  </si>
  <si>
    <t>37846487</t>
  </si>
  <si>
    <t>0989066582</t>
  </si>
  <si>
    <t>Số 2, Ngõ 329, đường Cầu Giấy, Hà Nội</t>
  </si>
  <si>
    <t>Xoan</t>
  </si>
  <si>
    <t>xoannt@topica.edu.vn</t>
  </si>
  <si>
    <t>TWE</t>
  </si>
  <si>
    <t>186354077</t>
  </si>
  <si>
    <t>thuylt2@topica.edu.vn</t>
  </si>
  <si>
    <t>0904097103</t>
  </si>
  <si>
    <t>Số 289/7 đường Ung Văn Khiêm, phường 25,, Quận Bình Thạnh,HCM</t>
  </si>
  <si>
    <t>PHCH</t>
  </si>
  <si>
    <t>Võ Anh</t>
  </si>
  <si>
    <t>261004493</t>
  </si>
  <si>
    <t>Giáo dục</t>
  </si>
  <si>
    <t>tuva@topica.edu.vn</t>
  </si>
  <si>
    <t>0902 787 987/ 0902 681 624</t>
  </si>
  <si>
    <t>Tân Nghĩa, Hàm Tân, Bình Thuận</t>
  </si>
  <si>
    <t>25c/11 Hoài Thanh, P.14, Q.8, TPHCM</t>
  </si>
  <si>
    <t>012502036</t>
  </si>
  <si>
    <t>hantt4@topica.edu.vn</t>
  </si>
  <si>
    <t>37190951</t>
  </si>
  <si>
    <t>0975830980</t>
  </si>
  <si>
    <t>Tổ 2, cụm 1, phường Tứ  Liên, Tây Hồ, Hà Nội</t>
  </si>
  <si>
    <t>Sôố 1, hẻm 124/22/47 Âu Cơ, Tây Hồ, Hà Nội</t>
  </si>
  <si>
    <t>Vũ Hương</t>
  </si>
  <si>
    <t>173341007</t>
  </si>
  <si>
    <t>giangvh@topica.edu.vn</t>
  </si>
  <si>
    <t>0987426266</t>
  </si>
  <si>
    <t>Nguyễn Minh</t>
  </si>
  <si>
    <t>111773428</t>
  </si>
  <si>
    <t>Quản trị DN Thương mại</t>
  </si>
  <si>
    <t>tuannm@topica.edu.vn</t>
  </si>
  <si>
    <t>0983566135</t>
  </si>
  <si>
    <t>P102, C10, TT Quỳnh Mai, Q. HBT, Hà Nội</t>
  </si>
  <si>
    <t>Đào Thanh</t>
  </si>
  <si>
    <t>013302332</t>
  </si>
  <si>
    <t>ĐH Tổng hợp Quản lý Quốc Gia -  LB Nga</t>
  </si>
  <si>
    <t>Quản lý tài chính</t>
  </si>
  <si>
    <t>binhdt2@topica.edu.vn</t>
  </si>
  <si>
    <t>66625492</t>
  </si>
  <si>
    <t>0942 248 839</t>
  </si>
  <si>
    <t>Số 16, ngách 34A/24, Trần Phú, Điện Biên, Ba Đình, Hà Nội</t>
  </si>
  <si>
    <t>Số 9B, ngõ 25, đường Tây Hồ, Quảng An, Tây Hồ, Hà Nội</t>
  </si>
  <si>
    <t>Phạm Thị Hồng</t>
  </si>
  <si>
    <t>Thắm</t>
  </si>
  <si>
    <t>Hà Tĩnh</t>
  </si>
  <si>
    <t>183648178</t>
  </si>
  <si>
    <t>Kinh tế và quản trị kinh doanh</t>
  </si>
  <si>
    <t>thampth@topica.edu.vn</t>
  </si>
  <si>
    <t>01674544198</t>
  </si>
  <si>
    <t>Xã Long Sơn, Huyện Hương Sơn, Tỉnh Hà Tĩnh</t>
  </si>
  <si>
    <t>Số 23/77/211 phường Khương Trung, quận Thanh Xuân, HN</t>
  </si>
  <si>
    <t>024292473</t>
  </si>
  <si>
    <t>thaott@topica.edu.vn</t>
  </si>
  <si>
    <t>0984198159</t>
  </si>
  <si>
    <t>Tổ 6, xã Tân Thạnh Tây, huyện Củ Chi. TPHCM</t>
  </si>
  <si>
    <t>Quận 6, TPHCM</t>
  </si>
  <si>
    <t>Cao Thị Ngọc</t>
  </si>
  <si>
    <t>365741705</t>
  </si>
  <si>
    <t>Sóc Trăng</t>
  </si>
  <si>
    <t>phuongctn@topica.edu.vn</t>
  </si>
  <si>
    <t>0796533080</t>
  </si>
  <si>
    <t>01208332062,
 01659926596</t>
  </si>
  <si>
    <t>09, lộ 3, phường 2, thị xã Sóc Trăng, tỉnh Sóc Trăng</t>
  </si>
  <si>
    <t>42A/1 ký túc xá Đại học luật, đường số 27, phường Hiệp Bình Chánh, Quận Thủ Đức, TP HCM.</t>
  </si>
  <si>
    <t>Đà Nẵng</t>
  </si>
  <si>
    <t>260845355</t>
  </si>
  <si>
    <t>CA. Bình Thuận</t>
  </si>
  <si>
    <t>mailt@topica.edu.vn</t>
  </si>
  <si>
    <t>0907 893 171/ 0977360753</t>
  </si>
  <si>
    <t>Đức Linh, Bình Thuận</t>
  </si>
  <si>
    <t>PSGN</t>
  </si>
  <si>
    <t>Trần Quốc</t>
  </si>
  <si>
    <t>022948273</t>
  </si>
  <si>
    <t>vutq@topica.edu.vn</t>
  </si>
  <si>
    <t>838725978</t>
  </si>
  <si>
    <t>0908323322</t>
  </si>
  <si>
    <t>42 Huỳnh Tịnh Của, P19, Bình Thạnh, Hồ Chí Minh</t>
  </si>
  <si>
    <t>75/7F Lâm Văn Bền, P.Tân Thuận Tây, Q.7, Tp.Hồ Chí Minh</t>
  </si>
  <si>
    <t>Văn Minh</t>
  </si>
  <si>
    <t>An Giang</t>
  </si>
  <si>
    <t>An Giang</t>
  </si>
  <si>
    <t>351261795</t>
  </si>
  <si>
    <t>chauvm@topica.edu.vn</t>
  </si>
  <si>
    <t>62581714</t>
  </si>
  <si>
    <t>0982952694</t>
  </si>
  <si>
    <t>19 A Hà Hoàng Hổ - Huyện Tân Châu- An Giang</t>
  </si>
  <si>
    <t>1406 - C1 Cao ốc Thạnh Mỹ Lợi, Quận 2 Tp.HCM</t>
  </si>
  <si>
    <t>Nguyễn Công</t>
  </si>
  <si>
    <t>023650362</t>
  </si>
  <si>
    <t>HV Hành Chính (cơ sở phía Nam)</t>
  </si>
  <si>
    <t>Hành chính</t>
  </si>
  <si>
    <t>thanhnc@topica.edu.vn</t>
  </si>
  <si>
    <t>08.66600969</t>
  </si>
  <si>
    <t>0987 101 081</t>
  </si>
  <si>
    <t>235B/46 L2 Nguyễn Văn Cừ, P. Nguyễn Cư Trinh, Q.1, TP. HCM</t>
  </si>
  <si>
    <t>77/38 Lê Hoàng Phái, P.17, Q. Gò Vấp, TP. HCM</t>
  </si>
  <si>
    <t>Nguyễn Thị Mỹ</t>
  </si>
  <si>
    <t>ĐH Mở thành phố Hồ Chí Minh</t>
  </si>
  <si>
    <t>ngantm@topica.edu.vn</t>
  </si>
  <si>
    <t>01659 926 596</t>
  </si>
  <si>
    <t>42A/1 ký túc xá Đại học luật, đường số 27, phường Hiệp Bình Chánh, Quận Thủ Đức, TP HCM.</t>
  </si>
  <si>
    <t>Vi Thị</t>
  </si>
  <si>
    <t>245104434</t>
  </si>
  <si>
    <t>Đăk Nông</t>
  </si>
  <si>
    <t>hangvt@topica.edu.vn</t>
  </si>
  <si>
    <t>0973739296</t>
  </si>
  <si>
    <t>61A/61B, Phan Huy Ích, Phường 5, Quận Gò Vấp, HCM.</t>
  </si>
  <si>
    <t>PHCO</t>
  </si>
  <si>
    <t>Phạm Văn</t>
  </si>
  <si>
    <t>Hoàn</t>
  </si>
  <si>
    <t>23/1/1990</t>
  </si>
  <si>
    <t>031211825</t>
  </si>
  <si>
    <t>ĐH KH tự nhiên HN
ĐH Bách khoa HN</t>
  </si>
  <si>
    <t>hoanpv@topica.edu.vn</t>
  </si>
  <si>
    <t>0936001655</t>
  </si>
  <si>
    <t>418 - Đường Xô viết nghệ tĩnh - Quận Bình Thạnh - TP Hồ Chí Minh</t>
  </si>
  <si>
    <t>Trần Vũ Ngọc</t>
  </si>
  <si>
    <t>Hân</t>
  </si>
  <si>
    <t>024081649</t>
  </si>
  <si>
    <t>Đại học HUFLIT</t>
  </si>
  <si>
    <t>hantvn@topica.edu.vn</t>
  </si>
  <si>
    <t>01682033707</t>
  </si>
  <si>
    <t>731B Nguyễn Văn Quá, P.ĐHT, Q.12, TP.HCM</t>
  </si>
  <si>
    <t>Huỳnh Thị Lệ</t>
  </si>
  <si>
    <t>Bà rịa Vũng Tàu</t>
  </si>
  <si>
    <t>273225097</t>
  </si>
  <si>
    <t>Bà Rịa Vũng Tàu</t>
  </si>
  <si>
    <t>dunghtl@topica.edu.vn</t>
  </si>
  <si>
    <t>0643504245</t>
  </si>
  <si>
    <t>0978 499 843</t>
  </si>
  <si>
    <t>Xuân Sơn, Châu Đức, BRVT</t>
  </si>
  <si>
    <t>163/5 Thành Thái, P12, Q10</t>
  </si>
  <si>
    <t>OXT</t>
  </si>
  <si>
    <t>thaontt@topica.edu.vn</t>
  </si>
  <si>
    <t>Đào Thu</t>
  </si>
  <si>
    <t>024314047</t>
  </si>
  <si>
    <t>ngandt@topica.edu.vn</t>
  </si>
  <si>
    <t>0905664468</t>
  </si>
  <si>
    <t>44/9A Khu Phố TT Nhà Bè, TPHCM</t>
  </si>
  <si>
    <t>Cao Thị</t>
  </si>
  <si>
    <t>186483982</t>
  </si>
  <si>
    <t>Học viện Hành chính</t>
  </si>
  <si>
    <t>quynhct@topica.edu.vn</t>
  </si>
  <si>
    <t>0973076241</t>
  </si>
  <si>
    <t>160/47/6 Phan Huy Ichs, F12, Gò Vấp</t>
  </si>
  <si>
    <t>Doãn Đức</t>
  </si>
  <si>
    <t>Hiển</t>
  </si>
  <si>
    <t>012209872</t>
  </si>
  <si>
    <t>hiendd@topica.edu.vn</t>
  </si>
  <si>
    <t>0976371984</t>
  </si>
  <si>
    <t>Cẩm Sơn, Anh Sơn, Nghệ An</t>
  </si>
  <si>
    <t>160/47/6 Phan Huy Ichs, F12, Gò Vấp</t>
  </si>
  <si>
    <t>173630023</t>
  </si>
  <si>
    <t>ĐH Dân Lập Văn Lang</t>
  </si>
  <si>
    <t>thult@topica.edu.vn</t>
  </si>
  <si>
    <t>01667874094</t>
  </si>
  <si>
    <t>Đội 5, Thọ Nguyên, Thọ Xuân, Thanh Hóa</t>
  </si>
  <si>
    <t>71/3 Bùi Đình Túy, P.12, Bình Thạnh, TPHCM</t>
  </si>
  <si>
    <t>142234305</t>
  </si>
  <si>
    <t>ĐH Kinh tế Kỹ thuật Công nghiệp</t>
  </si>
  <si>
    <t>quyenvt@topica.edu.vn</t>
  </si>
  <si>
    <t>0986660231</t>
  </si>
  <si>
    <t>Văn Giang, Ninh Giang, Hải Dương</t>
  </si>
  <si>
    <t>số 6  phố Tây kết - Hai Bà Trưng - Hà Nội</t>
  </si>
  <si>
    <t>Nguyễn Năng</t>
  </si>
  <si>
    <t>162820431</t>
  </si>
  <si>
    <t>dienpv@topica.edu.vn</t>
  </si>
  <si>
    <t>0903 212 282</t>
  </si>
  <si>
    <t>TT Cát Thành - Trực Ninh, Nam Định</t>
  </si>
  <si>
    <t>93/12/10 Giáp Nhị - Thịnh Liệt, Hoàng Mai - Hà Nội.</t>
  </si>
  <si>
    <t>Phạm Văn Giáo</t>
  </si>
  <si>
    <t>bố</t>
  </si>
  <si>
    <t>0917695216</t>
  </si>
  <si>
    <t>Thử việc</t>
  </si>
  <si>
    <t>Lâm Thị Ngọc</t>
  </si>
  <si>
    <t>023906784</t>
  </si>
  <si>
    <t>THPT</t>
  </si>
  <si>
    <t>hueltn@topica.edu.vn</t>
  </si>
  <si>
    <t>0908644727
0938771505</t>
  </si>
  <si>
    <t>Sạp 105 chợ Cầu Ông Lãnh Phường Cầu Ông Lãnh, Quận 1</t>
  </si>
  <si>
    <t>Kiều Ngọc</t>
  </si>
  <si>
    <t>Quý</t>
  </si>
  <si>
    <t>250552052</t>
  </si>
  <si>
    <t>quykn@topica.edu.vn</t>
  </si>
  <si>
    <t>0909929567</t>
  </si>
  <si>
    <t>TT Nam Ban, Lâm Hà, Lâm Đồng</t>
  </si>
  <si>
    <t>68/15 Nơ Trang Long, P13, Q.BT</t>
  </si>
  <si>
    <t>Bùi Thị Hải</t>
  </si>
  <si>
    <t>013464387</t>
  </si>
  <si>
    <t>yenbth@topica.edu.vn</t>
  </si>
  <si>
    <t>0435636808</t>
  </si>
  <si>
    <t>0985 057 687</t>
  </si>
  <si>
    <t>Số 11 ngách 7/16 Thái Thịnh, Đống Đa, Hà Nội.</t>
  </si>
  <si>
    <t>Chu Thị Hiền</t>
  </si>
  <si>
    <t>01667057320</t>
  </si>
  <si>
    <t>Chu Thị</t>
  </si>
  <si>
    <t>112299867</t>
  </si>
  <si>
    <t>CĐ Sư phạm Hà Tây</t>
  </si>
  <si>
    <t>thuyct@topica.edu.vn</t>
  </si>
  <si>
    <t>0433626768</t>
  </si>
  <si>
    <t>0984 757 687</t>
  </si>
  <si>
    <t>Thôn Đông Lâu, xã Phú Đông, Ba Vì, Hà Nội</t>
  </si>
  <si>
    <t>Phòng 205A, khu TT B10 Kim Liên</t>
  </si>
  <si>
    <t>Đinh Thị Phương</t>
  </si>
  <si>
    <t>183511631</t>
  </si>
  <si>
    <t>Quản lý Giáo dục</t>
  </si>
  <si>
    <t>dungtp@topica.edu.vn</t>
  </si>
  <si>
    <t>01696652804</t>
  </si>
  <si>
    <t>Thạch Tân, Thạch Hà, Hà Tĩnh</t>
  </si>
  <si>
    <t>116/10 Bành Văn Trân, P.7, Q. Tân Bình, TP.HCM</t>
  </si>
  <si>
    <t>141725727</t>
  </si>
  <si>
    <t>ĐH Văn Hóa Hà Nội</t>
  </si>
  <si>
    <t>Thông tin thư viện</t>
  </si>
  <si>
    <t>huongnt3@topica.edu.vn</t>
  </si>
  <si>
    <t>0320525635</t>
  </si>
  <si>
    <t>0983 611 477</t>
  </si>
  <si>
    <t>B6, TT ĐH Mỏ địa chất - Hoàng Quốc Việt - Cầu Giấy</t>
  </si>
  <si>
    <t>Vũ Thị Minh</t>
  </si>
  <si>
    <t>Nguyệt</t>
  </si>
  <si>
    <t>161822031</t>
  </si>
  <si>
    <t>nguyetvtm@topica.edu.vn</t>
  </si>
  <si>
    <t>0948 262 619</t>
  </si>
  <si>
    <t>23/13 TTN18, Tân Thới Nhất, Q.12, TPHCM</t>
  </si>
  <si>
    <t>23/13 TTN18, Tân Thới Nhất, Q12, TPHCM</t>
  </si>
  <si>
    <t>PSAH</t>
  </si>
  <si>
    <t>173003995</t>
  </si>
  <si>
    <t>Trung cấp Dược Phú Thọ</t>
  </si>
  <si>
    <t>Dược sỹ</t>
  </si>
  <si>
    <t>maitt@topica.edu.vn</t>
  </si>
  <si>
    <t>0977105460</t>
  </si>
  <si>
    <t>Ung Văn Khiêm, P25, Q. Bình Thạnh</t>
  </si>
  <si>
    <t>Nguyễn Vân</t>
  </si>
  <si>
    <t>112188436</t>
  </si>
  <si>
    <t>Ngôn ngữ và văn hóa Nga</t>
  </si>
  <si>
    <t>huongnv@topica.edu.vn</t>
  </si>
  <si>
    <t>0433980437</t>
  </si>
  <si>
    <t>0979 348 857</t>
  </si>
  <si>
    <t>29, Hoàng Xá, TT Vân Đình, Ứng Hòa, Hà Nội</t>
  </si>
  <si>
    <t>Số 9, dãy B, ngõ 2, Quang Trung, Hà Đông, Hà Nội</t>
  </si>
  <si>
    <t>162726836</t>
  </si>
  <si>
    <t>thangtm@topicaiedu.vn</t>
  </si>
  <si>
    <t>0123 9149 159</t>
  </si>
  <si>
    <t>Tổ 8, Phan Bội Châu, Nam Định</t>
  </si>
  <si>
    <t>Số 10, ngõ 93, Giáp Nhị, Hà Nội</t>
  </si>
  <si>
    <t>080513642</t>
  </si>
  <si>
    <t>Du lịch</t>
  </si>
  <si>
    <t>dungnt3@topica.edu.vn</t>
  </si>
  <si>
    <t>0977999131</t>
  </si>
  <si>
    <t>007, Xuân Trường, Hợp Giang, Cao bằng</t>
  </si>
  <si>
    <t>Cầu Giấy, Hà Nội</t>
  </si>
  <si>
    <t>Lê Thị Thanh</t>
  </si>
  <si>
    <t>240976561</t>
  </si>
  <si>
    <t>CA Daklak</t>
  </si>
  <si>
    <t>huongltt2@topica.edu.vn</t>
  </si>
  <si>
    <t>01688 738 262</t>
  </si>
  <si>
    <t>Thị trấn Eakarnop, Eakar, Daklak</t>
  </si>
  <si>
    <t>606/49 Đường 3/2, Q.10, TP HCM</t>
  </si>
  <si>
    <t>Huỳnh Việt</t>
  </si>
  <si>
    <t>Lào</t>
  </si>
  <si>
    <t>221230067</t>
  </si>
  <si>
    <t>laohv@topica.edu.vn</t>
  </si>
  <si>
    <t>0866597647</t>
  </si>
  <si>
    <t>0912 097 772</t>
  </si>
  <si>
    <t>Tổ 2, Thôn Tân Yên, Xã Ealy, Huyện Sông Hinh, Tỉnh Phú Yên</t>
  </si>
  <si>
    <t>1050/13/4 Quang Trung, Phường 8, Gò Vấp</t>
  </si>
  <si>
    <t>Lê Thị Bích</t>
  </si>
  <si>
    <t>112371499</t>
  </si>
  <si>
    <t>Kinh tế đầu tư</t>
  </si>
  <si>
    <t>ngocltb@topica.edu.vn</t>
  </si>
  <si>
    <t>0433241773</t>
  </si>
  <si>
    <t>01674 530 060</t>
  </si>
  <si>
    <t>Phương Trung, Thanh Oai, Hà Nội</t>
  </si>
  <si>
    <t>Số 18, ngách 255/50, Dịch Vọng, Cầu Giấy, Hà Nội</t>
  </si>
  <si>
    <t>Triệu Bích</t>
  </si>
  <si>
    <t>012098234</t>
  </si>
  <si>
    <t>CĐ Văn thư Lưu trữ Trung ương 1</t>
  </si>
  <si>
    <t>Tin học văn phòng</t>
  </si>
  <si>
    <t>haotb@topica.edu.vn</t>
  </si>
  <si>
    <t>0466831980</t>
  </si>
  <si>
    <t>0983588351</t>
  </si>
  <si>
    <t>Tổ 34, Lĩnh Nam, Hoàng Mai, Hà Nội</t>
  </si>
  <si>
    <t>Quách Thị Hồng</t>
  </si>
  <si>
    <t>271740198</t>
  </si>
  <si>
    <t>vanqth@topica.edu.vn</t>
  </si>
  <si>
    <t>0932787477</t>
  </si>
  <si>
    <t>78/1 KP8A Tân Biên - Biên Hòa - Đồng Nai</t>
  </si>
  <si>
    <t>61A - 61B đường 38, P.12, Q.Gò Vấp, Tp.HCM</t>
  </si>
  <si>
    <t>Nguyễn Thị Anh</t>
  </si>
  <si>
    <t>321282510</t>
  </si>
  <si>
    <t>thunta@topica.edu.vn</t>
  </si>
  <si>
    <t>0909 930 358</t>
  </si>
  <si>
    <t>56 đường 3/2 phường 3 thị xã Bến tre</t>
  </si>
  <si>
    <t>122/32K An Bình p5 q5</t>
  </si>
  <si>
    <t>TSZ</t>
  </si>
  <si>
    <t>PSZQ</t>
  </si>
  <si>
    <t>Đống Nai</t>
  </si>
  <si>
    <t>CĐ Công nghệ và QTDN</t>
  </si>
  <si>
    <t>hienntt@topica.edu.vn</t>
  </si>
  <si>
    <t>0978296179</t>
  </si>
  <si>
    <t>424/6 Lê Văn Quới, Bình Tân</t>
  </si>
  <si>
    <t>Nguyễn Bình Bảo</t>
  </si>
  <si>
    <t>250710371</t>
  </si>
  <si>
    <t>CĐ Văn Hóa Nghệ Thuật&amp; Du Lịch Sài Gòn</t>
  </si>
  <si>
    <t>uyennbb@topica.edu.vn</t>
  </si>
  <si>
    <t>0979079711</t>
  </si>
  <si>
    <t>số 45, đường D11, Tân Thạnh , Tân Phú</t>
  </si>
  <si>
    <t>012606813</t>
  </si>
  <si>
    <t>Quản trị kinh doanh quốc tế</t>
  </si>
  <si>
    <t>thaonp2@topica.edu.vn</t>
  </si>
  <si>
    <t>0435115320</t>
  </si>
  <si>
    <t>0983 241 866</t>
  </si>
  <si>
    <t>29 Hàng Gà, Hoàn Kiếm, Hà Nội</t>
  </si>
  <si>
    <t>16 ngõ 32A, Hào Nam, Đống Đa, Hà Nội</t>
  </si>
  <si>
    <t>162777077</t>
  </si>
  <si>
    <t>ngant@topica.edu.vn</t>
  </si>
  <si>
    <t>0936 109 818</t>
  </si>
  <si>
    <t>Giao Tân, Giao Thủy, Nam Định</t>
  </si>
  <si>
    <t>SN 3, ngõ 77/9 Bùi Xương Trạch, TX, Hà Nội</t>
  </si>
  <si>
    <t>012228136</t>
  </si>
  <si>
    <t>CĐ Thương mại và Du lịch Hà Nội</t>
  </si>
  <si>
    <t>Ngoại ngữ</t>
  </si>
  <si>
    <t>trangtt@topica.edu.vn</t>
  </si>
  <si>
    <t>0466572425</t>
  </si>
  <si>
    <t>0914 888 682</t>
  </si>
  <si>
    <t>185 Hoàng Hạnh, Phúc Tân, Hoàn Kiếm, Hà Nội</t>
  </si>
  <si>
    <t>25/33 Nguyễn Khiết, Phúc Tân, Hoàn Kiếm, Hà Nội</t>
  </si>
  <si>
    <t>Nguyễn Cao Thanh</t>
  </si>
  <si>
    <t>Tây Nguyên</t>
  </si>
  <si>
    <t>240815876</t>
  </si>
  <si>
    <t>ĐH kinh tế TP HCM</t>
  </si>
  <si>
    <t>Tài chính Doanh nghiệp</t>
  </si>
  <si>
    <t>thaonct@topica.edu.vn</t>
  </si>
  <si>
    <t>0914 117 175</t>
  </si>
  <si>
    <t>811 lô 6 c/c Phú Thọ, Q11, Tp.HCM</t>
  </si>
  <si>
    <t>Thái Thị Như</t>
  </si>
  <si>
    <t>023638193</t>
  </si>
  <si>
    <t>vinhttn@topica.edu.vn</t>
  </si>
  <si>
    <t>0903869600</t>
  </si>
  <si>
    <t>293/148E CMT8, F14,Q Tân Bình</t>
  </si>
  <si>
    <t>Võ Ngọc</t>
  </si>
  <si>
    <t>Tuyền</t>
  </si>
  <si>
    <t>Bình Đại</t>
  </si>
  <si>
    <t>311948651</t>
  </si>
  <si>
    <t>Học Viện CNTT NIIT - SSP</t>
  </si>
  <si>
    <t>tuyenvn@topica.edu.vn</t>
  </si>
  <si>
    <t>0907 586 167/ 0933542908</t>
  </si>
  <si>
    <t>50/10 Ấp Bắc, P.4 ,Tp Mỹ Tho,Tiền Giang</t>
  </si>
  <si>
    <t>31/1G Ấp Trung Chánh 2 , Xã Trung Chánh , Hóc Môn</t>
  </si>
  <si>
    <t>Đông</t>
  </si>
  <si>
    <t>183753190</t>
  </si>
  <si>
    <t>donglt@topica.edu.vn</t>
  </si>
  <si>
    <t>0978 640 311</t>
  </si>
  <si>
    <t>Nháng</t>
  </si>
  <si>
    <t>151762802</t>
  </si>
  <si>
    <t>nhangnt@topica.edu.vn</t>
  </si>
  <si>
    <t>0363977372</t>
  </si>
  <si>
    <t>0982 99 625</t>
  </si>
  <si>
    <t>Hà Lý, Hà Dũng, Hưng Hà, Thái Bình</t>
  </si>
  <si>
    <t>Số nhà 3, 77/9, Bùi Xương Trạch, Thanh Xuân, HN</t>
  </si>
  <si>
    <t>112389566</t>
  </si>
  <si>
    <t>Kế toán tài chính</t>
  </si>
  <si>
    <t>nhannt@topica.edu.vn</t>
  </si>
  <si>
    <t>0466579529</t>
  </si>
  <si>
    <t>0966527528</t>
  </si>
  <si>
    <t>Thôn Ngọ, Chuyên Mỹ, Phú Xuyên, Hà Nội</t>
  </si>
  <si>
    <t>Số 107, ngõ 79, phố Yên Duyên, phường Yên Sở, Hà Nội</t>
  </si>
  <si>
    <t>Lương Tuyết</t>
  </si>
  <si>
    <t>25200550</t>
  </si>
  <si>
    <t>TC tin học SG</t>
  </si>
  <si>
    <t>Kế Toán</t>
  </si>
  <si>
    <t>ngalt2@topica.edu.vn</t>
  </si>
  <si>
    <t>0903877847</t>
  </si>
  <si>
    <t>37/13/3 Ngô Tất Tố P.21 .Bình Thạnh Tp. HCM</t>
  </si>
  <si>
    <t>125156940</t>
  </si>
  <si>
    <t>Học viên Ngân hàng</t>
  </si>
  <si>
    <t>Tài chính Ngân hàng</t>
  </si>
  <si>
    <t>maint@topica.edu.vn</t>
  </si>
  <si>
    <t>0983227874</t>
  </si>
  <si>
    <t>Bùi Xương Trạch, Thanh Xuân, Hà Nội</t>
  </si>
  <si>
    <t>Nguyễn Ngọc Hoàng</t>
  </si>
  <si>
    <t>Cầm</t>
  </si>
  <si>
    <t>023470737</t>
  </si>
  <si>
    <t>Ca TpHCM</t>
  </si>
  <si>
    <t>camnnh@topica.edu.vn</t>
  </si>
  <si>
    <t>0838454642</t>
  </si>
  <si>
    <t>0918 599 569</t>
  </si>
  <si>
    <t>1014/1 Cách Mạng Tháng 8, P5, Q. TB, TpHCM</t>
  </si>
  <si>
    <t>24189906</t>
  </si>
  <si>
    <t>Fullerton Colllege, California State University, Long Beach</t>
  </si>
  <si>
    <t>Kinh Doanh</t>
  </si>
  <si>
    <t>haind@topica.edu.vn</t>
  </si>
  <si>
    <t>0949794821</t>
  </si>
  <si>
    <t>460/9 Nơ Trang long, p13, q Bình Thạnh</t>
  </si>
  <si>
    <t>PHCE</t>
  </si>
  <si>
    <t>Lộc</t>
  </si>
  <si>
    <t>locttb@topica.edu.vn</t>
  </si>
  <si>
    <t>0909373075</t>
  </si>
  <si>
    <t>4/74 Lê Đức Thọ, P15, GV</t>
  </si>
  <si>
    <t>031255691</t>
  </si>
  <si>
    <t>Ngữ văn</t>
  </si>
  <si>
    <t>hant3@topica.edu.vn</t>
  </si>
  <si>
    <t>0982368266</t>
  </si>
  <si>
    <t>Số 2, Lô 6, TT Quân đội, Hồ Nam, Lê Chân, Hải Phòng</t>
  </si>
  <si>
    <t>SN 24, ngõ 67 Đình Thôn, Mỹ Đình, Từ Liêm, HN</t>
  </si>
  <si>
    <t>Dương Quang</t>
  </si>
  <si>
    <t>100986439</t>
  </si>
  <si>
    <t>huydq@topica.edu.vn</t>
  </si>
  <si>
    <t>0936210390</t>
  </si>
  <si>
    <t>Số 2 ngách 15/47 ngõ Gốc Đề, tổ 29 Hoàng Văn Thụ, Hoàng Mai,HN</t>
  </si>
  <si>
    <t>PWED</t>
  </si>
  <si>
    <t>Vũ Quang</t>
  </si>
  <si>
    <t>012587571</t>
  </si>
  <si>
    <t>huyvq@topica.edu.vn</t>
  </si>
  <si>
    <t>043 719 2873</t>
  </si>
  <si>
    <t>0989 205 925</t>
  </si>
  <si>
    <t>10A hẻm 124/22/85, Âu Cơ, Từ Liêm, Tây Hồ, HN</t>
  </si>
  <si>
    <t>PSZF</t>
  </si>
  <si>
    <t>Đặng Thanh</t>
  </si>
  <si>
    <t>012715454</t>
  </si>
  <si>
    <t>huongdt2@topica.edu.vn</t>
  </si>
  <si>
    <t>0978431288</t>
  </si>
  <si>
    <t>Khu TT BV Thanh Trì, Tứ Hiệp, Thanh Trì, Hà Nội</t>
  </si>
  <si>
    <t>Vũ Thị Hoài</t>
  </si>
  <si>
    <t>100896244</t>
  </si>
  <si>
    <t>namvth@topica.edu.vn</t>
  </si>
  <si>
    <t>0976 941 088</t>
  </si>
  <si>
    <t>Tổ 5, Khu 2, phường Thanh Sơn, Uông Bí, Quảng Ninh</t>
  </si>
  <si>
    <t>P512, C7, Nam Thành Công, Láng Hạ, Đống Đa, HN</t>
  </si>
  <si>
    <t>100966512</t>
  </si>
  <si>
    <t>hueht@topica.edu.vn</t>
  </si>
  <si>
    <t>01222 324 033</t>
  </si>
  <si>
    <t>Tổ 5, khu 3, Hông Hải, Hạ Long, Quảng Ninh</t>
  </si>
  <si>
    <t>P506, nhà G1, ngõ 82, Phạm Ngọc Thạch, Quảng Ninh</t>
  </si>
  <si>
    <t>Ứng Hòa Hà Nội</t>
  </si>
  <si>
    <t>111886910</t>
  </si>
  <si>
    <t>thaont@topica.edu.vn</t>
  </si>
  <si>
    <t>04 3389 4563</t>
  </si>
  <si>
    <t>0979094628</t>
  </si>
  <si>
    <t>Ứng Hòa, Hà Nội</t>
  </si>
  <si>
    <t>Ngõ 140, Nguyễn Xiển, Thanh Xuân, Hà Nội</t>
  </si>
  <si>
    <t>135138238</t>
  </si>
  <si>
    <t>Quản trị kinh doanh du lịch và khách sạn</t>
  </si>
  <si>
    <t>ngant2@topica.edu.vn</t>
  </si>
  <si>
    <t>0988 407 940</t>
  </si>
  <si>
    <t>SN 41, ngõ 122/46/14 Kim Giang, Hoàng Mai</t>
  </si>
  <si>
    <t>151441984</t>
  </si>
  <si>
    <t>ĐH Nông nghiệp 1</t>
  </si>
  <si>
    <t>Chọn giống</t>
  </si>
  <si>
    <t>thuytt@topica.edu.vn</t>
  </si>
  <si>
    <t>0984226611</t>
  </si>
  <si>
    <t>Nghiêm Thu</t>
  </si>
  <si>
    <t>012359592</t>
  </si>
  <si>
    <t>Marketing thương mại</t>
  </si>
  <si>
    <t>trangnt@topica.edu.vn</t>
  </si>
  <si>
    <t>0932343188</t>
  </si>
  <si>
    <t>Số 28, ngách 53, ngõ 285 Đội Cấn, Ba Đình, Hà Nội</t>
  </si>
  <si>
    <t>Hồ Thị Thu</t>
  </si>
  <si>
    <t>271776518</t>
  </si>
  <si>
    <t>thuyhtt@topica.edu.vn</t>
  </si>
  <si>
    <t>0989 470 935</t>
  </si>
  <si>
    <t>20/01 Ấp 4, Xã La Ngà, Huyện Định Quán, Tỉnh Đồng Nai</t>
  </si>
  <si>
    <t>686/103, CMT8, P.5, Q.Tân Bình, HCM</t>
  </si>
  <si>
    <t>Huỳnh Thị Thúy</t>
  </si>
  <si>
    <t>24050021</t>
  </si>
  <si>
    <t>TPHCM</t>
  </si>
  <si>
    <t>ĐH Ngân Hàng TP.HCM</t>
  </si>
  <si>
    <t>phuonghtt@topica.edu.vn</t>
  </si>
  <si>
    <t>0973 180 607</t>
  </si>
  <si>
    <t>618/32/5A, Đường Âu Cơ, Phường 10, Quận Tân Bình</t>
  </si>
  <si>
    <t>264266254</t>
  </si>
  <si>
    <t>ĐH Quốc tế Hồng Bàng</t>
  </si>
  <si>
    <t>Quản trị khách sạn</t>
  </si>
  <si>
    <t>chinh@topica.edu.vn</t>
  </si>
  <si>
    <t>683852706</t>
  </si>
  <si>
    <t>0937 353 438</t>
  </si>
  <si>
    <t>Lâm Sơn, Ninh Sơn, Ninh Thuận</t>
  </si>
  <si>
    <t>Chung cư Đào Duy Từ, 51 Thành Thái, P.12, Q.10</t>
  </si>
  <si>
    <t>Nguyễn Trường</t>
  </si>
  <si>
    <t>271779254</t>
  </si>
  <si>
    <t>ĐH Khoa Học Tự Nhiên TP.HCM</t>
  </si>
  <si>
    <t>Hóa</t>
  </si>
  <si>
    <t>annt@topica.edu.vn</t>
  </si>
  <si>
    <t>0933 140 230</t>
  </si>
  <si>
    <t>Ấp 1, xã Long An, huyện Long Thành, tỉnh Đồng Nai</t>
  </si>
  <si>
    <t>Số 383bis/46 Võ Văn Kiệt, P.Cầu Kho, Q1 HCM</t>
  </si>
  <si>
    <t>Bùi Thu</t>
  </si>
  <si>
    <t>013479089</t>
  </si>
  <si>
    <t>Sinh học</t>
  </si>
  <si>
    <t>huongbt@topica.edu.vn</t>
  </si>
  <si>
    <t>0966474888</t>
  </si>
  <si>
    <t>Số 38, ngách 521/36, Cổ Nhuế, Từ Liêm, Hà Nội</t>
  </si>
  <si>
    <t>Nguyễn Thị Hương</t>
  </si>
  <si>
    <t>162366376</t>
  </si>
  <si>
    <t>Lưu trữ học và quản trị văn phòng</t>
  </si>
  <si>
    <t>giangnth@topica.edu.vn</t>
  </si>
  <si>
    <t>0982 224 222
0922 993 686</t>
  </si>
  <si>
    <t>Nghĩa Lợi - Nghĩa Hưng - Nam Định</t>
  </si>
  <si>
    <t>Mễ Trì Thượng, Mễ Trì, Từ Liêm, Hà Nội</t>
  </si>
  <si>
    <t>Châu Thanh</t>
  </si>
  <si>
    <t>Bình Thuận</t>
  </si>
  <si>
    <t>Bình Thuận</t>
  </si>
  <si>
    <t>261022852</t>
  </si>
  <si>
    <t>CĐ Kỹ thuật - Công nghệ Vạn Xuân</t>
  </si>
  <si>
    <t>trungct@topica.edu.vn</t>
  </si>
  <si>
    <t>0915 389 905/ 0937878987</t>
  </si>
  <si>
    <t>129 Mậu Thân, Bình Hưng, Phan Thiết, Bình Thuận</t>
  </si>
  <si>
    <t>45 Hồ Bá Kiện, Phường 15, Quận 10, Tp.HCM</t>
  </si>
  <si>
    <t>Lê Hồng</t>
  </si>
  <si>
    <t>012517574</t>
  </si>
  <si>
    <t>minhlh@topica.edu.vn</t>
  </si>
  <si>
    <t>04 38622280</t>
  </si>
  <si>
    <t>0982 160 788</t>
  </si>
  <si>
    <t>Số 32 ngõ 252 Minh Khai, Hà Nội</t>
  </si>
  <si>
    <t>012784230</t>
  </si>
  <si>
    <t>Xuất Bản - Phát hành</t>
  </si>
  <si>
    <t>hoaibt@topica.edu.vn</t>
  </si>
  <si>
    <t>01683 997 128</t>
  </si>
  <si>
    <t>Số 6B, ngách 74/3, Trường Chinh, Đống Đa, Hà Nội</t>
  </si>
  <si>
    <t>172382474</t>
  </si>
  <si>
    <t>hangtt@topica.edu.vn</t>
  </si>
  <si>
    <t>0975833510
0942722388</t>
  </si>
  <si>
    <t>Thọ Hải, Thọ Xuân, Thanh Hóa</t>
  </si>
  <si>
    <t>Sôố 1, ngách 201/21 Đê Tô Hoàng, Cầu Dền, HN</t>
  </si>
  <si>
    <t>186727912</t>
  </si>
  <si>
    <t>Quản trị kinh doanh thương mại</t>
  </si>
  <si>
    <t>hactt@topica.edu.vn</t>
  </si>
  <si>
    <t>0383 880 521</t>
  </si>
  <si>
    <t>0972 014 898</t>
  </si>
  <si>
    <t>Nghĩa Thuận, Thị xã Thái Hòa, Nghệ An</t>
  </si>
  <si>
    <t>P707, nhà chung cư A4, Hàm Nghi, Từ Liêm, HN</t>
  </si>
  <si>
    <t>Hoàng Thủy</t>
  </si>
  <si>
    <t>142170057</t>
  </si>
  <si>
    <t>Quốc tế học</t>
  </si>
  <si>
    <t>nguyenht@topica.edu.vn</t>
  </si>
  <si>
    <t>0978 461 713</t>
  </si>
  <si>
    <t>606A Làng Sinh viên hacinco, Nhân Chính, Thanh Xuân, HN</t>
  </si>
  <si>
    <t>172026400</t>
  </si>
  <si>
    <t>nhungtth@topica.edu.vn</t>
  </si>
  <si>
    <t>0988  277 792</t>
  </si>
  <si>
    <t>12/121 Đại La, Hai Bà Trưng, Hà Nội</t>
  </si>
  <si>
    <t>183690865</t>
  </si>
  <si>
    <t>vannt@topica.edu.vn</t>
  </si>
  <si>
    <t>0983 786 589</t>
  </si>
  <si>
    <t>Kỳ Bắc, Kỳ Anh, Hà Tĩnh</t>
  </si>
  <si>
    <t>Minh Khai, Hai Bà Trưng, Hà Nội</t>
  </si>
  <si>
    <t>162829328</t>
  </si>
  <si>
    <t>HV Kỹ Thuật Mật Mã</t>
  </si>
  <si>
    <t>vinhpt@topica.edu.vn</t>
  </si>
  <si>
    <t>0975 723 331</t>
  </si>
  <si>
    <t>182, Nam Trần Đăng Ninh, Nam Định</t>
  </si>
  <si>
    <t>Yên Xá, Tân Triều, Thanh Xuân, Hà Nội</t>
  </si>
  <si>
    <t>Nguyễn Thanh</t>
  </si>
  <si>
    <t>012579350</t>
  </si>
  <si>
    <t>thuynt2@topica.edu.vn</t>
  </si>
  <si>
    <t>0936123958</t>
  </si>
  <si>
    <t>Tổ 10, cụm 1, Xuân La, Tây Hồ, Hà Nội</t>
  </si>
  <si>
    <t>Nguyễn Thị Tuyết</t>
  </si>
  <si>
    <t>Đăk Lăk</t>
  </si>
  <si>
    <t>240873394</t>
  </si>
  <si>
    <t>Đại học Kinh tế - Luật</t>
  </si>
  <si>
    <t>maintt@topica.edu.vn</t>
  </si>
  <si>
    <t>0977 975 836</t>
  </si>
  <si>
    <t>Số 339 Nguyễn Xí, Bình Thạn, TP HCM</t>
  </si>
  <si>
    <t>Trần Thị Khắc</t>
  </si>
  <si>
    <t>211854600</t>
  </si>
  <si>
    <t>hieuttk@topica.edu.vn</t>
  </si>
  <si>
    <t>0908 327 920</t>
  </si>
  <si>
    <t>93B Ấp 2A - X.Nhơn Thạnh - Tp.Bến Tre - T.Bến Tre</t>
  </si>
  <si>
    <t>10 Đường 38 - P.Tân Tạo - Q.Bình Tân - TPHCM</t>
  </si>
  <si>
    <t>Trần Phương</t>
  </si>
  <si>
    <t>Thuận Hải</t>
  </si>
  <si>
    <t>Thuận Hải</t>
  </si>
  <si>
    <t>271656346</t>
  </si>
  <si>
    <t>khuyentp@topica.edu.vn</t>
  </si>
  <si>
    <t>0978 059 599/ 0909699426</t>
  </si>
  <si>
    <t>Ấp 1, Xã Phú Lý, Vĩnh Cửu, Đồn Nai</t>
  </si>
  <si>
    <t>Đồng Nai, P. 12, Q.10, TP.HCM</t>
  </si>
  <si>
    <t>Nguyễn Thị Trang</t>
  </si>
  <si>
    <t>22778258</t>
  </si>
  <si>
    <t>Ngoại thương</t>
  </si>
  <si>
    <t>nhungntt@topica.edu.vn</t>
  </si>
  <si>
    <t>0838655788</t>
  </si>
  <si>
    <t>01256521455</t>
  </si>
  <si>
    <t>2/4 Chấn Hưng Phường 6 Quận tân Bình</t>
  </si>
  <si>
    <t>Lợi</t>
  </si>
  <si>
    <t>Thừa Thiên Huế</t>
  </si>
  <si>
    <t>Thừa Thiên Huế</t>
  </si>
  <si>
    <t>285102015</t>
  </si>
  <si>
    <t>Bình Phước</t>
  </si>
  <si>
    <t>lointm@topica.edu.vn</t>
  </si>
  <si>
    <t>0909 857 570</t>
  </si>
  <si>
    <t>p. Tân Bình, tx Đồng Xoài, Bình Phước</t>
  </si>
  <si>
    <t>629/53A CMT8, P.12, Q.10, Tp.HCM</t>
  </si>
  <si>
    <t>Nguyễn Thụy</t>
  </si>
  <si>
    <t>Cao đẳng Quản trị doanh nghiệp</t>
  </si>
  <si>
    <t>vynt@topica.edu.vn</t>
  </si>
  <si>
    <t>0938764748</t>
  </si>
  <si>
    <t>118/173 Phan Huy Ích P15 Q.Tân Bình</t>
  </si>
  <si>
    <t>Mai Cát</t>
  </si>
  <si>
    <t>Đồng Tháp</t>
  </si>
  <si>
    <t>24066865</t>
  </si>
  <si>
    <t>ĐH Tôn Đức Thắng</t>
  </si>
  <si>
    <t>uyenmc@topica.edu.vn</t>
  </si>
  <si>
    <t>01665 500 863</t>
  </si>
  <si>
    <t>11/3 đường 62, P. Thảo Điền, Q.2, Tp.HCM</t>
  </si>
  <si>
    <t>98/6B Phan Văn Hân, P.17, Q. BT, TP.HCM</t>
  </si>
  <si>
    <t>Hưởng</t>
  </si>
  <si>
    <t>25537259</t>
  </si>
  <si>
    <t>CĐ Kinh tế - Kỹ thuật Thương Mại</t>
  </si>
  <si>
    <t>huonglt@topica.edu.vn</t>
  </si>
  <si>
    <t>0985 002 516</t>
  </si>
  <si>
    <t>37/7/11 Lũy Bán Bích - Tân Thới hòa - Tân Phú - Hồ Chí Minh</t>
  </si>
  <si>
    <t>Mai Thị Mỹ</t>
  </si>
  <si>
    <t>Phụng</t>
  </si>
  <si>
    <t>215020794</t>
  </si>
  <si>
    <t>ĐH Kinh tế TPHCM</t>
  </si>
  <si>
    <t>Kinh tế lao động QLNL</t>
  </si>
  <si>
    <t>phungmtm@topica.edu.vn</t>
  </si>
  <si>
    <t>01222991035</t>
  </si>
  <si>
    <t>416/2 tThạch Lam, Phú Thạnh, Tân Phú</t>
  </si>
  <si>
    <t>Võ Phương</t>
  </si>
  <si>
    <t>301336498</t>
  </si>
  <si>
    <t>CĐ Công Nghiệp</t>
  </si>
  <si>
    <t>CNTT</t>
  </si>
  <si>
    <t>anhvp@topica.edu.vn</t>
  </si>
  <si>
    <t>01223 800 060</t>
  </si>
  <si>
    <t>575/47 CMT8,P7,Q10,tphcm</t>
  </si>
  <si>
    <t>Trần Thị Huỳnh</t>
  </si>
  <si>
    <t>Tây Ninh</t>
  </si>
  <si>
    <t>290878310</t>
  </si>
  <si>
    <t>ĐH KTe TPHCM</t>
  </si>
  <si>
    <t>Thẩm định</t>
  </si>
  <si>
    <t>anhtth@topica.edu.vn</t>
  </si>
  <si>
    <t>0902 440 420</t>
  </si>
  <si>
    <t>666/64/35 đường 3/2, P.14, Q.10, Tp.HCM</t>
  </si>
  <si>
    <t>Lạng Sơn</t>
  </si>
  <si>
    <t>Lạng Sơn</t>
  </si>
  <si>
    <t>082056529</t>
  </si>
  <si>
    <t>anhnt2@topica.edu.vn</t>
  </si>
  <si>
    <t>0976 842 821</t>
  </si>
  <si>
    <t>Dốc Mới I, Sơn Hà, Hữu Lũng, Lạng Sơn</t>
  </si>
  <si>
    <t>Nhà 14D3, ngõ 19 Định Công, Hoàng Mai, hà Nội</t>
  </si>
  <si>
    <t>PXP</t>
  </si>
  <si>
    <t>Phạm Đình</t>
  </si>
  <si>
    <t>Phong</t>
  </si>
  <si>
    <t>121859580</t>
  </si>
  <si>
    <t>ĐH Công nghiệp</t>
  </si>
  <si>
    <t>Điện tử</t>
  </si>
  <si>
    <t>phongpd@topica.edu.vn</t>
  </si>
  <si>
    <t>0984 478 144</t>
  </si>
  <si>
    <t>92 Lý Thường Kiệt, Hoàn Kiếm, HN</t>
  </si>
  <si>
    <t>PHOO</t>
  </si>
  <si>
    <t>012484117</t>
  </si>
  <si>
    <t>ĐH Kinh Doanh Và Công Nghệ</t>
  </si>
  <si>
    <t>linhnt@topica.edu.vn</t>
  </si>
  <si>
    <t>0946688123</t>
  </si>
  <si>
    <t>P618, CT6, Khu Đô thị Định Công, Hoàng Mai, HN</t>
  </si>
  <si>
    <t>PHOS</t>
  </si>
  <si>
    <t>Phạm Hương</t>
  </si>
  <si>
    <t>012703061</t>
  </si>
  <si>
    <t>trangph@topica.edu.vn</t>
  </si>
  <si>
    <t>01273571958</t>
  </si>
  <si>
    <t>4N1 TT5, Bắc Linh Đàm, Hoàng Mai, HN</t>
  </si>
  <si>
    <t>PWEP</t>
  </si>
  <si>
    <t>Phi</t>
  </si>
  <si>
    <t>164270381</t>
  </si>
  <si>
    <t>phinv@topica.edu.vn</t>
  </si>
  <si>
    <t>0977 123 866</t>
  </si>
  <si>
    <t>Số 10, 279/39 Đường Hoàng Mai, Quận Hoàng Mai, HN</t>
  </si>
  <si>
    <t>Xóm 8, Yên Mĩ, Yên Mô, Ninh Bình</t>
  </si>
  <si>
    <t>Tô Thị Hạnh</t>
  </si>
  <si>
    <t>091008943</t>
  </si>
  <si>
    <t>nguyentth2@topica.edu.vn</t>
  </si>
  <si>
    <t>0936466649</t>
  </si>
  <si>
    <t>Số 109 ngách 1/62/23 ngõ 1 Bùi Xương Trạch, Thanh Xuân, HN</t>
  </si>
  <si>
    <t>Hoàng Thị Thu</t>
  </si>
  <si>
    <t>Trà</t>
  </si>
  <si>
    <t>081045426</t>
  </si>
  <si>
    <t>trahtt@topica.edu.vn</t>
  </si>
  <si>
    <t>0914 753 848</t>
  </si>
  <si>
    <t>109C3, TX Bắc, Thanh Xuân, HN</t>
  </si>
  <si>
    <t>103, nhà B2, ngõ 7, Lương Ngọc Quyến, Văn Quán, HN</t>
  </si>
  <si>
    <t>Trịnh Phương</t>
  </si>
  <si>
    <t>012389024</t>
  </si>
  <si>
    <t>ĐH KTQD</t>
  </si>
  <si>
    <t>QTKD</t>
  </si>
  <si>
    <t>minhtp@topica.edu.vn</t>
  </si>
  <si>
    <t>0972888585</t>
  </si>
  <si>
    <t>17 Ngõ 4, Vân Hồ 2, Lê Đại Hành, HBT, HN</t>
  </si>
  <si>
    <t>Bùi Thị Hương</t>
  </si>
  <si>
    <t>121341603</t>
  </si>
  <si>
    <t>ĐH QG HN</t>
  </si>
  <si>
    <t>Điện tử Viễn thông</t>
  </si>
  <si>
    <t>hanhbth@topica.edu.vn</t>
  </si>
  <si>
    <t>0989628686</t>
  </si>
  <si>
    <t>Xóm 4, Thôn Thượng, Mễ Trì, Từ Liêm, HN</t>
  </si>
  <si>
    <t>Trịnh Thị</t>
  </si>
  <si>
    <t>013398351</t>
  </si>
  <si>
    <t>ĐH Quốc Gia HN</t>
  </si>
  <si>
    <t>Điện tử viễn thông</t>
  </si>
  <si>
    <t>hangtt2@topica.edu.vn</t>
  </si>
  <si>
    <t>0902186292</t>
  </si>
  <si>
    <t>P305/A1 Tập thể Kim Giang, Thanh Xuân, Hà Nội</t>
  </si>
  <si>
    <t>Đinh Hồng</t>
  </si>
  <si>
    <t>Lĩnh</t>
  </si>
  <si>
    <t>112418649</t>
  </si>
  <si>
    <t>ĐH Bách Khoa</t>
  </si>
  <si>
    <t>linhdh2@topica.edu.vn</t>
  </si>
  <si>
    <t>01678334137</t>
  </si>
  <si>
    <t>Tam Trinh, Mai Động, Hoàng Mai, Hà Nội</t>
  </si>
  <si>
    <t>Lê Đặng Lộc</t>
  </si>
  <si>
    <t>260876713</t>
  </si>
  <si>
    <t>CĐ Kĩ Thuật
 Công Nghệ TPHCM</t>
  </si>
  <si>
    <t>anldl@topica.edu.vn</t>
  </si>
  <si>
    <t>0946925276</t>
  </si>
  <si>
    <t>356 Đỗ Xuân Hợp - Phường Phước Bình - Quận 9 - TPHCM</t>
  </si>
  <si>
    <t>162596658</t>
  </si>
  <si>
    <t>giangttt@topica.edu.vn</t>
  </si>
  <si>
    <t>0943 149 980</t>
  </si>
  <si>
    <t>Mỹ Thắng, Mỹ Lộc, Nam Định</t>
  </si>
  <si>
    <t>P506 Tập thể Ngân hàng Chùa Bộc, Đống Đa, HN</t>
  </si>
  <si>
    <t>Nguyễn Thị Kim</t>
  </si>
  <si>
    <t>023663665</t>
  </si>
  <si>
    <t>ĐH Kỹ thuật Công Nghệ HCM</t>
  </si>
  <si>
    <t>Công nghệ may</t>
  </si>
  <si>
    <t>loanntk@topica.edu.vn</t>
  </si>
  <si>
    <t>0909846438</t>
  </si>
  <si>
    <t>278/5 Tô Hiến Thành, phường 5, quận 10, HCM</t>
  </si>
  <si>
    <t>Hồi</t>
  </si>
  <si>
    <t>142220697</t>
  </si>
  <si>
    <t>hoiltn@topica.edu.vn</t>
  </si>
  <si>
    <t>0975 270 096</t>
  </si>
  <si>
    <t>Cẩm Hoàng, Cẩm Giàng, Hải Dương</t>
  </si>
  <si>
    <t>Đào Mạnh</t>
  </si>
  <si>
    <t>012751323</t>
  </si>
  <si>
    <t>ĐH Tổng hợp Quốc gia về Quản Lý Moscow</t>
  </si>
  <si>
    <t>thangdm@topica.edu.vn</t>
  </si>
  <si>
    <t>0439605177</t>
  </si>
  <si>
    <t>01647 110 719</t>
  </si>
  <si>
    <t>Thôn Thiết Ứng, xã Vân Hà, huyện Đông Anh, HN</t>
  </si>
  <si>
    <t>Nguyễn Tiến</t>
  </si>
  <si>
    <t>172028079</t>
  </si>
  <si>
    <t>ĐH Bách Khoa-Aptech</t>
  </si>
  <si>
    <t>hungnt2@topica.edu.vn</t>
  </si>
  <si>
    <t>0976 246 890</t>
  </si>
  <si>
    <t>502 I, KTT Thanh Mai, Hoàng Mai, HN</t>
  </si>
  <si>
    <t>Hoàng Anh</t>
  </si>
  <si>
    <t>012716568</t>
  </si>
  <si>
    <t>Công nghệ sinh học - CN thực phẩm</t>
  </si>
  <si>
    <t>quangha@topica.edu.vn</t>
  </si>
  <si>
    <t>0435745692</t>
  </si>
  <si>
    <t>0975033502</t>
  </si>
  <si>
    <t>TT Công ty cung ứng VTVT, Trung tự, Đống Đa, HN</t>
  </si>
  <si>
    <t>Số 103, Tổ 44, Trung Tự, Đống Đa, Hn</t>
  </si>
  <si>
    <t>24203773</t>
  </si>
  <si>
    <t>uyenntt2@topica.edu.vn</t>
  </si>
  <si>
    <t>0854355526</t>
  </si>
  <si>
    <t>0937 973 324</t>
  </si>
  <si>
    <t>I320 C/cư KCN Tân Bình, P.Tây Thạnh, Q.Tân Phú, TP.HCM</t>
  </si>
  <si>
    <t>031592944</t>
  </si>
  <si>
    <t>phuonglh@topica.edu.vn</t>
  </si>
  <si>
    <t>0972 630 936</t>
  </si>
  <si>
    <t>Tiên Cường, Tiên Lãng, Hải Phòng</t>
  </si>
  <si>
    <t>Lê Trà</t>
  </si>
  <si>
    <t>186210641</t>
  </si>
  <si>
    <t>ĐH kinh tế Đà Nẵng</t>
  </si>
  <si>
    <t>mylt@topica.edu.vn</t>
  </si>
  <si>
    <t>0915 662 985</t>
  </si>
  <si>
    <t>Nhà 106, Đặng Thai Mai, TP Vinh, Nghệ An</t>
  </si>
  <si>
    <t>14/7 Hà Trì I, Hà Cầu, Hà Đông, Hà Nội</t>
  </si>
  <si>
    <t>Hoàng Ngọc</t>
  </si>
  <si>
    <t>012415372</t>
  </si>
  <si>
    <t>Anh- Bồ Đào Nha</t>
  </si>
  <si>
    <t>linhhn@topica.edu.vn</t>
  </si>
  <si>
    <t>0903246840</t>
  </si>
  <si>
    <t>39 Đoàn Thị Điểm, Đống Đa, HN</t>
  </si>
  <si>
    <t>131149457</t>
  </si>
  <si>
    <t>dungntk@topica.edu.vn</t>
  </si>
  <si>
    <t>0974617605</t>
  </si>
  <si>
    <t>Số 1, ngách 177/24 Định Công, Hoàng Mai, HN</t>
  </si>
  <si>
    <t>Thơ</t>
  </si>
  <si>
    <t>101024366</t>
  </si>
  <si>
    <t>thont@topica.edu.vn</t>
  </si>
  <si>
    <t>0333837581</t>
  </si>
  <si>
    <t>0936 622 218</t>
  </si>
  <si>
    <t>Tổ 4, khu 4D phường Hồng Hải, TP Hạ Long, Quảng Ninh</t>
  </si>
  <si>
    <t>Số 14, ngõ 120 Định Công Hạ, Hoàng Mai, HN</t>
  </si>
  <si>
    <t>012264733</t>
  </si>
  <si>
    <t>huongntn@topica.edu.vn</t>
  </si>
  <si>
    <t>0987805921</t>
  </si>
  <si>
    <t>P5, E1, TT 8/3, Kim Ngưu, Q. HBT, HN</t>
  </si>
  <si>
    <t>172893710</t>
  </si>
  <si>
    <t>tamnt2@topica.edu.vn</t>
  </si>
  <si>
    <t>0978548014</t>
  </si>
  <si>
    <t>Phú Yên, Thọ Xuân, Thanh Hóa</t>
  </si>
  <si>
    <t>14/41/342 Khương Đình, Thanh Xuân, HN</t>
  </si>
  <si>
    <t>Phan Thế</t>
  </si>
  <si>
    <t>012433438</t>
  </si>
  <si>
    <t>congpt@topica.edu.vn</t>
  </si>
  <si>
    <t>0435744262</t>
  </si>
  <si>
    <t>0966 653 999</t>
  </si>
  <si>
    <t>16B,ngách 354/177, ngõ 22 Tôn Thất Tùng, Đống Đa, HN</t>
  </si>
  <si>
    <t>B2887390</t>
  </si>
  <si>
    <t>QTKD và Du lịch</t>
  </si>
  <si>
    <t>vanttt@topica.edu.vn</t>
  </si>
  <si>
    <t>0987801331</t>
  </si>
  <si>
    <t>82/66 Ngọc Lâm, Quận Long Biên, HN</t>
  </si>
  <si>
    <t>Lê Thị Ánh</t>
  </si>
  <si>
    <t>Quảng Nam</t>
  </si>
  <si>
    <t>205561471</t>
  </si>
  <si>
    <t>ĐH Kinh tế công nghệ HCM</t>
  </si>
  <si>
    <t>Tài chính doanh nghiệp</t>
  </si>
  <si>
    <t>lylta@topica.edu.vn</t>
  </si>
  <si>
    <t>0909 846 438/ 0908989637</t>
  </si>
  <si>
    <t>Quế Phú, Quế Sơn, Quảng Nam</t>
  </si>
  <si>
    <t>Phan Thị Ngọc</t>
  </si>
  <si>
    <t>Tuyết</t>
  </si>
  <si>
    <t>321147960</t>
  </si>
  <si>
    <t>tuyetptn@topica.edu.vn</t>
  </si>
  <si>
    <t>0937365689</t>
  </si>
  <si>
    <t>142 ấp Phú Hòa, xã Quới Thành, Châu Thành, Bến Tre</t>
  </si>
  <si>
    <t>36/8/a1 Giản Phóng, phường 4, Tân Bình, HNM</t>
  </si>
  <si>
    <t>vynt2@topica.edu.vn</t>
  </si>
  <si>
    <t>Lê Khắc</t>
  </si>
  <si>
    <t>Thế</t>
  </si>
  <si>
    <t>145312191</t>
  </si>
  <si>
    <t>thelk@topica.edu.vn</t>
  </si>
  <si>
    <t>01682 077 618</t>
  </si>
  <si>
    <t>Dân Tiến, Khoái Châu, Hưng Yên</t>
  </si>
  <si>
    <t>Số 35A, ngõ 254/71 Minh Khai, Hai Bà Trưng, Hà Nội</t>
  </si>
  <si>
    <t>Bùi Thị Diệu</t>
  </si>
  <si>
    <t>Mơ</t>
  </si>
  <si>
    <t>TPHCM Hồ Chí Minh</t>
  </si>
  <si>
    <t>023597510</t>
  </si>
  <si>
    <t>mobtd@topica.edu.vn</t>
  </si>
  <si>
    <t>(08)39750893</t>
  </si>
  <si>
    <t>0908 636 562</t>
  </si>
  <si>
    <t>74 Hồ Hảo Hớn, P.Cô Giang, Q.1, TP HCM</t>
  </si>
  <si>
    <t>412 Lô E, C/C Bàu Cát 2, P.10, Q.Tân Bình</t>
  </si>
  <si>
    <t>Võ Thanh Sơn</t>
  </si>
  <si>
    <t>Chồng</t>
  </si>
  <si>
    <t>0907 636562</t>
  </si>
  <si>
    <t>anhltk2@topica.edu.vn</t>
  </si>
  <si>
    <t>01227643543</t>
  </si>
  <si>
    <t>024999739</t>
  </si>
  <si>
    <t>ĐH công nghệ Sài Gòn</t>
  </si>
  <si>
    <t>binhnt@topica.edu.vn</t>
  </si>
  <si>
    <t>0906498472</t>
  </si>
  <si>
    <t>8/18B, Chánh Hưng, P4, Q8, HCM</t>
  </si>
  <si>
    <t>Nguyễn Thị Xuân</t>
  </si>
  <si>
    <t>trangntx@topica.edu.vn</t>
  </si>
  <si>
    <t>01212159149</t>
  </si>
  <si>
    <t>Phan Thị Thu</t>
  </si>
  <si>
    <t>Tiền Giang Tiền Giang</t>
  </si>
  <si>
    <t>331639309</t>
  </si>
  <si>
    <t>Vĩnh Long</t>
  </si>
  <si>
    <t>KENT INSTITUTE</t>
  </si>
  <si>
    <t>thaoptt@topica.edu.vn</t>
  </si>
  <si>
    <t>0916 087 538</t>
  </si>
  <si>
    <t>Phú Thuận 2, Đồng Phú, Long Hồ, Vĩnh Long</t>
  </si>
  <si>
    <t>G502 Chung cư Đào Duy Từ, hẻm 51 Thành Thái, P14, Q10, Tp. HCM</t>
  </si>
  <si>
    <t>Phạm Anh</t>
  </si>
  <si>
    <t>031413813</t>
  </si>
  <si>
    <t>tuanpa2@topica.edu.vn</t>
  </si>
  <si>
    <t>0902 050 189</t>
  </si>
  <si>
    <t>Tổ 82, Niệm Nghĩa, Hải Phòng</t>
  </si>
  <si>
    <t>716-F4, Khu đô thị Yên Hòa, Cầu Giấy</t>
  </si>
  <si>
    <t>Hoa</t>
  </si>
  <si>
    <t>012612197</t>
  </si>
  <si>
    <t>hoatt@topica.edu.vn</t>
  </si>
  <si>
    <t>0432474285</t>
  </si>
  <si>
    <t>0987 537 830</t>
  </si>
  <si>
    <t>352 Hoàng Hoa Thám, Tây Hồ, HN</t>
  </si>
  <si>
    <t>Sôố 16, ngõ 378 Hoàng Hoa Thám, Tây Hồ, Hà Nội</t>
  </si>
  <si>
    <t>nghỉ việc</t>
  </si>
  <si>
    <t>Chu Lan</t>
  </si>
  <si>
    <t>Từ Liêm Hà Nội</t>
  </si>
  <si>
    <t>012625612</t>
  </si>
  <si>
    <t>phuongcl@topica.edu.vn</t>
  </si>
  <si>
    <t>0979 618 270</t>
  </si>
  <si>
    <t>Phòng 43-B2- Tập thể Văn Chương Hà Nội</t>
  </si>
  <si>
    <t>Bùi Lan Hương</t>
  </si>
  <si>
    <t>Đỗ Minh</t>
  </si>
  <si>
    <t>012616957</t>
  </si>
  <si>
    <t>ngandm@topica.edu.vn</t>
  </si>
  <si>
    <t>01696290028</t>
  </si>
  <si>
    <t>Số 30, tổ 26A, phường Thanh Lương, HBT, Hà Nội</t>
  </si>
  <si>
    <t>162808316</t>
  </si>
  <si>
    <t>ĐH DL Đông Đô</t>
  </si>
  <si>
    <t>Thông tin học và QTTT</t>
  </si>
  <si>
    <t>huongpt@topica.edu.vn</t>
  </si>
  <si>
    <t>0978562778</t>
  </si>
  <si>
    <t>Đông Ngạc, Từ Liêm, HN</t>
  </si>
  <si>
    <t>Đỗ Thị Thái</t>
  </si>
  <si>
    <t>Ninh</t>
  </si>
  <si>
    <t>Mỹ Lộc, Thái Thụy Thái Bình</t>
  </si>
  <si>
    <t>151383474</t>
  </si>
  <si>
    <t>ninhdtt@topica.edu.vn</t>
  </si>
  <si>
    <t>0984 170 184</t>
  </si>
  <si>
    <t>Tân Việt, Yên Mỹ, Hưng Yên</t>
  </si>
  <si>
    <t>48 Thợ Nhuộm Trần Hưng Đạo Hà Nội</t>
  </si>
  <si>
    <t>Nguyễn Quang Toàn</t>
  </si>
  <si>
    <t>012499255</t>
  </si>
  <si>
    <t>Tiếng Nga</t>
  </si>
  <si>
    <t>giangnh4@topica.edu.vn</t>
  </si>
  <si>
    <t>0919 851 986</t>
  </si>
  <si>
    <t>Số 101 Lô 7. Phúc Xá, Ba Đình, HN</t>
  </si>
  <si>
    <t>Phạm Hằng</t>
  </si>
  <si>
    <t>012261471</t>
  </si>
  <si>
    <t>Kinh tế ngoại thương</t>
  </si>
  <si>
    <t>ngaph@topica.edu.vn</t>
  </si>
  <si>
    <t>0987 521 567</t>
  </si>
  <si>
    <t>Số 8, ngách 249/20, Đội Cấn, Hà Nội</t>
  </si>
  <si>
    <t>Số 2A, hẻm 173/68/41, Hoàng Hoa Thám, HN</t>
  </si>
  <si>
    <t>Nguyễn Quỳnh</t>
  </si>
  <si>
    <t>031573053</t>
  </si>
  <si>
    <t>ĐH Thương mại</t>
  </si>
  <si>
    <t>Quản trị DN</t>
  </si>
  <si>
    <t>trangnq@topica.edu.vn</t>
  </si>
  <si>
    <t>0984888438</t>
  </si>
  <si>
    <t>Số 101, ngõ 143, phố chợ Khâm Thiên</t>
  </si>
  <si>
    <t>Bùi Thị Minh</t>
  </si>
  <si>
    <t>012269020</t>
  </si>
  <si>
    <t>huebtm@topica.edu.vn</t>
  </si>
  <si>
    <t>043 9322571</t>
  </si>
  <si>
    <t>0904988812</t>
  </si>
  <si>
    <t>911 đường Hồng Hà, Hoàn Kiếm, Hà Nội</t>
  </si>
  <si>
    <t>911 đường Hồng Hà, Hoàn Kiếm, HN</t>
  </si>
  <si>
    <t>Nguyễn Kim</t>
  </si>
  <si>
    <t>Hương Sơn Hà Tĩnh</t>
  </si>
  <si>
    <t>011838130</t>
  </si>
  <si>
    <t>Hà Nội\</t>
  </si>
  <si>
    <t>ngannk@topica.edu.vn</t>
  </si>
  <si>
    <t>0989579333</t>
  </si>
  <si>
    <t>F505-A1-TT Viện N/cứu Khoa học Thủy Lợi, P. Trung Liệt, Q. Đống Đa h</t>
  </si>
  <si>
    <t>Cao Hồng Lĩnh</t>
  </si>
  <si>
    <t>Vũ Thị Ngọc</t>
  </si>
  <si>
    <t>Nam Định Nam Định</t>
  </si>
  <si>
    <t>162860639</t>
  </si>
  <si>
    <t>Đại học Lương Thế Vinh</t>
  </si>
  <si>
    <t>Kế toán - Tài Chính</t>
  </si>
  <si>
    <t>bichvtn@topica.edu.vn</t>
  </si>
  <si>
    <t>01696897196</t>
  </si>
  <si>
    <t>Nam Cường, Nam Trực, Nam Định</t>
  </si>
  <si>
    <t>98 Chùa Bộc, Đống Đa, Hà Nội</t>
  </si>
  <si>
    <t>Vũ Thúy</t>
  </si>
  <si>
    <t>012418753</t>
  </si>
  <si>
    <t>ngocvt@topica.edu.vn</t>
  </si>
  <si>
    <t>Dương Thanh</t>
  </si>
  <si>
    <t>Hà Nam Ninh</t>
  </si>
  <si>
    <t>271672276</t>
  </si>
  <si>
    <t>vietdt@topica.edu.vn</t>
  </si>
  <si>
    <t>0902 820 931</t>
  </si>
  <si>
    <t>89/2A ĐÔng kim, GIA KIỆM, THỐNG NHẤT, ĐỒNG NAI</t>
  </si>
  <si>
    <t>84/18 CHIẾN THẮNG, P.9, Q.PN</t>
  </si>
  <si>
    <t>Dương Thị Ngọc Sang</t>
  </si>
  <si>
    <t>0985 864 449</t>
  </si>
  <si>
    <t>Châm</t>
  </si>
  <si>
    <t>023662359</t>
  </si>
  <si>
    <t>ĐH Kinh tế Quốc dân</t>
  </si>
  <si>
    <t>Kinh doanh và quản lý</t>
  </si>
  <si>
    <t>chamntp@topica.edu.vn</t>
  </si>
  <si>
    <t>0989961442</t>
  </si>
  <si>
    <t>450 Nguyễn Thị Minh Khai, P 5 Q3, TP HCM</t>
  </si>
  <si>
    <t>Phạm Phương</t>
  </si>
  <si>
    <t>Nam Bình, Kiến Xương Thái Bình</t>
  </si>
  <si>
    <t>031413932</t>
  </si>
  <si>
    <t>linhpp@topica.edu.vn</t>
  </si>
  <si>
    <t>0435667057</t>
  </si>
  <si>
    <t>0904085959</t>
  </si>
  <si>
    <t>5a/55 Nguyễn Đức Cảnh, Lê Chân Hải Phòng</t>
  </si>
  <si>
    <t>42 ngách 155/206 Trường Chinh, Hoàng Mai Hà Nội</t>
  </si>
  <si>
    <t>Nguyễn Đình Duy</t>
  </si>
  <si>
    <t>0983511358</t>
  </si>
  <si>
    <t>Phạm Thị Thanh</t>
  </si>
  <si>
    <t>111795864</t>
  </si>
  <si>
    <t>MBA Malina University</t>
  </si>
  <si>
    <t>myptt@topica.edu.vn</t>
  </si>
  <si>
    <t>0903000124</t>
  </si>
  <si>
    <t>Số B30, Khu tập thể đoàn nghệ Thuật Bộ đội biên phòng, Phường Văn Quán, Hà Đông</t>
  </si>
  <si>
    <t>Số 78, Ngõ 193, /32 Phường Bồ Đề, Long Biên, HN</t>
  </si>
  <si>
    <t>c</t>
  </si>
  <si>
    <t>0943384256</t>
  </si>
  <si>
    <t>163034880</t>
  </si>
  <si>
    <t>Học viện Kỹ thuật Mật Mã</t>
  </si>
  <si>
    <t>An toàn Thông tin</t>
  </si>
  <si>
    <t>phonglh@topica.edu.vn</t>
  </si>
  <si>
    <t>01234485790</t>
  </si>
  <si>
    <t>Sôố7 Ngách42, Ngõ 143 Khâm Thiên Hà Nội</t>
  </si>
  <si>
    <t>012600785</t>
  </si>
  <si>
    <t>Công nghệ thông tin</t>
  </si>
  <si>
    <t>Lập trình viên</t>
  </si>
  <si>
    <t>anhnt3@topica.edu.vn</t>
  </si>
  <si>
    <t>01249556242</t>
  </si>
  <si>
    <t>Số 19, Ngõ 141, Quan Nhân, Nhân Chính, Thanh Xuân, Hà Nội</t>
  </si>
  <si>
    <t>Hà Nội</t>
  </si>
  <si>
    <t>012104847</t>
  </si>
  <si>
    <t>nutt@topica.edu.vn</t>
  </si>
  <si>
    <t>0904078067</t>
  </si>
  <si>
    <t>Thôn Đình, Đại Mỗ, Từ Liêm, Hà Nội
 Hà Nội</t>
  </si>
  <si>
    <t>Dương Đình Vinh</t>
  </si>
  <si>
    <t>0912340763</t>
  </si>
  <si>
    <t>Lê Nguyễn Thanh</t>
  </si>
  <si>
    <t>Tây Ninh Tây Ninh</t>
  </si>
  <si>
    <t>024237302</t>
  </si>
  <si>
    <t>ĐH Quốc tế - ĐH QG TPHCM</t>
  </si>
  <si>
    <t>thanhlnt@topica.edu.vn</t>
  </si>
  <si>
    <t>0918696787</t>
  </si>
  <si>
    <t>281 Hòa Hảo, P4, Q 10, TP Hồ Chí Minh
 Hồ Chí Minh</t>
  </si>
  <si>
    <t>Phạm Hải</t>
  </si>
  <si>
    <t>Mỹ Lộc  Nam Định</t>
  </si>
  <si>
    <t>013098129</t>
  </si>
  <si>
    <t>yenph@topica.edu.vn</t>
  </si>
  <si>
    <t>0917686087</t>
  </si>
  <si>
    <t>Số 2c đường 15 - Phường Phúc Xá - Quận Ba Đình Hà Nội</t>
  </si>
  <si>
    <t>Số nhà 33, ngách 96/2, ngõ 48, Ngô Gia Tự - P. Việt Hưng- Q Long Biên Hà Nội</t>
  </si>
  <si>
    <t>Hoàng Văn</t>
  </si>
  <si>
    <t>172775137</t>
  </si>
  <si>
    <t>Học viện Hành chính Cơ sở HCM</t>
  </si>
  <si>
    <t>Quản lý và tổ chức nhân sự</t>
  </si>
  <si>
    <t>thanghv@topica.edu.vn</t>
  </si>
  <si>
    <t>Hoan</t>
  </si>
  <si>
    <t>Đức Thọ Hà Tĩnh</t>
  </si>
  <si>
    <t>013475755</t>
  </si>
  <si>
    <t>hoantt@topica.edu.vn</t>
  </si>
  <si>
    <t>0438695046</t>
  </si>
  <si>
    <t>0983122281</t>
  </si>
  <si>
    <t>254 Đường Giải Phóng, T Xuân Hà Nội</t>
  </si>
  <si>
    <t>Ngô Huy Hoàng</t>
  </si>
  <si>
    <t>0982332886</t>
  </si>
  <si>
    <t>142506897</t>
  </si>
  <si>
    <t>thuybt2@topica.edu.vn</t>
  </si>
  <si>
    <t>Lê Quang</t>
  </si>
  <si>
    <t>anhlq@topica.edu.vn</t>
  </si>
  <si>
    <t>TAH</t>
  </si>
  <si>
    <t>Trần Thành</t>
  </si>
  <si>
    <t>012667045</t>
  </si>
  <si>
    <t>trungtt@topica.edu.vn</t>
  </si>
  <si>
    <t>0436442971</t>
  </si>
  <si>
    <t>0975887145</t>
  </si>
  <si>
    <t>3 Ngõ 86, Thúy Linh, P Lĩnh Nam, Hoàng Mai, Hà Nội
 h</t>
  </si>
  <si>
    <t>Mẹ Vũ Thị Lan</t>
  </si>
  <si>
    <t>m</t>
  </si>
  <si>
    <t>0906143910</t>
  </si>
  <si>
    <t>Lê Hiền</t>
  </si>
  <si>
    <t>tranglh@topica.edu.vn</t>
  </si>
  <si>
    <t>'0933015686</t>
  </si>
  <si>
    <t>Lê Thị Hoa</t>
  </si>
  <si>
    <t>cuclth@topica.edu.vn</t>
  </si>
  <si>
    <t>Đương</t>
  </si>
  <si>
    <t>112282538</t>
  </si>
  <si>
    <t>Công nghệ sinh hoc</t>
  </si>
  <si>
    <t>duongdt@topica.edu.vn</t>
  </si>
  <si>
    <t>Cát Quế. Hoài Đức, Hà Tây</t>
  </si>
  <si>
    <t>Phạm Thị Thúy</t>
  </si>
  <si>
    <t>Bắc Giang</t>
  </si>
  <si>
    <t>121389586</t>
  </si>
  <si>
    <t>lanptt@topica.edu.vn</t>
  </si>
  <si>
    <t>0973971616</t>
  </si>
  <si>
    <t>Thôn Đồng Niên, Xã Tự Lan, Việt Yên, Bắc Giang</t>
  </si>
  <si>
    <t>Phạm Hữu Hiệp</t>
  </si>
  <si>
    <t>0978040345</t>
  </si>
  <si>
    <t>Nguyễn Hải</t>
  </si>
  <si>
    <t>112489666</t>
  </si>
  <si>
    <t>yennh@topica.edu.vn</t>
  </si>
  <si>
    <t>0977247327</t>
  </si>
  <si>
    <t>Chính kinh, Thanh Xuân, Hà Nội</t>
  </si>
  <si>
    <t>Trịnh Thu</t>
  </si>
  <si>
    <t>013176248</t>
  </si>
  <si>
    <t>Học viên Ngoại giao</t>
  </si>
  <si>
    <t>Quan hệ quốc tế</t>
  </si>
  <si>
    <t>huongtt4@edu.vn</t>
  </si>
  <si>
    <t>0978456866</t>
  </si>
  <si>
    <t>Chung cư 183, ngõ 183 Hoàng Văn Thái, Hà Nội</t>
  </si>
  <si>
    <t>Trịnh Bích</t>
  </si>
  <si>
    <t>112250224</t>
  </si>
  <si>
    <t>Tiếng Tây Ban Nha</t>
  </si>
  <si>
    <t>phuongtb@topica.edu.vn</t>
  </si>
  <si>
    <t>0902203416</t>
  </si>
  <si>
    <t>52 Linh Quang B, Văn Chương, Đống Đa, Hà Nội</t>
  </si>
  <si>
    <t>012870547</t>
  </si>
  <si>
    <t>ĐH Ngoại ngữ - ĐH Quốc gia Hà Nội</t>
  </si>
  <si>
    <t>hanhpt@topica.edu.vn</t>
  </si>
  <si>
    <t>0978323474</t>
  </si>
  <si>
    <t>Khu Xa La, Tổ 10, Phúc La, Hà Đông, Hà Nội</t>
  </si>
  <si>
    <t>121930465</t>
  </si>
  <si>
    <t>Đh Thương Mại</t>
  </si>
  <si>
    <t>quản trị kinh doanh</t>
  </si>
  <si>
    <t>hailt@topica.edu.vn</t>
  </si>
  <si>
    <t>0984216512</t>
  </si>
  <si>
    <t>Song Mai, Thành phố Bắc Giang, Bắc Giang</t>
  </si>
  <si>
    <t>Phố Trần Bình, Cầu Giấy, Hà Nội</t>
  </si>
  <si>
    <t>Đỗ Thị Bích</t>
  </si>
  <si>
    <t>151779355</t>
  </si>
  <si>
    <t>ĐH KH XH và NV - ĐH QG HN</t>
  </si>
  <si>
    <t>Tâm lý học</t>
  </si>
  <si>
    <t>ngocdtb@topica.edu.vn</t>
  </si>
  <si>
    <t>0973845169</t>
  </si>
  <si>
    <t>số 7, ngõ 195/41/19 Trần Cung, Từ Liêm, Hà Nội</t>
  </si>
  <si>
    <t>Phan Thu</t>
  </si>
  <si>
    <t>Quỳ</t>
  </si>
  <si>
    <t>Quảng Nam Quảng Nam</t>
  </si>
  <si>
    <t>205544438</t>
  </si>
  <si>
    <t>quybx@topica.edu.vn</t>
  </si>
  <si>
    <t>01696937264</t>
  </si>
  <si>
    <t>Thôn 1, Tam Hải, Núi Thành, Quảng Nam</t>
  </si>
  <si>
    <t>Số 38/18 Nguyễn Giản thanh, Phường 15, Q10 TP HCM
 Hồ Chí Minh</t>
  </si>
  <si>
    <t>Phan Lê</t>
  </si>
  <si>
    <t>233106213</t>
  </si>
  <si>
    <t>Kon Tum</t>
  </si>
  <si>
    <t>ĐH Quốc tế Hồng Bàng TP HCM</t>
  </si>
  <si>
    <t>thuypl@topica.edu.vn</t>
  </si>
  <si>
    <t>0974413320</t>
  </si>
  <si>
    <t>Tổ 1, P. Lê Lợi, TP.Kon Tum, Kon Tum</t>
  </si>
  <si>
    <t>145/44 Quốc Lộ 13, P.Hiệp Bình Chánh, Q.Thủ Đức</t>
  </si>
  <si>
    <t>271908793</t>
  </si>
  <si>
    <t>ĐH Công nghiệp TPHCM</t>
  </si>
  <si>
    <t>thanhpl@topica.edu.vn</t>
  </si>
  <si>
    <t>01678063056</t>
  </si>
  <si>
    <t>Bình Định Bình Định</t>
  </si>
  <si>
    <t>230861964</t>
  </si>
  <si>
    <t>uyenntt3@topica.edu.com</t>
  </si>
  <si>
    <t>0986855605</t>
  </si>
  <si>
    <t>35 Nguyễn Thị Minh Khai, P Yên Đỗ, Pleiku, Gia Lai</t>
  </si>
  <si>
    <t>107/37/4 Ni sư Huỳnh Liên, P 10, Q Tân Bình, TP HCM</t>
  </si>
  <si>
    <t/>
  </si>
  <si>
    <t>Nguyễn Hoàng Phương</t>
  </si>
  <si>
    <t>012604368</t>
  </si>
  <si>
    <t>Ngôn ngữ Anh</t>
  </si>
  <si>
    <t>linhnhp@topica.edu.vn</t>
  </si>
  <si>
    <t>01234166144</t>
  </si>
  <si>
    <t>173B - A17, Mai Hương, Bạch Mai, Hà Nội</t>
  </si>
  <si>
    <t>Triệu Sơn Thanh Hóa</t>
  </si>
  <si>
    <t>013491535</t>
  </si>
  <si>
    <t>ngant3@topica.edu.vn</t>
  </si>
  <si>
    <t>0983669780</t>
  </si>
  <si>
    <t>Xóm 6- Cổ Nhuế-Từ Liêm Hà Nội</t>
  </si>
  <si>
    <t>Trịnh Hà</t>
  </si>
  <si>
    <t>Lê</t>
  </si>
  <si>
    <t>Cẩm Bình Hải Dương</t>
  </si>
  <si>
    <t>012783380</t>
  </si>
  <si>
    <t>TP Hà Nội</t>
  </si>
  <si>
    <t>leth@topica.edu.vn</t>
  </si>
  <si>
    <t>0947529288</t>
  </si>
  <si>
    <t>Số 52 Hàng Nón, Hoàn Kiếm Hà Nội</t>
  </si>
  <si>
    <t>Số 4/54/218 Lạc Long Quân,Tây Hồ Hà Nội</t>
  </si>
  <si>
    <t>Nguyễn Thị Hoàng</t>
  </si>
  <si>
    <t>Thanh Trì - Hà Nội</t>
  </si>
  <si>
    <t>Thanh Hóa</t>
  </si>
  <si>
    <t>012485834</t>
  </si>
  <si>
    <t>hantn@topica.edu.vn</t>
  </si>
  <si>
    <t>01695866328</t>
  </si>
  <si>
    <t>Thị trấn Văn Điển - Thanh Trì Hà Nội</t>
  </si>
  <si>
    <t>Nguyễn Quốc Quân</t>
  </si>
  <si>
    <t>Phan Thu</t>
  </si>
  <si>
    <t>012121562</t>
  </si>
  <si>
    <t>trangpt@topica.edu.vn</t>
  </si>
  <si>
    <t>0972411881</t>
  </si>
  <si>
    <t>39 Lương Sử A - Văn Chương - Đống Đa - Hà Nội</t>
  </si>
  <si>
    <t>Số 6 ngách 173/24/7, nog4 173 Hoàng Hoa Thám - Ba đình - Hà Nội</t>
  </si>
  <si>
    <t>Vũ Thành Đạt</t>
  </si>
  <si>
    <t>012314120</t>
  </si>
  <si>
    <t>ACET - Australian</t>
  </si>
  <si>
    <t>huyentt@topica.edu.vn</t>
  </si>
  <si>
    <t>0988417185</t>
  </si>
  <si>
    <t>Số 28, ngõ 5, Đường Nguyễn Văn Cừ, Long Biên Hà Nội</t>
  </si>
  <si>
    <t>Vũ Như</t>
  </si>
  <si>
    <t>172011629</t>
  </si>
  <si>
    <t>Học viện tài chính</t>
  </si>
  <si>
    <t>quynhvn@topica.edu.vn</t>
  </si>
  <si>
    <t>0917830039</t>
  </si>
  <si>
    <t>SN 402, A1 Tập Thể Trại Găng, Thanh Nhàn, Hà Nội</t>
  </si>
  <si>
    <t>Trần Hương</t>
  </si>
  <si>
    <t>Hoa Lư Ninh Bình</t>
  </si>
  <si>
    <t>011801353</t>
  </si>
  <si>
    <t>giangth@topica.edu.vn</t>
  </si>
  <si>
    <t>0903405085</t>
  </si>
  <si>
    <t>số 7 Ngõ 205, phố Tây Sơn, Hà Nội
 Hà Nội</t>
  </si>
  <si>
    <t>012118147</t>
  </si>
  <si>
    <t>ĐH Ngoại ngữ Quân Sự</t>
  </si>
  <si>
    <t>Tiếng Pháp</t>
  </si>
  <si>
    <t>hangptt@topica.edu.vn</t>
  </si>
  <si>
    <t>0979010183</t>
  </si>
  <si>
    <t>Số 18 ngõ Chùa Hưng Phúc, Yên Sở Thượng - Hoàng Mai - Hà Nội</t>
  </si>
  <si>
    <t>050536330</t>
  </si>
  <si>
    <t>Sơn La</t>
  </si>
  <si>
    <t>Chính trị học</t>
  </si>
  <si>
    <t>nhantt@topica.edu.vn</t>
  </si>
  <si>
    <t>0989052045</t>
  </si>
  <si>
    <t>Bản Tiến Xa, Mường Bon, Mẫu Sơn, Sơn La</t>
  </si>
  <si>
    <t>số 20, Ngõ 21, Phan đình Giót, Thanh Xuân, Hà Nội</t>
  </si>
  <si>
    <t>Thái Bình</t>
  </si>
  <si>
    <t>131222360</t>
  </si>
  <si>
    <t>ĐH Kinh tế quốc dân</t>
  </si>
  <si>
    <t>Quản trị kinh doanh tổng hợp</t>
  </si>
  <si>
    <t>huongnt4@topica.edu.vn</t>
  </si>
  <si>
    <t>0912090929</t>
  </si>
  <si>
    <t>Số 25 khu 21 Tổ 28D Phường Gia Cẩm, TP Việt Trì, Phú Thọ</t>
  </si>
  <si>
    <t>Số 46 tổ 24 phường Hoàng Văn Thụ, Q Hoàng Mai, Hà Nội</t>
  </si>
  <si>
    <t>Thanh Hóa Thanh Hóa</t>
  </si>
  <si>
    <t>172024217</t>
  </si>
  <si>
    <t>ngoclt@topica.edu.vn</t>
  </si>
  <si>
    <t>0986415451</t>
  </si>
  <si>
    <t>184, Đường Lê Lai, Xã Đông Hương, TP Thanh Hóa</t>
  </si>
  <si>
    <t>16 ngõ 216 Hồng Mai, Hai Bà Trưng, Hà Nội</t>
  </si>
  <si>
    <t>162575034</t>
  </si>
  <si>
    <t>Cao đẳng hóa chất</t>
  </si>
  <si>
    <t>haont@topica.edu.vn</t>
  </si>
  <si>
    <t>0988252804</t>
  </si>
  <si>
    <t>Số nhà 67/467 - Linh 4Nam - Hoàng Mai - Hà Nội</t>
  </si>
  <si>
    <t>012781669</t>
  </si>
  <si>
    <t>Công nghệ sinh học</t>
  </si>
  <si>
    <t>lantt@topica.edu.vn</t>
  </si>
  <si>
    <t>01685935430</t>
  </si>
  <si>
    <t>3/27 ngõ 221, Vĩnh Hưng, Hoàng Mai, Hà Nội</t>
  </si>
  <si>
    <t>Tăng Ngọc Diễm</t>
  </si>
  <si>
    <t>Ty</t>
  </si>
  <si>
    <t>341415646</t>
  </si>
  <si>
    <t>CĐ Bách Việt</t>
  </si>
  <si>
    <t>Nghiệp vụ thư ký văn phòng</t>
  </si>
  <si>
    <t>tytnd@topica.edu.vn</t>
  </si>
  <si>
    <t>0946056277</t>
  </si>
  <si>
    <t>diemty111@yahoo.com</t>
  </si>
  <si>
    <t>Ấp Tân Lộc B, Xã Tân Dương, Huyện Lai Vung, Tỉnh Đồng Tháp</t>
  </si>
  <si>
    <t>77/7 Thiên Phước, F15, Q11, TP.HCM</t>
  </si>
  <si>
    <t>Lê Anh</t>
  </si>
  <si>
    <t>012550748</t>
  </si>
  <si>
    <t>Quan hệ công chúng</t>
  </si>
  <si>
    <t>0936165336</t>
  </si>
  <si>
    <t>90 ngõ 42 Thành Công Ba Đình HN</t>
  </si>
  <si>
    <t>Trần Bích</t>
  </si>
  <si>
    <t>ngoctb@topica.edu.vn</t>
  </si>
  <si>
    <t>Hoàng Thị</t>
  </si>
  <si>
    <t>241218483</t>
  </si>
  <si>
    <t>Đại học Ngân Hàng TPHCM</t>
  </si>
  <si>
    <t>thuyht@topica.edu.vn</t>
  </si>
  <si>
    <t>097369 9090</t>
  </si>
  <si>
    <t>234 Lê Thánh Tông-P.Tân Lợi- Tp Buôn Ma Thuột</t>
  </si>
  <si>
    <t>Nguyễn Thị Bảo</t>
  </si>
  <si>
    <t>023767273</t>
  </si>
  <si>
    <t>CA.TPHCM</t>
  </si>
  <si>
    <t>Cao đẳng kỹ thuật Cao Thắng</t>
  </si>
  <si>
    <t>Kế toán Doanh nghiệp</t>
  </si>
  <si>
    <t>ngocntb2@topica.edu.vn</t>
  </si>
  <si>
    <t>0123.777.7273/ 0938777273</t>
  </si>
  <si>
    <t>66/4 Đường 26/3, P. Bình Hưng Hòa, Q.Bình Tân, TPHCM</t>
  </si>
  <si>
    <t>66/4 đường 26/3, phường Bình Hưng Hòa, quận Bình Tân, TPHCM</t>
  </si>
  <si>
    <t>Phùng Ngọc Thùy</t>
  </si>
  <si>
    <t>trangpnt@topica.edu.vn</t>
  </si>
  <si>
    <t>Trần Thục</t>
  </si>
  <si>
    <t>Chân</t>
  </si>
  <si>
    <t>Triều Châu-Trung Quốc</t>
  </si>
  <si>
    <t>024316231</t>
  </si>
  <si>
    <t>Đại học Mở TP HCM</t>
  </si>
  <si>
    <t>Tài chính ngân hàng</t>
  </si>
  <si>
    <t>chantt@topica.edu.vn</t>
  </si>
  <si>
    <t>01269525552</t>
  </si>
  <si>
    <t>723/8- Đường Hồng Bàng - Phường 6-Quận 6 - TP HCM</t>
  </si>
  <si>
    <t>Trần Nguyễn Phi</t>
  </si>
  <si>
    <t>phungtnp@topica.edu.vn</t>
  </si>
  <si>
    <t>Nguyen Thi Minh</t>
  </si>
  <si>
    <t>Phuc</t>
  </si>
  <si>
    <t>phucntm@topica.edu.vn</t>
  </si>
  <si>
    <t>dungntm@topica.edu.vn</t>
  </si>
  <si>
    <t>Nguyễn Thị Ánh</t>
  </si>
  <si>
    <t>xuannta@topica.edu.vn</t>
  </si>
  <si>
    <t>Lê Thị Phương</t>
  </si>
  <si>
    <t>Kiều</t>
  </si>
  <si>
    <t>Tam Xuân, Tam Kỳ Quảng Nam</t>
  </si>
  <si>
    <t>240922659</t>
  </si>
  <si>
    <t>kieultp@topica.edu.vn</t>
  </si>
  <si>
    <t>0976761016</t>
  </si>
  <si>
    <t>lekieu1109@gmail.com</t>
  </si>
  <si>
    <t>Phước An, Krong Pac Đắk Lắk</t>
  </si>
  <si>
    <t>138/8 Phú Thọ Hòa, P. Phú Thọ Hòa, Q. Tân Phú Hồ Chí Minh</t>
  </si>
  <si>
    <t>thuyltt@topica.edu.vn</t>
  </si>
  <si>
    <t>Phan Thanh</t>
  </si>
  <si>
    <t>Toàn</t>
  </si>
  <si>
    <t>013338836</t>
  </si>
  <si>
    <t>toanpt@topica.edu.vn</t>
  </si>
  <si>
    <t>0912069762</t>
  </si>
  <si>
    <t>Đức Diễn - Phú Diễn - Từ Liêm- Hà Nội
 h</t>
  </si>
  <si>
    <t>Nguyễn Thị Bảo Loan</t>
  </si>
  <si>
    <t>v</t>
  </si>
  <si>
    <t>0987735974</t>
  </si>
  <si>
    <t>Thơm</t>
  </si>
  <si>
    <t>Phước Long</t>
  </si>
  <si>
    <t>Minh Hải</t>
  </si>
  <si>
    <t>285141311</t>
  </si>
  <si>
    <t>CA Bình Phước</t>
  </si>
  <si>
    <t>Công nghệ &amp; Quản lý Môi trường</t>
  </si>
  <si>
    <t>thomlth@topica.edu.vn</t>
  </si>
  <si>
    <t>Long Hà, Phước Long Bình Phước</t>
  </si>
  <si>
    <t>39B - Đường số 3- Phường 5, Gò Vấp</t>
  </si>
  <si>
    <t>Bùi Thị Xuân</t>
  </si>
  <si>
    <t>205413999</t>
  </si>
  <si>
    <t>Quảng nam</t>
  </si>
  <si>
    <t>Đại học Dân Lập Văn Lang</t>
  </si>
  <si>
    <t>quynhbtx@topica.edu.com</t>
  </si>
  <si>
    <t>0972598468</t>
  </si>
  <si>
    <t>Tam Hải - Nam Thành - Quảng Nam</t>
  </si>
  <si>
    <t>407 lô C2 Chung cư phường 6, Quận 4, Tp HCM</t>
  </si>
  <si>
    <t>241109012</t>
  </si>
  <si>
    <t>ĐH Tây Nguyên</t>
  </si>
  <si>
    <t>ngocttb@topica.edu.vn</t>
  </si>
  <si>
    <t>01698244359</t>
  </si>
  <si>
    <t>P.Khánh Xuân, TP Buôn Ma Thuột, Daklak</t>
  </si>
  <si>
    <t>431/1 Nguyễn Tri Phương, P.12, Q.10, TP HCM</t>
  </si>
  <si>
    <t>Cao đẳng kinh tế kỹ thuật Sài Gòn</t>
  </si>
  <si>
    <t>trangntx2@topica.edu.vn</t>
  </si>
  <si>
    <t>Trần Ngọc</t>
  </si>
  <si>
    <t>011875466</t>
  </si>
  <si>
    <t>Đại học kinh tế Quốc dân</t>
  </si>
  <si>
    <t>vantn@topica.edu.vn</t>
  </si>
  <si>
    <t>0919470105</t>
  </si>
  <si>
    <t>P410- C9- Thành Công - Ba Đình Hà Nội</t>
  </si>
  <si>
    <t>Từ Phương</t>
  </si>
  <si>
    <t>thanhtp@topica.edu.vn</t>
  </si>
  <si>
    <t>Hòa Vang</t>
  </si>
  <si>
    <t>250722176</t>
  </si>
  <si>
    <t>CA Lâm Đồng</t>
  </si>
  <si>
    <t>trinhnt@topica.edu.vn</t>
  </si>
  <si>
    <t>Thanh Mỹ, Đơn Dương Lâm Đồng</t>
  </si>
  <si>
    <t>27/2 Trần Phú - Thanh Mỹ - Đơn Dương</t>
  </si>
  <si>
    <t>Đỗ Phượng</t>
  </si>
  <si>
    <t>quyendp@topica.edu.vn</t>
  </si>
  <si>
    <t>Hà Nam Ninh</t>
  </si>
  <si>
    <t>381385242</t>
  </si>
  <si>
    <t>Đại học Quốc Tế Hồng Bàng</t>
  </si>
  <si>
    <t>tranglt@topica.edu.vn</t>
  </si>
  <si>
    <t>0987 388 896</t>
  </si>
  <si>
    <t>Ấp C Hồng Mỹ - Hàm Rồng- Năm Căn -Cà Mau</t>
  </si>
  <si>
    <t>Hồ Trần Thanh</t>
  </si>
  <si>
    <t>Gò Vấp</t>
  </si>
  <si>
    <t>024238493</t>
  </si>
  <si>
    <t>Kỹ Thuật lập Trình</t>
  </si>
  <si>
    <t>0937051379</t>
  </si>
  <si>
    <t>91/4K, Khu Phố 1, P.Hiệp Thành, Q12, Tp.HCM</t>
  </si>
  <si>
    <t>Nam Định</t>
  </si>
  <si>
    <t>162872101</t>
  </si>
  <si>
    <t>huongvtt2@topica.edu.vn</t>
  </si>
  <si>
    <t>03503878260</t>
  </si>
  <si>
    <t>0982410430</t>
  </si>
  <si>
    <t>Hải Hà, Hải Hậu, Nam Định</t>
  </si>
  <si>
    <t>Nhân Mỹ, Mỹ đình, Từ Liêm, Hà Nội</t>
  </si>
  <si>
    <t>Vũ Thanh Bằng</t>
  </si>
  <si>
    <t>0914658360</t>
  </si>
  <si>
    <t>025357103</t>
  </si>
  <si>
    <t>huyenvtt2@topica.edu.vn</t>
  </si>
  <si>
    <t>0908 096 900</t>
  </si>
  <si>
    <t>266/78/47 Tô Hiến Thành, P.15, Q.10, TP.HCM</t>
  </si>
  <si>
    <t>Phạm Cao</t>
  </si>
  <si>
    <t>023899544</t>
  </si>
  <si>
    <t>ĐH CN Sài Gòn</t>
  </si>
  <si>
    <t>0166 634 3749</t>
  </si>
  <si>
    <t>C4/4 Ấp 3 Xã Vĩnh Lộc B, huyện Bình Chánh, TP HCM</t>
  </si>
  <si>
    <t>Tạ Thị</t>
  </si>
  <si>
    <t>111801614</t>
  </si>
  <si>
    <t>Xuất bản - c/n Biên tập</t>
  </si>
  <si>
    <t>huongtt5@topica.edu.vn</t>
  </si>
  <si>
    <t>090 445 9596</t>
  </si>
  <si>
    <t>Trung Tú, Ứng Hòa,Hà Nội</t>
  </si>
  <si>
    <t>Ngõ Trại cá - Hàng Mã - Hà Nội</t>
  </si>
  <si>
    <t>Trần Khánh</t>
  </si>
  <si>
    <t>Phú Thọ</t>
  </si>
  <si>
    <t>013399745</t>
  </si>
  <si>
    <t>ĐH Ngoại ngữ - ĐH Đà Nẵng</t>
  </si>
  <si>
    <t>Cử nhân sư phạm tiếng Trung</t>
  </si>
  <si>
    <t>vantk@topica.edu.vn</t>
  </si>
  <si>
    <t>0902 286 168</t>
  </si>
  <si>
    <t>tổ 12 phường Nghĩa Đô, quận Cầu Giấy, Hà Nội</t>
  </si>
  <si>
    <t>số 2 ngõ 191/46 Lạc Long Quân
 Hà Nội</t>
  </si>
  <si>
    <t>Nguyễn Hoàng Dương</t>
  </si>
  <si>
    <t>0919 013 999</t>
  </si>
  <si>
    <t>PAWN</t>
  </si>
  <si>
    <t>Hà Nam Hà Nam</t>
  </si>
  <si>
    <t>012847013</t>
  </si>
  <si>
    <t>01678 416 616</t>
  </si>
  <si>
    <t>39, tổ 66B, ngõ Trại Cá, Trương Định,HN
 h</t>
  </si>
  <si>
    <t>Phí Thị Thu</t>
  </si>
  <si>
    <t>151345327</t>
  </si>
  <si>
    <t>huongptt@topica.edu.vn</t>
  </si>
  <si>
    <t>0989 725 861</t>
  </si>
  <si>
    <t>Song Phương Hoài Đức Hà Nội
 h</t>
  </si>
  <si>
    <t>185-KH Thôn 6, Song Phương, Hoài Đức, Hà Nội
 h</t>
  </si>
  <si>
    <t>Công nghệ kỹ thuật hóa</t>
  </si>
  <si>
    <t>hienntt2@topica.edu.vn</t>
  </si>
  <si>
    <t>0983 958 344</t>
  </si>
  <si>
    <t>SN 31- ngõ 186-Vương Thừa Vũ-Khương Trung-Thanh Xuân HN</t>
  </si>
  <si>
    <t>Hoàng Như</t>
  </si>
  <si>
    <t>024487721</t>
  </si>
  <si>
    <t>ĐH Công nghiệp HCM</t>
  </si>
  <si>
    <t>Công nghệ thực phẩm</t>
  </si>
  <si>
    <t>anhhn2@topica.edu.vn</t>
  </si>
  <si>
    <t>08 38460100</t>
  </si>
  <si>
    <t>0121 4699 519</t>
  </si>
  <si>
    <t>344/459, CMT8, P.5, Q. Tân Bình</t>
  </si>
  <si>
    <t>686/60, CMT8, P.5, Q.Tân Bình</t>
  </si>
  <si>
    <t>Đoàn Thị Thanh</t>
  </si>
  <si>
    <t>Quảng Bình</t>
  </si>
  <si>
    <t>132008415</t>
  </si>
  <si>
    <t>giangdtt@topica.edu.vn</t>
  </si>
  <si>
    <t>0985786373</t>
  </si>
  <si>
    <t>Xã Chỉ Đám Huyện Đoan Hùng Tỉnh Phú Thọ</t>
  </si>
  <si>
    <t>Đoàn Ngà</t>
  </si>
  <si>
    <t>Yên Bắc Hà Nam</t>
  </si>
  <si>
    <t>017390850</t>
  </si>
  <si>
    <t>Hà Nộ</t>
  </si>
  <si>
    <t>ĐH Sư Phạm Nghệ Thuật Trung ương</t>
  </si>
  <si>
    <t>Sư phạm Mỹ thuật</t>
  </si>
  <si>
    <t>số 216 - Tổ 6 - Phường Mỗ Lao - Hà Đông Hà Nội</t>
  </si>
  <si>
    <t>Dương Văn Thắng</t>
  </si>
  <si>
    <t>0904260188</t>
  </si>
  <si>
    <t>Vĩnh Phú</t>
  </si>
  <si>
    <t>312019979</t>
  </si>
  <si>
    <t>Cao đẳng Kinh tế Đối Ngoại</t>
  </si>
  <si>
    <t>nhanntt2@topica.edu.vn</t>
  </si>
  <si>
    <t>0168 997 4460</t>
  </si>
  <si>
    <t>20, Lê Văn Phẩm, phường 5, TP Mỹ Tho, Tiền Giang</t>
  </si>
  <si>
    <t>Võ Thị Mỹ</t>
  </si>
  <si>
    <t>Quy Nhơn Bình Định</t>
  </si>
  <si>
    <t>215167701</t>
  </si>
  <si>
    <t>ĐH Mở TP HCM</t>
  </si>
  <si>
    <t>hoavtm@topica.edu.com</t>
  </si>
  <si>
    <t>090 887 9247</t>
  </si>
  <si>
    <t>306/46 Hoàng Văn Thụ Quy Nhơn</t>
  </si>
  <si>
    <t>87/12A Đường số 9, P.9, Q.Gò Vấp Hồ Chí Minh</t>
  </si>
  <si>
    <t>Trần Thị Hương</t>
  </si>
  <si>
    <t>023970559</t>
  </si>
  <si>
    <t>ĐH Khoa học Tự nhiên</t>
  </si>
  <si>
    <t>lantth@topica.edu.vn</t>
  </si>
  <si>
    <t>0902 258 933</t>
  </si>
  <si>
    <t>terasalan1585@gmail.com</t>
  </si>
  <si>
    <t>597/60/18 Quang Trung, p11,Q.Gò Vấp Hồ Chí Minh</t>
  </si>
  <si>
    <t>Đào Thị Bích</t>
  </si>
  <si>
    <t>Phan Thị Diệu</t>
  </si>
  <si>
    <t>Nguyễn Tùng</t>
  </si>
  <si>
    <t>Lâm</t>
  </si>
  <si>
    <t>Diễn Châu Nghệ An</t>
  </si>
  <si>
    <t>013242046</t>
  </si>
  <si>
    <t>lamnt@topica.edu.vn</t>
  </si>
  <si>
    <t>0437893976</t>
  </si>
  <si>
    <t>0996099888</t>
  </si>
  <si>
    <t>74 Ngõ 285 Đội Cấn, Ba Đình Hà Nội</t>
  </si>
  <si>
    <t>220 Đội 8 Xã Đại Mỗ - Từ Liêm Hà Nội</t>
  </si>
  <si>
    <t>Trần Thị Tuyết Lan</t>
  </si>
  <si>
    <t>Vợ</t>
  </si>
  <si>
    <t>0989263880</t>
  </si>
  <si>
    <t>Đan Phượng Hà Nội</t>
  </si>
  <si>
    <t>112221930</t>
  </si>
  <si>
    <t>0974359216</t>
  </si>
  <si>
    <t>cụm 8, Tân Hội, Đan Phượng Hà Nội</t>
  </si>
  <si>
    <t>70, Hoàng Mai, Hai Bà Trưng Hà Nội</t>
  </si>
  <si>
    <t>Nguyễn Thạc Bắc</t>
  </si>
  <si>
    <t>Đoàn Tùng, Thanh Miện Hải Dương</t>
  </si>
  <si>
    <t>142319913</t>
  </si>
  <si>
    <t>Quản lý Văn Hóa</t>
  </si>
  <si>
    <t>quyendt@topica.edu.vn</t>
  </si>
  <si>
    <t>01689991923</t>
  </si>
  <si>
    <t>282A Đặng Tiến Đông- Trung Liệt- Đống Đa Hà Nội</t>
  </si>
  <si>
    <t>Đỗ Văn Thoại</t>
  </si>
  <si>
    <t>Đinh Thị</t>
  </si>
  <si>
    <t>Tiên Ngoại, Duy Tiên Hà Nam</t>
  </si>
  <si>
    <t>013580684</t>
  </si>
  <si>
    <t>thomdt@topica.edu.vn</t>
  </si>
  <si>
    <t>0939205816</t>
  </si>
  <si>
    <t>30 ngõ 432 Đội Cấn Hà Nội</t>
  </si>
  <si>
    <t>Đinh Văn Vương</t>
  </si>
  <si>
    <t>Hà Nội Hà Nội</t>
  </si>
  <si>
    <t>012593993</t>
  </si>
  <si>
    <t>travh@topica.edu.vn</t>
  </si>
  <si>
    <t>0437613272</t>
  </si>
  <si>
    <t>0975763076</t>
  </si>
  <si>
    <t>Số 99 Đê La Thành - Ngọc Khánh  Hà Nội</t>
  </si>
  <si>
    <t>Số 42 Ngõ 6 Vĩnh Phúc 1 - Ba Đình Hà Nội</t>
  </si>
  <si>
    <t>Vũ Văn Kết</t>
  </si>
  <si>
    <t>0972219852</t>
  </si>
  <si>
    <t>OC</t>
  </si>
  <si>
    <t>Lê Thị Hồng</t>
  </si>
  <si>
    <t>285218326</t>
  </si>
  <si>
    <t>ĐH Tài Chính Marketing</t>
  </si>
  <si>
    <t>kieulth@topica.edu.vn</t>
  </si>
  <si>
    <t>0905218700</t>
  </si>
  <si>
    <t>Bình Tiến, Đa Kia, Phước Long</t>
  </si>
  <si>
    <t>502/75 Huỳnh Tấn Phát, KP3, Bình Thuận</t>
  </si>
  <si>
    <t>Trần Hồng</t>
  </si>
  <si>
    <t>Phúc</t>
  </si>
  <si>
    <t>TT Thanh Bình, Thanh Bình Đồng Tháp</t>
  </si>
  <si>
    <t>341493627</t>
  </si>
  <si>
    <t>C.A Đồng Tháp</t>
  </si>
  <si>
    <t>ĐH Văn Hóa TP HCM</t>
  </si>
  <si>
    <t>phucth@topica.edu.vn</t>
  </si>
  <si>
    <t>0974799411</t>
  </si>
  <si>
    <t>hongphuc2206@yahoo.com</t>
  </si>
  <si>
    <t>số 53 ấp Tân Đông B, TT Thanh Bình, Thanh Bình Đồng Tháp</t>
  </si>
  <si>
    <t>391/52 Sư Vạn Hạnh, p12,Q.10 Hồ Chí Minh</t>
  </si>
  <si>
    <t>Phan Thị Xuân Thùy</t>
  </si>
  <si>
    <t>Bạn</t>
  </si>
  <si>
    <t>01656146572</t>
  </si>
  <si>
    <t>Nghệ An Nghệ An</t>
  </si>
  <si>
    <t>280811157</t>
  </si>
  <si>
    <t>CA Bình Dương</t>
  </si>
  <si>
    <t>Kinh tế phát triển</t>
  </si>
  <si>
    <t>habtt@topica.edu.vn</t>
  </si>
  <si>
    <t>0986965409</t>
  </si>
  <si>
    <t>thuhabui79@gmail.com</t>
  </si>
  <si>
    <t>4/206 Hòa Lân 1, Thuận Giao,Thuận An Bình Dương</t>
  </si>
  <si>
    <t>62/7/29A Trần Bình Trọng, Phường 5, Quận Bình Thạnh Hồ Chí Minh</t>
  </si>
  <si>
    <t>Bùi Thị Thu Hương</t>
  </si>
  <si>
    <t>Chị</t>
  </si>
  <si>
    <t>0913120135</t>
  </si>
  <si>
    <t>Đáng</t>
  </si>
  <si>
    <t>024908594</t>
  </si>
  <si>
    <t>dangpt@topica.edu.vn</t>
  </si>
  <si>
    <t>0945869150</t>
  </si>
  <si>
    <t>dangpham.1012@gmail.com</t>
  </si>
  <si>
    <t>227/57 Phạm Đăng Giảng, P. Bình Hưng Hòa, Q.Bình Tân Hồ Chí Minh</t>
  </si>
  <si>
    <t>Kế T.B1/26/5 liên ấp 2-6, xã Vĩnh Lộc A, Bình Chánh Hồ Chí Minh</t>
  </si>
  <si>
    <t>01204842686</t>
  </si>
  <si>
    <t>Khánh</t>
  </si>
  <si>
    <t>Phú Xuyên Hà Nội</t>
  </si>
  <si>
    <t>012283683</t>
  </si>
  <si>
    <t>ĐH Tổng hợp kỹ thuật điện Xanh-Petecbua "LETI"</t>
  </si>
  <si>
    <t>Khoa học Kỹ Thuật và Công nghệ</t>
  </si>
  <si>
    <t>khanhbn@topica.edu.vn</t>
  </si>
  <si>
    <t>0936038948</t>
  </si>
  <si>
    <t>Số 24B, Trần Hưng Đạo, Hoàn Kiếm Hà Nội</t>
  </si>
  <si>
    <t>Phạm Thái Hoàng</t>
  </si>
  <si>
    <t>Cần Thơ</t>
  </si>
  <si>
    <t>Trung Nhứt, Thốt Nốt Cần Thơ</t>
  </si>
  <si>
    <t>362240998</t>
  </si>
  <si>
    <t>ĐH Kinh tế - Luật</t>
  </si>
  <si>
    <t>anpth@topica.edu.vn</t>
  </si>
  <si>
    <t>01688045035</t>
  </si>
  <si>
    <t>hoanganqsk@gmail.com</t>
  </si>
  <si>
    <t>171/3 KV Phúc 1 - P.Trung nhứt -Q.Thốt Nốt  Cần Thơ</t>
  </si>
  <si>
    <t>76/50/12 DD, Tổ 41, KP4, P.Linh Trung, Thủ Đức Hồ Chí Minh</t>
  </si>
  <si>
    <t>Phạm Thái Hoàng Anh</t>
  </si>
  <si>
    <t>0978147081</t>
  </si>
  <si>
    <t>Hàm Tân Bình Thuận</t>
  </si>
  <si>
    <t>261116573</t>
  </si>
  <si>
    <t>C.A Bình Thuận</t>
  </si>
  <si>
    <t>CĐ Cộng đồng Bình Thuận</t>
  </si>
  <si>
    <t>thuantt@topica.edu.vn</t>
  </si>
  <si>
    <t>0987249704</t>
  </si>
  <si>
    <t>thuantran2601@gmail.com</t>
  </si>
  <si>
    <t>Thôn 3 - Sơn Mỹ - Hàm Tân Bình Thuận</t>
  </si>
  <si>
    <t>58/7G Đồng Nai, P15, Q10 Hồ Chí Minh</t>
  </si>
  <si>
    <t>Trần Thị Thanh Hoài</t>
  </si>
  <si>
    <t>01669335089</t>
  </si>
  <si>
    <t>Ngô Thị Huỳnh</t>
  </si>
  <si>
    <t>An Phong, Thanh Bình Đồng Tháp</t>
  </si>
  <si>
    <t>341514989</t>
  </si>
  <si>
    <t>CĐ Văn hóa Nghệ thuật và Du lịch Sài Gòn</t>
  </si>
  <si>
    <t>hanth2@topica.edu.vn</t>
  </si>
  <si>
    <t>0987856658</t>
  </si>
  <si>
    <t>gr.ngo0305@gmail.com</t>
  </si>
  <si>
    <t>107 Ấp thị, Xã An Phong, Huyện Thanh Bình, Đồng Tháp</t>
  </si>
  <si>
    <t>209 Chiến Thắng, P.9, Q.Phú Nhuận</t>
  </si>
  <si>
    <t>Ngô Huỳnh Khang</t>
  </si>
  <si>
    <t>0973999229</t>
  </si>
  <si>
    <t>Dương Thị Ngọc</t>
  </si>
  <si>
    <t>Tài</t>
  </si>
  <si>
    <t>TP Hồ Chí Minh Hồ Chí Minh</t>
  </si>
  <si>
    <t>024351125</t>
  </si>
  <si>
    <t>taidtn@topica.edu.vn</t>
  </si>
  <si>
    <t>38976525</t>
  </si>
  <si>
    <t>0973812346</t>
  </si>
  <si>
    <t>pando_kate@yahoo.com</t>
  </si>
  <si>
    <t>428 Nguyễn Thị Định, P.Thạch Mỹ Lợi, Q2 Hồ Chí Minh</t>
  </si>
  <si>
    <t>Vòng Vĩnh Đạt</t>
  </si>
  <si>
    <t>0984500725</t>
  </si>
  <si>
    <t>Ngô Trương Khánh</t>
  </si>
  <si>
    <t>187/20 Cô Giang, Phường Cô Giang, Quận 1 Hồ Chí Minh</t>
  </si>
  <si>
    <t>024087211</t>
  </si>
  <si>
    <t>ĐH RMIT VN</t>
  </si>
  <si>
    <t>huyntk@topica.edu.vn</t>
  </si>
  <si>
    <t>0937259084</t>
  </si>
  <si>
    <t>huy.ngo121188@gmail.com</t>
  </si>
  <si>
    <t>Trương Thị Phước Bình</t>
  </si>
  <si>
    <t>0908147756</t>
  </si>
  <si>
    <t>PSGE</t>
  </si>
  <si>
    <t>Ninh Bình\</t>
  </si>
  <si>
    <t>Bích Đào Ninh Bình</t>
  </si>
  <si>
    <t>164342224</t>
  </si>
  <si>
    <t>thaott2@topica.edu.vn</t>
  </si>
  <si>
    <t>0948853444</t>
  </si>
  <si>
    <t>trinhthuthao3008@gmail.com</t>
  </si>
  <si>
    <t>số nhà 27, đường 5, phố Đông Sơn, phường Bích Đào Ninh Bình</t>
  </si>
  <si>
    <t>33, ngõ 236/18, Đường Khương Đình, phường Hạ Đình, Thanh Xuân Hà Nội</t>
  </si>
  <si>
    <t>An Thị Gấm</t>
  </si>
  <si>
    <t>Sóc Sơn Hà Nội</t>
  </si>
  <si>
    <t>012852751</t>
  </si>
  <si>
    <t>trangntm@topica.edu.vn</t>
  </si>
  <si>
    <t>0936449189</t>
  </si>
  <si>
    <t>Quốc lộ 2, Phú Cường, Sóc Sơn Hà Nội</t>
  </si>
  <si>
    <t>Nguyễn Thị Hồng</t>
  </si>
  <si>
    <t>Kim Lộc, Can Lộc, Hà Tĩnh</t>
  </si>
  <si>
    <t>183640057</t>
  </si>
  <si>
    <t>ĐH Điện Lực</t>
  </si>
  <si>
    <t>0915 330 567</t>
  </si>
  <si>
    <t>Ngõ 1 - Hoàng Quốc Việt - Cầu Giấy - Hà Nội</t>
  </si>
  <si>
    <t>Nguyễn Văn Toản</t>
  </si>
  <si>
    <t>0979 021 858</t>
  </si>
  <si>
    <t>Phạm Quang</t>
  </si>
  <si>
    <t>Long</t>
  </si>
  <si>
    <t>Yên Xá, Ý Yên, Nam Định</t>
  </si>
  <si>
    <t>082 055840</t>
  </si>
  <si>
    <t>Tài chính Quốc tế</t>
  </si>
  <si>
    <t>longpq@topica.edu.vn</t>
  </si>
  <si>
    <t>0987 834 124</t>
  </si>
  <si>
    <t>Nhà 49, Đường Phai Vệ, Vĩnh Trại, Lạng Sơn</t>
  </si>
  <si>
    <t>Nhà BT2, Lô 12, Khu ĐTM Trung Văn, Xã Trung Văn, Từ liêm, Hà Nội</t>
  </si>
  <si>
    <t>Phaạm Như Thùy</t>
  </si>
  <si>
    <t>0913 396 228</t>
  </si>
  <si>
    <t>Huyên</t>
  </si>
  <si>
    <t>012547055</t>
  </si>
  <si>
    <t>huyennt2@topica.edu.vn</t>
  </si>
  <si>
    <t>0936143434</t>
  </si>
  <si>
    <t>293b Tổ 42 Hoàng Văn Thụ, Hoàng Mai, Hà Nội</t>
  </si>
  <si>
    <t>Nguyễn Thị Tố</t>
  </si>
  <si>
    <t>Caẩm Vân, Cẩm Thủy, Thanh Hóa</t>
  </si>
  <si>
    <t>172818278</t>
  </si>
  <si>
    <t>0987 385 598</t>
  </si>
  <si>
    <t>Cẩm Vân, Cẩm Thủy, Thanh Hóa</t>
  </si>
  <si>
    <t>Ngõ 18, Tả Thanh Oai, Thanh Trì, Hà Nội</t>
  </si>
  <si>
    <t>Nguyễn Thanh Bình</t>
  </si>
  <si>
    <t>0986 716 825</t>
  </si>
  <si>
    <t>Bùi Thị Thanh</t>
  </si>
  <si>
    <t>173291756</t>
  </si>
  <si>
    <t>Đại học Bách khoa Đà Nẵng</t>
  </si>
  <si>
    <t>Công nghê thông tin</t>
  </si>
  <si>
    <t>0969 487 243</t>
  </si>
  <si>
    <t>Tiêểu khu 3 Thị trấn Hà Trung, Thanh Hóa</t>
  </si>
  <si>
    <t>Ngõ 165/45 Cầu Giấy, Hà Nội</t>
  </si>
  <si>
    <t>Nguyễn Thị Huyền</t>
  </si>
  <si>
    <t>0127 388 9691</t>
  </si>
  <si>
    <t>Phạm Thị Kiều</t>
  </si>
  <si>
    <t>Đại Cường, Ứng Hòa, Hà Nội</t>
  </si>
  <si>
    <t>112500218</t>
  </si>
  <si>
    <t>oanhptk@topica.edu.vn</t>
  </si>
  <si>
    <t>0973760907</t>
  </si>
  <si>
    <t>phamkieuoanh1811@gmail.com</t>
  </si>
  <si>
    <t>Đại Cường, Ứng Hòa, Hà Nội Hà Nội</t>
  </si>
  <si>
    <t>Tôn Thất Tùng, Đống Đa Hà Nội</t>
  </si>
  <si>
    <t>Phạm Văn Báu</t>
  </si>
  <si>
    <t>024366302</t>
  </si>
  <si>
    <t>CĐ BC Công nghệ &amp; Quản trị kinh doanh</t>
  </si>
  <si>
    <t>0946 793 839</t>
  </si>
  <si>
    <t>151/41 Nguyễn Trãi P2, Q5</t>
  </si>
  <si>
    <t>Nguyễn Kiến Đức</t>
  </si>
  <si>
    <t>08 626 111 41</t>
  </si>
  <si>
    <t>273355031</t>
  </si>
  <si>
    <t>Bà Rịa - Vũng Tàu</t>
  </si>
  <si>
    <t>ĐH Tài chính - Marketing</t>
  </si>
  <si>
    <t>hienntk@topica.edu.vn</t>
  </si>
  <si>
    <t>0126 7875443</t>
  </si>
  <si>
    <t>Ô 1 - Tổ 13 Ấp Hải Bình, thị trấn Long Hải, Bà Rịa - Vũng Tàu</t>
  </si>
  <si>
    <t>374 Nơ Trang Long, p13, quận Bình Thạnh</t>
  </si>
  <si>
    <t>Lê Đào Nhã Uyên</t>
  </si>
  <si>
    <t>0989 537 827</t>
  </si>
  <si>
    <t>Nguyễn Thị Lệ</t>
  </si>
  <si>
    <t>Mi</t>
  </si>
  <si>
    <t>Pleiku, Gia Lai</t>
  </si>
  <si>
    <t>230869272</t>
  </si>
  <si>
    <t>ĐH Văn Hiến</t>
  </si>
  <si>
    <t>Tiếng Anh kinh thương</t>
  </si>
  <si>
    <t>mintl@topica.edu.vn</t>
  </si>
  <si>
    <t>0935355309</t>
  </si>
  <si>
    <t>Tổ 7, P. Iakring, Pleiku, Gia Lai</t>
  </si>
  <si>
    <t>149/3 Nơ Trang Long, Q.Bình Thạnh, HCM</t>
  </si>
  <si>
    <t>Nguyễn Thị Hà Mi</t>
  </si>
  <si>
    <t>Em</t>
  </si>
  <si>
    <t>0989883711</t>
  </si>
  <si>
    <t>Phan Thị Thanh</t>
  </si>
  <si>
    <t>Luận</t>
  </si>
  <si>
    <t>Định Quán, Đồng Nai</t>
  </si>
  <si>
    <t>261087885</t>
  </si>
  <si>
    <t>ĐH Công nghiệp thực phẩm</t>
  </si>
  <si>
    <t>luanptt@topica.edu.vn</t>
  </si>
  <si>
    <t>0973267578</t>
  </si>
  <si>
    <t>32b/54 - Phường Hố Nai, Biên Hòa, Đồng Nai</t>
  </si>
  <si>
    <t>643/41k - Xô Viết, Nghệ Tĩnh, Bình Thạnh</t>
  </si>
  <si>
    <t>Nguyễn Thị Điệp</t>
  </si>
  <si>
    <t>0902993542</t>
  </si>
  <si>
    <t>Nguyễn Lê Ngọc</t>
  </si>
  <si>
    <t>Diễm</t>
  </si>
  <si>
    <t>Thanh Ngãi, Mỏ Cày, Bến Tre</t>
  </si>
  <si>
    <t>321375141</t>
  </si>
  <si>
    <t>CĐ Việt Mỹ</t>
  </si>
  <si>
    <t>Quản trị Khách sản</t>
  </si>
  <si>
    <t>diemnln@topica.edu.vn</t>
  </si>
  <si>
    <t>0938908709</t>
  </si>
  <si>
    <t>Thanh Ngãi - Mỏ Cày - Bến Tre</t>
  </si>
  <si>
    <t>769/255 Phạm Thế Hiển, P4, Q8</t>
  </si>
  <si>
    <t>Chính</t>
  </si>
  <si>
    <t>250874446</t>
  </si>
  <si>
    <t>CĐ Kinh tế CN Vạn Xuân</t>
  </si>
  <si>
    <t>chinhpt@topica.edu.vn</t>
  </si>
  <si>
    <t>0938798502</t>
  </si>
  <si>
    <t>Lộc Ngãi, Bảo Lâm, Lâm Đồng</t>
  </si>
  <si>
    <t>176/1 Dương Quảng Hàm, P5, Q.Gò vấp</t>
  </si>
  <si>
    <t>Phan Thị Nghĩa</t>
  </si>
  <si>
    <t>01696376649</t>
  </si>
  <si>
    <t>Hà Tây cũ</t>
  </si>
  <si>
    <t>112373385</t>
  </si>
  <si>
    <t>ĐH Lao động xã hội</t>
  </si>
  <si>
    <t>Quaản trị nhân lực</t>
  </si>
  <si>
    <t>01656 061 286</t>
  </si>
  <si>
    <t>Đồng Mai, Hà Đông, Hà Nội</t>
  </si>
  <si>
    <t>Tổ 6, Đồng Mai, Hà Đông, Hà Nội</t>
  </si>
  <si>
    <t>Nguyễn Thị Điền</t>
  </si>
  <si>
    <t>0976 895 455</t>
  </si>
  <si>
    <t>Lưu Thị Cẩm</t>
  </si>
  <si>
    <t>Phú</t>
  </si>
  <si>
    <t>Nữ</t>
  </si>
  <si>
    <t>Bạc Liêu</t>
  </si>
  <si>
    <t>381291193</t>
  </si>
  <si>
    <t>ĐH Thủy Lợi</t>
  </si>
  <si>
    <t>Công trình Thủy lợi</t>
  </si>
  <si>
    <t>0939 154 444</t>
  </si>
  <si>
    <t>Số 96 Nguyễn Ngọc Sanh, p5, TP Cà Mau, Tỉnh Cà Mau</t>
  </si>
  <si>
    <t>1/9I - Đường Trục, P13, Q.Bình Thạnh, HCM</t>
  </si>
  <si>
    <t>Nguyễn Trần Nguyễn</t>
  </si>
  <si>
    <t>0939 154 444
0168 687 0212</t>
  </si>
  <si>
    <t>Phụng Hiệp, Cần Thơ</t>
  </si>
  <si>
    <t>250741416</t>
  </si>
  <si>
    <t>ĐH Tài chính &amp; Marketing</t>
  </si>
  <si>
    <t>Kinh doanh quốc tế</t>
  </si>
  <si>
    <t>thaottt@topica.edu.vn</t>
  </si>
  <si>
    <t>0168 2345 050</t>
  </si>
  <si>
    <t>Xã Lộc Đức, Huyện Bảo Lâm, Lâm Đồng</t>
  </si>
  <si>
    <t>79/18A Trần Văn Đang, P9, Q3</t>
  </si>
  <si>
    <t>Trần Thị Phương Linh</t>
  </si>
  <si>
    <t>0982 007 030</t>
  </si>
  <si>
    <t>241096965</t>
  </si>
  <si>
    <t>CA. DakLak</t>
  </si>
  <si>
    <t>ĐH Kinh tế Tp HCM</t>
  </si>
  <si>
    <t>0945032299</t>
  </si>
  <si>
    <t>30 Nguyễn Biểu, P. Tân An, TP. Buôn Ma Thuột, DakLak</t>
  </si>
  <si>
    <t>55/341A Quang Trung, P12, Q. Gò Vấp. HCMc</t>
  </si>
  <si>
    <t>Nguyễn Thị Hằng</t>
  </si>
  <si>
    <t>0946472299</t>
  </si>
  <si>
    <t>012750889</t>
  </si>
  <si>
    <t>Quản trị Marketing</t>
  </si>
  <si>
    <t>huyennt5@topica.edu.vn</t>
  </si>
  <si>
    <t>0436405154</t>
  </si>
  <si>
    <t>0904983500</t>
  </si>
  <si>
    <t>Xóm 1 - Định Công - Hoàng Mai - Hà Nội</t>
  </si>
  <si>
    <t>SN 11/337 Định Công Hạ, Định Công, Hoàng Mai</t>
  </si>
  <si>
    <t>Nguyễn Thị Ngân</t>
  </si>
  <si>
    <t>0974959096</t>
  </si>
  <si>
    <t>Trần Ngọc Bảo</t>
  </si>
  <si>
    <t>023911637</t>
  </si>
  <si>
    <t>ĐH Công Nghiệp TP HCM</t>
  </si>
  <si>
    <t>Quản trị du lịch</t>
  </si>
  <si>
    <t>08 38332546</t>
  </si>
  <si>
    <t>0905744350</t>
  </si>
  <si>
    <t>58/10 Hồ Thị Kỷ, P.1, Q.10 TPHCM</t>
  </si>
  <si>
    <t>Trần Ngọc Kế</t>
  </si>
  <si>
    <t>0903104187</t>
  </si>
  <si>
    <t>Ba Đình, Nga Sơn, Thanh Hóa</t>
  </si>
  <si>
    <t>173263854</t>
  </si>
  <si>
    <t>0982 284 358</t>
  </si>
  <si>
    <t>Xóm Vần Chùa, Ba Đình, Nga Sơn, Thanh Hóa</t>
  </si>
  <si>
    <t>Số nhà 24, ngõ 663, Trương Định, Hai Bà Trưng, Hà Nội</t>
  </si>
  <si>
    <t>Hoàng Đình Nam</t>
  </si>
  <si>
    <t>0166 374 5193</t>
  </si>
  <si>
    <t>312023371</t>
  </si>
  <si>
    <t>ĐH Hồng Bàng</t>
  </si>
  <si>
    <t>01234910572</t>
  </si>
  <si>
    <t>Ấp Bình Thới A, xã Bình Trưng, huyện Châu Thành, Tiền Giang</t>
  </si>
  <si>
    <t>6/29B Phan Xích Long, P3, Q. Phú Nhuận</t>
  </si>
  <si>
    <t>Châu Thị Hồng Thu</t>
  </si>
  <si>
    <t>0907423325</t>
  </si>
  <si>
    <t>Nguyễn Thục</t>
  </si>
  <si>
    <t>Đoan</t>
  </si>
  <si>
    <t>250782623</t>
  </si>
  <si>
    <t>ĐH Công nghệ thông tin Gia Định</t>
  </si>
  <si>
    <t>0909165018</t>
  </si>
  <si>
    <t>Thôn Đà Thiện - Xã Đà Loan - Đức Trọng, Lâm Đồng</t>
  </si>
  <si>
    <t>217/1A Trần Kế Xương, P7, Q.Phú Nhuận, TP Hồ Chí Minh</t>
  </si>
  <si>
    <t>Nguyễn Phượng Đoan</t>
  </si>
  <si>
    <t>0936683708</t>
  </si>
  <si>
    <t>Võ Thị Thanh</t>
  </si>
  <si>
    <t>331561690</t>
  </si>
  <si>
    <t>CA Vĩnh Long</t>
  </si>
  <si>
    <t>ĐH Bà Rịa - Vũng Tàu</t>
  </si>
  <si>
    <t>0963456561/0968172537</t>
  </si>
  <si>
    <t>Ấp 1, Xã Trung Ngãi, Huyện Vũng Liêm, Tỉnh Vĩnh Long</t>
  </si>
  <si>
    <t>58/35/42 Âu Cơ, Quận Tân Bình</t>
  </si>
  <si>
    <t>Khưu Thị Nhan</t>
  </si>
  <si>
    <t>01667806479</t>
  </si>
  <si>
    <t>Đinh Châu Tâm</t>
  </si>
  <si>
    <t>205423007</t>
  </si>
  <si>
    <t>0974260975</t>
  </si>
  <si>
    <t>Thôn 5, Tam Thành, Phú Ninh, Quảng Nam</t>
  </si>
  <si>
    <t>Phòng 13, cứ xá Nguyễn Đình Chiểu, Lê Tự Tài, P4, Phú Nhuận</t>
  </si>
  <si>
    <t>Đinh Xứng</t>
  </si>
  <si>
    <t>0905565168</t>
  </si>
  <si>
    <t>312055104</t>
  </si>
  <si>
    <t>CA.Tiền Giang</t>
  </si>
  <si>
    <t>Huflit</t>
  </si>
  <si>
    <t>Sư phạm Anh</t>
  </si>
  <si>
    <t>0732242724</t>
  </si>
  <si>
    <t>0979548175</t>
  </si>
  <si>
    <t>Hậu Mỹ Bắc A, Cái Bè, Tiền Giang</t>
  </si>
  <si>
    <t>270, Hòa Hưng, P.13,Q.10</t>
  </si>
  <si>
    <t>Nguyễn Thaành Tý</t>
  </si>
  <si>
    <t>0975215757</t>
  </si>
  <si>
    <t>8103068325</t>
  </si>
  <si>
    <t>Nguyễn Thị Vân</t>
  </si>
  <si>
    <t>145402468</t>
  </si>
  <si>
    <t>0974 121 091</t>
  </si>
  <si>
    <t>Nguyễn Thị Trúc</t>
  </si>
  <si>
    <t>Lam</t>
  </si>
  <si>
    <t>221271623</t>
  </si>
  <si>
    <t>0909746457</t>
  </si>
  <si>
    <t>Khu phố II, Phường Phú Lâm, Tuy Hòa, Phúc Yên</t>
  </si>
  <si>
    <t>69 đường C18, Phường 12, Quận Tân Bình, TP HCM</t>
  </si>
  <si>
    <t>Nguyễn Thụy Thùy Vân</t>
  </si>
  <si>
    <t>0933100590</t>
  </si>
  <si>
    <t>334560474</t>
  </si>
  <si>
    <t>CA. Trà Vinh</t>
  </si>
  <si>
    <t>trinhcth@topica.edu.vn</t>
  </si>
  <si>
    <t>074 844 016</t>
  </si>
  <si>
    <t>0985 167 525</t>
  </si>
  <si>
    <t>356G, Lê Quang Sung, P.6, Q.6, Tp.HCM</t>
  </si>
  <si>
    <t>Chung Thị Huyền Trân</t>
  </si>
  <si>
    <t>0938717248</t>
  </si>
  <si>
    <t>271778227</t>
  </si>
  <si>
    <t>CA. Đồng Nai</t>
  </si>
  <si>
    <t>0978 296 179</t>
  </si>
  <si>
    <t>Hòa Thành, Ngọc Định, Định Quán, Đồng Nai</t>
  </si>
  <si>
    <t>120 đường số 8, P. Bình Hưng Hòa, Bình Tân</t>
  </si>
  <si>
    <t>162819876</t>
  </si>
  <si>
    <t>ĐH Công nghệ Giao thông vận tải</t>
  </si>
  <si>
    <t>Công nghệ Kỹ thuật xây dựng cầu đường bộ</t>
  </si>
  <si>
    <t>0982 387 089</t>
  </si>
  <si>
    <t>Quang Trung, Vụ Bản, Nam Định</t>
  </si>
  <si>
    <t>Số 21 Ngõ 2 Phạm Văn Đồng - Từ Liêm - Hà Nội</t>
  </si>
  <si>
    <t>Phạm Thị Cúc</t>
  </si>
  <si>
    <t>Kiều Thị</t>
  </si>
  <si>
    <t>Nhân</t>
  </si>
  <si>
    <t>Ba Vì - Hà Nội</t>
  </si>
  <si>
    <t>Đại Đồng, Thạch Thất, Hà Nội</t>
  </si>
  <si>
    <t>111818267</t>
  </si>
  <si>
    <t>Việt Nam học</t>
  </si>
  <si>
    <t>nhankt@topica.edu.vn</t>
  </si>
  <si>
    <t>0984977691</t>
  </si>
  <si>
    <t>Thôn Dậu 1, Di Trạch, Hoài Đức, Hà Nội</t>
  </si>
  <si>
    <t>Nguyễn Thị Như</t>
  </si>
  <si>
    <t>164372795</t>
  </si>
  <si>
    <t>CĐ Kinh tế Công nghiệp Hà Nội</t>
  </si>
  <si>
    <t>0988696377</t>
  </si>
  <si>
    <t>Thạch Bình, Nho Quan, Ninh Bình</t>
  </si>
  <si>
    <t>Thôn Đồi Mây - Thạch Bình - Nho Quan - Ninh Bình</t>
  </si>
  <si>
    <t>Nguyễn Thị An</t>
  </si>
  <si>
    <t>01695047296</t>
  </si>
  <si>
    <t>091526563</t>
  </si>
  <si>
    <t>Lịch sử</t>
  </si>
  <si>
    <t>01689981095</t>
  </si>
  <si>
    <t>Phường Bách Quang, Sông Công, Thái Nguyên</t>
  </si>
  <si>
    <t>Nguyễn Văn Biên</t>
  </si>
  <si>
    <t>Quách Văn</t>
  </si>
  <si>
    <t>012123028</t>
  </si>
  <si>
    <t>Đại học Hà Nội</t>
  </si>
  <si>
    <t>longqv@topica.edu.vn</t>
  </si>
  <si>
    <t>0945107829</t>
  </si>
  <si>
    <t>SN42, tổ 42, ngõ 123, Hoàng Quốc Việt, Nghĩa Đô, Cầu Giấy, Hà Nội</t>
  </si>
  <si>
    <t>Hà Lệ Quyên</t>
  </si>
  <si>
    <t>vợ</t>
  </si>
  <si>
    <t>0975815997</t>
  </si>
  <si>
    <t>Hoàng</t>
  </si>
  <si>
    <t>172985498</t>
  </si>
  <si>
    <t>khanhh@topica.edu.vn</t>
  </si>
  <si>
    <t>01685473196</t>
  </si>
  <si>
    <t>32/14 Trương Hán Siêu, Phường Đông Sơn, Thành phố Thanh Hóa</t>
  </si>
  <si>
    <t>lê Thị Minh Nguyệt</t>
  </si>
  <si>
    <t>mẹ</t>
  </si>
  <si>
    <t>PADQ</t>
  </si>
  <si>
    <t>173344963</t>
  </si>
  <si>
    <t>ĐH Quốc Gia Hà Nội</t>
  </si>
  <si>
    <t>Luật Kinh doanh</t>
  </si>
  <si>
    <t>0988958275</t>
  </si>
  <si>
    <t>Ngõ 1 Kim Đồng, Hoàng Mai, Hà Nội</t>
  </si>
  <si>
    <t>Chu Ngọc Sỹ</t>
  </si>
  <si>
    <t>Tạ Thị Thu</t>
  </si>
  <si>
    <t>012648801</t>
  </si>
  <si>
    <t>Đại học Thăng Long</t>
  </si>
  <si>
    <t>phuongttt@topica.edu.vn</t>
  </si>
  <si>
    <t>0946391931</t>
  </si>
  <si>
    <t>169, ngõ Trai Cá, đường Trương Định, Hai Bà Trưng, Hà Nội</t>
  </si>
  <si>
    <t>Từ Thị Tho</t>
  </si>
  <si>
    <t>151779422</t>
  </si>
  <si>
    <t>0366257425</t>
  </si>
  <si>
    <t>0974643598</t>
  </si>
  <si>
    <t>Quỳnh Trang - Quỳnh Phụ - Thái Bình</t>
  </si>
  <si>
    <t>Mỹ Đình - Từ Liêm - Hà Nội</t>
  </si>
  <si>
    <t>Bùi Xuân Quân</t>
  </si>
  <si>
    <t>Hoàng Thị Mai</t>
  </si>
  <si>
    <t>012625192</t>
  </si>
  <si>
    <t>Thương mại Quốc Tế</t>
  </si>
  <si>
    <t>0934127189</t>
  </si>
  <si>
    <t>P1 - K11 - TT Nam Đông, Đống Đa, Hà Nội</t>
  </si>
  <si>
    <t>45 - Ngõ 119 - Hồ Đắc Di - Hà Nội</t>
  </si>
  <si>
    <t>Lê Huyền</t>
  </si>
  <si>
    <t>012411223</t>
  </si>
  <si>
    <t>0904395595</t>
  </si>
  <si>
    <t>98A Trần Hưng Đạo, Cửa Nam, Hoàn Kiếm , Hà Nội</t>
  </si>
  <si>
    <t>Đỗ Minh Nguyệt</t>
  </si>
  <si>
    <t>Mẹ</t>
  </si>
  <si>
    <t>0904386266</t>
  </si>
  <si>
    <t>125313378</t>
  </si>
  <si>
    <t>Quản trị Kinh doanh</t>
  </si>
  <si>
    <t>0982049125</t>
  </si>
  <si>
    <t>Thanh Lâm - An Thịnh - Lương Tài - Bắc Ninh</t>
  </si>
  <si>
    <t>Số nhà 21, ngách 189/103 ngõ 171 Nguyễn Ngọc Vũ, Trung Hòa, Cầu Giấy, Hà Nội</t>
  </si>
  <si>
    <t>01659484233</t>
  </si>
  <si>
    <t>Chu Thị Hà</t>
  </si>
  <si>
    <t>012850028</t>
  </si>
  <si>
    <t>0989556958</t>
  </si>
  <si>
    <t>Khu tập thể bộ Nông nghiệp, Liên Ninh, Thanh Trì, Hà Nội</t>
  </si>
  <si>
    <t>Chu Văn Thám</t>
  </si>
  <si>
    <t>0902174001</t>
  </si>
  <si>
    <t>Ngô Ngọc</t>
  </si>
  <si>
    <t>Đỗ Thị Quỳnh</t>
  </si>
  <si>
    <t>anhdtq@topica.edu.vn</t>
  </si>
  <si>
    <t>142388059</t>
  </si>
  <si>
    <t>giangpt@topica.edu.vn</t>
  </si>
  <si>
    <t>0949060390</t>
  </si>
  <si>
    <t>Hiệp Sơn, Kinh Môn, Hải Dương</t>
  </si>
  <si>
    <t>53/255 Lĩnh Nam, Hoàng Mai, Hà Nội</t>
  </si>
  <si>
    <t>Pham Văn Chuyền</t>
  </si>
  <si>
    <t>03203826232</t>
  </si>
  <si>
    <t>Bùi Thị Nhật</t>
  </si>
  <si>
    <t>Chương Mỹ, Hà Nội</t>
  </si>
  <si>
    <t>112020093</t>
  </si>
  <si>
    <t>ĐH Genetic - ĐH Bách Khoa</t>
  </si>
  <si>
    <t>Khoa học máy tính</t>
  </si>
  <si>
    <t>minhbtn@topica.edu.v</t>
  </si>
  <si>
    <t>0903454034</t>
  </si>
  <si>
    <t>Trường Yên, Chương Mỹ, Hà Nội</t>
  </si>
  <si>
    <t>Phòng B103, M3:M4, 91 Nguyễn Chí Thanh, Hà Nội</t>
  </si>
  <si>
    <t>Lê Xuân</t>
  </si>
  <si>
    <t>163092196</t>
  </si>
  <si>
    <t>ĐH Kinh tế - Kỹ thuật Công nghiệp</t>
  </si>
  <si>
    <t>01674348868</t>
  </si>
  <si>
    <t>Hải Dương, Hải Hậu, Nam Định</t>
  </si>
  <si>
    <t>Xóm 11 - Hải Phượng - Hải Hậu - Nam Định</t>
  </si>
  <si>
    <t>Lê Văn Thành</t>
  </si>
  <si>
    <t>Tươi</t>
  </si>
  <si>
    <t>112549166</t>
  </si>
  <si>
    <t>tuoint2@topica.edu.vn</t>
  </si>
  <si>
    <t>01649585963</t>
  </si>
  <si>
    <t>Lam Điền, Chương Mỹ, Hà Tây</t>
  </si>
  <si>
    <t>Phú Diễn, Từ Liêm, Hà Nội</t>
  </si>
  <si>
    <t>Nguyễn Văn Khuê</t>
  </si>
  <si>
    <t>0984101935</t>
  </si>
  <si>
    <t>Doãn Thị Nguyệt</t>
  </si>
  <si>
    <t>173007883</t>
  </si>
  <si>
    <t>Học viện quản lý giáo dục</t>
  </si>
  <si>
    <t>Quản lý giáo dục</t>
  </si>
  <si>
    <t>thudtn@topica.edu.vn</t>
  </si>
  <si>
    <t>0934210989</t>
  </si>
  <si>
    <t>Đông Xuân  - Đông sơn - Thanh Hóa</t>
  </si>
  <si>
    <t>Hồ Thị Cần</t>
  </si>
  <si>
    <t>Nguyễn Bích</t>
  </si>
  <si>
    <t>Diệp</t>
  </si>
  <si>
    <t>013301252</t>
  </si>
  <si>
    <t>hoannt@topica.edu.vn</t>
  </si>
  <si>
    <t>0988810790</t>
  </si>
  <si>
    <t>Tiến Thịnh, Mê Linh, Hà Nội</t>
  </si>
  <si>
    <t>Số 21, ngõ 67, Cảm Hội, Hai Bà Trưng, Hà Nội</t>
  </si>
  <si>
    <t>Nguyễn Mạnh</t>
  </si>
  <si>
    <t>012421311</t>
  </si>
  <si>
    <t>hanm@topica.edu.vn</t>
  </si>
  <si>
    <t>0987824630</t>
  </si>
  <si>
    <t>9 Ngõ 41 Nguyễn Chí Thanh - Ba Đình - Hà Nội</t>
  </si>
  <si>
    <t>Nguyễn Thị Huế</t>
  </si>
  <si>
    <t>0904278950</t>
  </si>
  <si>
    <t>Phan Thị Quỳnh</t>
  </si>
  <si>
    <t>Vĩnh phúc</t>
  </si>
  <si>
    <t>135441362</t>
  </si>
  <si>
    <t>kế toán</t>
  </si>
  <si>
    <t>anhptq@topica.edu.vn</t>
  </si>
  <si>
    <t>0966830909</t>
  </si>
  <si>
    <t>khu 11- xã Ngọc Mỹ- Huyện Lập Thach_ Vĩnh Phúc</t>
  </si>
  <si>
    <t>Ngõ 1 Bùi Xương Trạch - Thanh xuân - Hà Nội</t>
  </si>
  <si>
    <t>Phan Văn Hòa</t>
  </si>
  <si>
    <t>Chiến</t>
  </si>
  <si>
    <t>012487956</t>
  </si>
  <si>
    <t>Đại Học Ngoại Ngữ</t>
  </si>
  <si>
    <t>chiendt@topica.edu.vn</t>
  </si>
  <si>
    <t>0934276046</t>
  </si>
  <si>
    <t>Tổ 6, Khương Thượng, Đống Đa, Hà Nội</t>
  </si>
  <si>
    <t>Đỗ Văn Phi</t>
  </si>
  <si>
    <t>Nguyễn Thị</t>
  </si>
  <si>
    <t>162928333</t>
  </si>
  <si>
    <t>Hệ Thống Điện</t>
  </si>
  <si>
    <t>0989095025</t>
  </si>
  <si>
    <t>Xóm 20 Hải Anh - Hải Hậu - Nam Định</t>
  </si>
  <si>
    <t>Nhà 3, Ngõ 205/91 Xuân Đỉnh, Từ Liêm, Hà Nội</t>
  </si>
  <si>
    <t>Phạm Thị Hoàng Yến</t>
  </si>
  <si>
    <t>0973708795</t>
  </si>
  <si>
    <t>012425986</t>
  </si>
  <si>
    <t>0983210911</t>
  </si>
  <si>
    <t>6 Ngõ 67 Cảm Hội, Hai Bà Trưng, Hà Nội</t>
  </si>
  <si>
    <t>90 Cửa Bắc, Ba Đình, Hà Nội</t>
  </si>
  <si>
    <t>Nguyễn Duy Hiệp</t>
  </si>
  <si>
    <t>01696959988</t>
  </si>
  <si>
    <t>031709937</t>
  </si>
  <si>
    <t>huedt@topica.edu.vn</t>
  </si>
  <si>
    <t>Xóm 5 - Kỳ Sơn - Thủy Nguyên - Hải Phòng</t>
  </si>
  <si>
    <t>Số 16, 207/103,  Thôn Nhang, Xuân Đỉnh, Từ Liêm, Hà Nội</t>
  </si>
  <si>
    <t>Đỗ Thị Vân</t>
  </si>
  <si>
    <t>Chị</t>
  </si>
  <si>
    <t>0902985696</t>
  </si>
  <si>
    <t>164437690</t>
  </si>
  <si>
    <t>01676006366</t>
  </si>
  <si>
    <t>Thiên Tôn, Hoa Lư, Ninh Bình</t>
  </si>
  <si>
    <t>Mễ Trì Thượng, Từ Liêm, Hà Nội</t>
  </si>
  <si>
    <t>Nguyễn Văn Thọ</t>
  </si>
  <si>
    <t>Chú</t>
  </si>
  <si>
    <t>0949167740</t>
  </si>
  <si>
    <t>Trần Thùy</t>
  </si>
  <si>
    <t>012067763</t>
  </si>
  <si>
    <t>Quản trị Du lịch Khách Sạn</t>
  </si>
  <si>
    <t>trangtt3@topica.edu.vn</t>
  </si>
  <si>
    <t>0989209942</t>
  </si>
  <si>
    <t>Số 20 ngõ 5 Nguyễn Văn Cừ, Long Biên, Hà Nội</t>
  </si>
  <si>
    <t>162910767</t>
  </si>
  <si>
    <t>Khoa học môi trường</t>
  </si>
  <si>
    <t>hangpn@topica.edu.vn</t>
  </si>
  <si>
    <t>0947310190</t>
  </si>
  <si>
    <t>13/70 Vị Hoàng, Nam Định</t>
  </si>
  <si>
    <t>Số nhà 2, ngách 62/12 Nguyễn Viết Xuân, Thanh Xuân, Hà Nội</t>
  </si>
  <si>
    <t>Phạm Quốc Hội</t>
  </si>
  <si>
    <t>01228384737</t>
  </si>
  <si>
    <t>Vương Thị</t>
  </si>
  <si>
    <t>Nữ</t>
  </si>
  <si>
    <t>125403288</t>
  </si>
  <si>
    <t>duongntt@topica.edu.vn</t>
  </si>
  <si>
    <t>0973527618</t>
  </si>
  <si>
    <t>Thị Trần Thửa, Huyện Lương Tài, Bắc Ninh</t>
  </si>
  <si>
    <t>Số 5 - Nguyễn Huy Tự - Bạch Đằng - Hai Bà Trưng - Hà Nội</t>
  </si>
  <si>
    <t>Nguyễn Đình Thái</t>
  </si>
  <si>
    <t>Bố</t>
  </si>
  <si>
    <t>0972275026</t>
  </si>
  <si>
    <t>Phạm Trọng</t>
  </si>
  <si>
    <t>Lương</t>
  </si>
  <si>
    <t>162829524</t>
  </si>
  <si>
    <t>0986337388</t>
  </si>
  <si>
    <t>33 Đông Khê, Nam Định, TP Nam Định</t>
  </si>
  <si>
    <t>132025727</t>
  </si>
  <si>
    <t>Văn học dân tộc thiểu số Việt Nam</t>
  </si>
  <si>
    <t>vanltk@topica.edu.vn</t>
  </si>
  <si>
    <t>TT Đoan Hùng, Đoan Hùng, Phú Thọ</t>
  </si>
  <si>
    <t>Lê Hồng Hải</t>
  </si>
  <si>
    <t>250700094</t>
  </si>
  <si>
    <t>CA.Lâm đồng</t>
  </si>
  <si>
    <t>ĐH Moở TP Hồ Chí Minh</t>
  </si>
  <si>
    <t>huyenbtt@topica.edu.vn</t>
  </si>
  <si>
    <t>0979509139</t>
  </si>
  <si>
    <t>Tân Hội, Đức Trọng, Lâm đồng</t>
  </si>
  <si>
    <t>644/4/38 đường 3/2, Phường 14, Quận 10, Tp Hồ Chí Minh</t>
  </si>
  <si>
    <t>Trương Xuân Vũ</t>
  </si>
  <si>
    <t>0985323532</t>
  </si>
  <si>
    <t>Trần Thị Ngọc</t>
  </si>
  <si>
    <t>205406666</t>
  </si>
  <si>
    <t>tranttn@topica.edu.vn</t>
  </si>
  <si>
    <t>0979274128</t>
  </si>
  <si>
    <t>Duy Phước, Duy Xuyên, Quảng Nam</t>
  </si>
  <si>
    <t>377/57 Đinh Bộ Lĩnh, P26, Bình Thạnh, TP Hồ Chí Minh</t>
  </si>
  <si>
    <t>Hồ Thị Kiều</t>
  </si>
  <si>
    <t>0982985155</t>
  </si>
  <si>
    <t>Bùi Thị Kim</t>
  </si>
  <si>
    <t>Luyến</t>
  </si>
  <si>
    <t>221213114</t>
  </si>
  <si>
    <t>luyenbtk@topica.edu.vn</t>
  </si>
  <si>
    <t>0919791318/ 0937459210</t>
  </si>
  <si>
    <t>Phú Hòa - Phú Yên</t>
  </si>
  <si>
    <t>Giao su Thanh Cam , Q9 , HCM</t>
  </si>
  <si>
    <t>Nguyễn Kiều</t>
  </si>
  <si>
    <t>01204510027</t>
  </si>
  <si>
    <t>Đoàn Thị</t>
  </si>
  <si>
    <t>Bé</t>
  </si>
  <si>
    <t>291006021</t>
  </si>
  <si>
    <t>CA. Tây Ninh</t>
  </si>
  <si>
    <t>CĐ Kinh tế Công Nghệ TP Hồ Chí Minh</t>
  </si>
  <si>
    <t>bedt@topica.edu.vn</t>
  </si>
  <si>
    <t>0962954874</t>
  </si>
  <si>
    <t>Tân Trung-Tân Hưng-Tân Châu- Tây Ninh</t>
  </si>
  <si>
    <t>Thống Nhất, Gò Vấp, TP.HCM</t>
  </si>
  <si>
    <t>Huỳnh Thị Thế Cẩm</t>
  </si>
  <si>
    <t>01265291578</t>
  </si>
  <si>
    <t>Đậu Hoàng Dạ</t>
  </si>
  <si>
    <t>241096751</t>
  </si>
  <si>
    <t>CA. Đăk Lăk</t>
  </si>
  <si>
    <t>Văn hóa nghệ thuật và du lịch Sài Gòn</t>
  </si>
  <si>
    <t>Quản trị du lịch - Khách sạn</t>
  </si>
  <si>
    <t>landhd@topica.edu.vn</t>
  </si>
  <si>
    <t>0934842122</t>
  </si>
  <si>
    <t>Cư Ebur, Buôn Ma Thuột, Đăk Lăk</t>
  </si>
  <si>
    <t>Nguyễn Kiệm, Gò Vấp, Tp Hồ Chí Minh</t>
  </si>
  <si>
    <t>Đậu Quang Đồng</t>
  </si>
  <si>
    <t>01684124676</t>
  </si>
  <si>
    <t>Nguyễn Mộng</t>
  </si>
  <si>
    <t>024531042</t>
  </si>
  <si>
    <t>ĐH Hoa Sen</t>
  </si>
  <si>
    <t>Anh văn thương mại</t>
  </si>
  <si>
    <t>vynm@topica.edu.vn</t>
  </si>
  <si>
    <t>0909486727</t>
  </si>
  <si>
    <t>528 Lý Thái Tổ, P10, Q10, TP Hồ Chí Minh</t>
  </si>
  <si>
    <t>Nguyễn Thị Mộng Huyền</t>
  </si>
  <si>
    <t>0906545381</t>
  </si>
  <si>
    <t>Vĩnh Xương, Mỹ Thành, Mỹ Đức, Hà Nội</t>
  </si>
  <si>
    <t>Số nhà 76, Ngõ 126 Kim Ngưu, Thanh Nhàn, Hà Nội</t>
  </si>
  <si>
    <t>Đinh Thị Dược</t>
  </si>
  <si>
    <t>01675116678</t>
  </si>
  <si>
    <t>168194434</t>
  </si>
  <si>
    <t>huyenlt2@topica.edu.vn</t>
  </si>
  <si>
    <t>0975307136</t>
  </si>
  <si>
    <t>Thanh Bình, Thanh Liêm, Hà Nam</t>
  </si>
  <si>
    <t>SN 10, ngách 276/32 Đại Từ, Hoàng Mai, Hà Nội</t>
  </si>
  <si>
    <t>Lê Thị Quy Quý</t>
  </si>
  <si>
    <t>0982363323</t>
  </si>
  <si>
    <t>Phạm Hồng Hải</t>
  </si>
  <si>
    <t>Yên Bái</t>
  </si>
  <si>
    <t>063294541</t>
  </si>
  <si>
    <t>Lào Cai</t>
  </si>
  <si>
    <t>anhphh@topica.edu.vn</t>
  </si>
  <si>
    <t>0948421732</t>
  </si>
  <si>
    <t>Tổ 21 Phường Phố mới, Thành phố Lào Cai, Tỉnh Lào Cai</t>
  </si>
  <si>
    <t>Nhà 1906 chung cư Vũ Trọng Phụng, Thanh Xuân, Hà Nội</t>
  </si>
  <si>
    <t>Phạm Công Tiến</t>
  </si>
  <si>
    <t>Dương Thu</t>
  </si>
  <si>
    <t>012466866</t>
  </si>
  <si>
    <t>Quản trị nhân lực</t>
  </si>
  <si>
    <t>hadt@topica.edu.vn</t>
  </si>
  <si>
    <t>0436446301</t>
  </si>
  <si>
    <t>0988233025</t>
  </si>
  <si>
    <t>Tân Khai, Tổ 27, Vĩnh Hưng, Hoàng Mai, Hà Nội</t>
  </si>
  <si>
    <t>Trần Thị Tính</t>
  </si>
  <si>
    <t>046446301</t>
  </si>
  <si>
    <t>Ngô Huyền</t>
  </si>
  <si>
    <t>012411604</t>
  </si>
  <si>
    <t>trangnh@topica.edu.vn</t>
  </si>
  <si>
    <t>0438544862</t>
  </si>
  <si>
    <t>0904347527</t>
  </si>
  <si>
    <t>32A Nhà chung, Hà Nội</t>
  </si>
  <si>
    <t>Tôổ 3, Cụm 5, Khương Đình, Thanh Xuân, Hà Nội</t>
  </si>
  <si>
    <t>Trần Thiện Phương</t>
  </si>
  <si>
    <t>0983090505</t>
  </si>
  <si>
    <t>Nguyễn Thị Khánh</t>
  </si>
  <si>
    <t>197143052</t>
  </si>
  <si>
    <t>vanntk@topica.edu.vn</t>
  </si>
  <si>
    <t>Phường 1, TP Đông Hà, Quảng Trị</t>
  </si>
  <si>
    <t>Thái</t>
  </si>
  <si>
    <t>212299020</t>
  </si>
  <si>
    <t>CA Quảng Ngãi</t>
  </si>
  <si>
    <t>ĐH Kinh tế - TP Hồ Chí Minh</t>
  </si>
  <si>
    <t>thailh@topica.edu.vn</t>
  </si>
  <si>
    <t>0938777429</t>
  </si>
  <si>
    <t>Vạn Tường, Bình Hải, Bình Sơn, Quảng Ngãi</t>
  </si>
  <si>
    <t>206 Bắc Hải, P.6 Quận Tân Bình</t>
  </si>
  <si>
    <t>Lê Hồng Nhật</t>
  </si>
  <si>
    <t>Em</t>
  </si>
  <si>
    <t>0985917313</t>
  </si>
  <si>
    <t>Lê Thị Bảo</t>
  </si>
  <si>
    <t>233115498</t>
  </si>
  <si>
    <t>CA Kon Tum</t>
  </si>
  <si>
    <t>trangltb@topica.edu.vn</t>
  </si>
  <si>
    <t>0908906233</t>
  </si>
  <si>
    <t>42B Lý Thường Kiệt, Phường Quyết Thắng, TP Kon Tum, tỉnh Kon Tum</t>
  </si>
  <si>
    <t>618/13/2 Quang Trung, Phường 11, Quận Gò Vấp, TP HCM</t>
  </si>
  <si>
    <t>Lê Thùy Trâm</t>
  </si>
  <si>
    <t>0904850285</t>
  </si>
  <si>
    <t>025459730</t>
  </si>
  <si>
    <t>Hướng Dẫn Du lịch</t>
  </si>
  <si>
    <t>kieudt@topica.edu.vn</t>
  </si>
  <si>
    <t>0983822822</t>
  </si>
  <si>
    <t>145/52,Lê Đức Thọ, P.17, Quận Gò Vấp</t>
  </si>
  <si>
    <t>Nguyễn Phạm Anh Quốc</t>
  </si>
  <si>
    <t>0906333933</t>
  </si>
  <si>
    <t>nganvt@topica.edu.vn</t>
  </si>
  <si>
    <t>017046212</t>
  </si>
  <si>
    <t>CA. Hà Nội</t>
  </si>
  <si>
    <t>CĐ kỹ thuật - công nghệ Vạn Xuân</t>
  </si>
  <si>
    <t>thaonp3@topica.edu.vn</t>
  </si>
  <si>
    <t>0907675607</t>
  </si>
  <si>
    <t>chichichi06@gmail.com</t>
  </si>
  <si>
    <t>Xuy Xá, Mỹ Đức, Hà Nội</t>
  </si>
  <si>
    <t>215B Lê Đình Cẩn, P.Tân Tạo, Q.Bình Tân</t>
  </si>
  <si>
    <t>Vũ Quỳnh</t>
  </si>
  <si>
    <t>tramvq@topica.edu.vn</t>
  </si>
  <si>
    <t>maitt2@topica.edu.vn</t>
  </si>
  <si>
    <t>lanntt@topica.edu.vn</t>
  </si>
  <si>
    <t>Trần Thị Minh</t>
  </si>
  <si>
    <t>023912765</t>
  </si>
  <si>
    <t>Hồ Chí Minh</t>
  </si>
  <si>
    <t>hienttm@topica.edu.vn</t>
  </si>
  <si>
    <t>17/9/2 Đại Nghĩa, P6, Quận Tân Bình</t>
  </si>
  <si>
    <t>13 Đại Nghĩa, P6, Quận Tân Bình, TP HCM</t>
  </si>
  <si>
    <t>Nguyễn Thị Tuệ</t>
  </si>
  <si>
    <t>024040811</t>
  </si>
  <si>
    <t>Đại học</t>
  </si>
  <si>
    <t>ĐH Công nghệ TP HCM</t>
  </si>
  <si>
    <t>Môi trường</t>
  </si>
  <si>
    <t>hienntt3@topica.edu.vn</t>
  </si>
  <si>
    <t>0903669545</t>
  </si>
  <si>
    <t>79/22B Nguyễn Xí, P26, Q Bình Thạnh</t>
  </si>
  <si>
    <t>Trương Thị Thu Hương</t>
  </si>
  <si>
    <t>0838992912</t>
  </si>
  <si>
    <t>Đỗ Thị  Thiên</t>
  </si>
  <si>
    <t>trangdtt2@topica.edu.vn</t>
  </si>
  <si>
    <t>Đỗ Thùy</t>
  </si>
  <si>
    <t>Ni</t>
  </si>
  <si>
    <t>241098779</t>
  </si>
  <si>
    <t>CA. ĐăkLăk</t>
  </si>
  <si>
    <t>Học viện Công nghệ Bưu chính Viễn thông</t>
  </si>
  <si>
    <t>nidt@topica.edu.vn</t>
  </si>
  <si>
    <t>01689969354</t>
  </si>
  <si>
    <t>Hòa Thắng_TP.Buôn Ma Thuật_ĐăkLăk</t>
  </si>
  <si>
    <t>118/132 B1 Bạch Đằng, Phường 24, quận Bình Thạnh, Tp.Hồ Chí Minh</t>
  </si>
  <si>
    <t>Đỗ Cao Nguyên</t>
  </si>
  <si>
    <t>01668753587</t>
  </si>
  <si>
    <t>Huỳnh Thị Ngọc</t>
  </si>
  <si>
    <t>261072698</t>
  </si>
  <si>
    <t>ĐH Kinh tế HCM</t>
  </si>
  <si>
    <t>0908548724</t>
  </si>
  <si>
    <t>063248588</t>
  </si>
  <si>
    <t>0976221905</t>
  </si>
  <si>
    <t>Thuần Lương - Sông Lô - Việt Trì - Phú Thọ</t>
  </si>
  <si>
    <t>Phú Đô, Mễ Trì, Từ Liêm, Hà Nội</t>
  </si>
  <si>
    <t>Đỗ Thị Lan</t>
  </si>
  <si>
    <t>012162797</t>
  </si>
  <si>
    <t>ĐH Bách khoa</t>
  </si>
  <si>
    <t>0983606390</t>
  </si>
  <si>
    <t>Số 16 ngõ 164/18 Phố Hồng Mai, Quỳnh Lôi, Hai Bà Trưng, Hà Nội</t>
  </si>
  <si>
    <t>Đỗ Mạnh Cường</t>
  </si>
  <si>
    <t>0983634960</t>
  </si>
  <si>
    <t>Bùi Thị Hồng</t>
  </si>
  <si>
    <t>013566365</t>
  </si>
  <si>
    <t>0438614557</t>
  </si>
  <si>
    <t>0914706762</t>
  </si>
  <si>
    <t>Nhà 36 Khu TT Phân lân Văn Điển - Thanh Trì - Hà Nội</t>
  </si>
  <si>
    <t>Nguyễn Trung Kiên</t>
  </si>
  <si>
    <t>0985052552</t>
  </si>
  <si>
    <t>Đỗ Văn</t>
  </si>
  <si>
    <t>Phạm Nhật</t>
  </si>
  <si>
    <t>013098130</t>
  </si>
  <si>
    <t>ĐH Kinh tế Kỹ thuật Công Nghiệp</t>
  </si>
  <si>
    <t>01234884456</t>
  </si>
  <si>
    <t>Số 2C Đường 15, Phúc Xá, Ba Đình, Hà Nội</t>
  </si>
  <si>
    <t>Số 12, ngõ 72 Tân Ấp, Ba Đình, Hà Nôi</t>
  </si>
  <si>
    <t>Nghiêm Thị</t>
  </si>
  <si>
    <t>168271695</t>
  </si>
  <si>
    <t>0976879788</t>
  </si>
  <si>
    <t>Số 19 - Cổ Nhuế - Từ Liêm - Hà Nội</t>
  </si>
  <si>
    <t>Vũ Trọng Nghĩa</t>
  </si>
  <si>
    <t>0932628386</t>
  </si>
  <si>
    <t>145456130</t>
  </si>
  <si>
    <t>ĐH Nông nghiệp</t>
  </si>
  <si>
    <t>01656235740</t>
  </si>
  <si>
    <t>Mai Viên, Song Mai, Kim Động, Hưng Yên</t>
  </si>
  <si>
    <t>Phú Đô - Từ Liêm - Hà Nội</t>
  </si>
  <si>
    <t>Nguyễn Thị Lan Hương</t>
  </si>
  <si>
    <t>0963106122</t>
  </si>
  <si>
    <t>Nguyễn Duy</t>
  </si>
  <si>
    <t>Cung</t>
  </si>
  <si>
    <t>023288349</t>
  </si>
  <si>
    <t>Thương mại Truyền thông</t>
  </si>
  <si>
    <t>cungnd@topica.edu.vn</t>
  </si>
  <si>
    <t>0838389729</t>
  </si>
  <si>
    <t>0908906056</t>
  </si>
  <si>
    <t>233/41 Đại lộ Võ Văn Kiệt, P. Cô Giang Q. 1 HCM</t>
  </si>
  <si>
    <t>Bạch Hải</t>
  </si>
  <si>
    <t>012033023</t>
  </si>
  <si>
    <t>Swinburne University of Technology</t>
  </si>
  <si>
    <t>Marketing</t>
  </si>
  <si>
    <t>0906599405/0906108039</t>
  </si>
  <si>
    <t>78B Đê La Thành, Hà Nội</t>
  </si>
  <si>
    <t>31 Trương Phước Phan, P. Bình Trị Đông, Q. Bình Tân, TP. HCM</t>
  </si>
  <si>
    <t>Bạch Hải Yến</t>
  </si>
  <si>
    <t>0909963029</t>
  </si>
  <si>
    <t>172655591</t>
  </si>
  <si>
    <t>Sư phạm tin học</t>
  </si>
  <si>
    <t>0917488678</t>
  </si>
  <si>
    <t>Thị trấn Hà Trung, Thanh Hóa</t>
  </si>
  <si>
    <t>47/49 Nam Dư, Lĩnh Nam, Hoàng Mai, Hà Nội</t>
  </si>
  <si>
    <t>Vũ Đức Luật</t>
  </si>
  <si>
    <t>Lương Việt</t>
  </si>
  <si>
    <t>341485390</t>
  </si>
  <si>
    <t>CA. Đồng Tháp</t>
  </si>
  <si>
    <t>ĐH Đồng Tháp</t>
  </si>
  <si>
    <t>hoanglv@topica.edu.vn</t>
  </si>
  <si>
    <t>0673881051</t>
  </si>
  <si>
    <t>0932956067</t>
  </si>
  <si>
    <t>C132 Phạm Hữu Lầu, P.6, TP. Cao Lãnh, Đồng Tháp</t>
  </si>
  <si>
    <t>570/5 đường 3/2, P.14, Q.10</t>
  </si>
  <si>
    <t>Lương Thanh Tân</t>
  </si>
  <si>
    <t>Cha</t>
  </si>
  <si>
    <t>0918316791</t>
  </si>
  <si>
    <t>023926851</t>
  </si>
  <si>
    <t>ĐH Khoa học Xã hội và Nhân văn</t>
  </si>
  <si>
    <t>nhatdtm@topica.edu.vn</t>
  </si>
  <si>
    <t>0837269050</t>
  </si>
  <si>
    <t>0908154651</t>
  </si>
  <si>
    <t>174 Quốc Lộ 13, P.Hiệp Bình Chánh, Q. Thủ Đức</t>
  </si>
  <si>
    <t>Lê Hoàng Trung</t>
  </si>
  <si>
    <t>0909620375</t>
  </si>
  <si>
    <t>Trần</t>
  </si>
  <si>
    <t>Huê</t>
  </si>
  <si>
    <t>Triều Châu, Trung Quốc</t>
  </si>
  <si>
    <t>023906968</t>
  </si>
  <si>
    <t>CA. TP.HCM</t>
  </si>
  <si>
    <t>huet@topica.edu.vn</t>
  </si>
  <si>
    <t>0837516424</t>
  </si>
  <si>
    <t>0902799920</t>
  </si>
  <si>
    <t>163/21A Bến Chương Dương, P.Cầu Ông Lãnh, Q1</t>
  </si>
  <si>
    <t>89 đường số 8, cư xá Him Lam, P.13, Q6</t>
  </si>
  <si>
    <t>Trần Trang</t>
  </si>
  <si>
    <t>0909966269</t>
  </si>
  <si>
    <t>Hà Sơn Bình</t>
  </si>
  <si>
    <t>024321604</t>
  </si>
  <si>
    <t>0938750326</t>
  </si>
  <si>
    <t>11V Lạc Long Quân, P.5, Q.11, TP.HCM</t>
  </si>
  <si>
    <t>Nguyễn Mỹ Diệu</t>
  </si>
  <si>
    <t>191651533</t>
  </si>
  <si>
    <t>ĐH Kinh tế TP. HCM</t>
  </si>
  <si>
    <t>linhnmd@topica.edu.vn</t>
  </si>
  <si>
    <t>0985247715</t>
  </si>
  <si>
    <t>15 Nguyễn Thiện Kế, P. Vĩnh Ninh, Thừa Thiên Huế</t>
  </si>
  <si>
    <t>156/10 Tô Hiến Thành, P15, Q10, HCM</t>
  </si>
  <si>
    <t>01696825806</t>
  </si>
  <si>
    <t>Lê Thị Lệ</t>
  </si>
  <si>
    <t>132041122</t>
  </si>
  <si>
    <t>01649758221</t>
  </si>
  <si>
    <t>Xuân Lộc, Thanh Thủy, Phú Thọ</t>
  </si>
  <si>
    <t>151981453</t>
  </si>
  <si>
    <t>0986965462</t>
  </si>
  <si>
    <t>Thái Sơn, Thái Thúy, Thái Bình</t>
  </si>
  <si>
    <t>104/68 Cầu Giấy, Hà Nội</t>
  </si>
  <si>
    <t>Tống Thị Minh</t>
  </si>
  <si>
    <t>100958008</t>
  </si>
  <si>
    <t>ĐH Quốc tế Bắc Hà</t>
  </si>
  <si>
    <t>0974388264</t>
  </si>
  <si>
    <t>Tổ 18, Khu 3, Cẩm Thịnh, Cẩm Phả, Quảng Ninh</t>
  </si>
  <si>
    <t>Số 11/143 Ngõ chợ Khâm Thiên, Khâm Thiên, Hà Nội</t>
  </si>
  <si>
    <t>Vũ Thị Tuyết</t>
  </si>
  <si>
    <t>0912593588</t>
  </si>
  <si>
    <t>Đỗ Thị Khánh</t>
  </si>
  <si>
    <t>151630409</t>
  </si>
  <si>
    <t>Luật</t>
  </si>
  <si>
    <t>0936094979</t>
  </si>
  <si>
    <t>SN 29 ngõ 14 Pháo đài láng - Láng Thượng - Đống Đa - Hà Nội</t>
  </si>
  <si>
    <t>SN 14A ngách 90 ngõ 1194 Đường Láng, Láng Thượng, Đống Đa Hà Nội</t>
  </si>
  <si>
    <t>Đỗ Thị Hải Hà</t>
  </si>
  <si>
    <t>0912483124</t>
  </si>
  <si>
    <t>012378697</t>
  </si>
  <si>
    <t>CĐ Nghệ thuật</t>
  </si>
  <si>
    <t>Thiết kế thời trang</t>
  </si>
  <si>
    <t>0948842468</t>
  </si>
  <si>
    <t>313 Tây Sơn, Tổ 4b, Ngã tư sở, Hà Nội</t>
  </si>
  <si>
    <t>Số 7 - Ngõ 205 - Tây Sơn - Đống Đa - Hà Nội</t>
  </si>
  <si>
    <t>Cao Thu</t>
  </si>
  <si>
    <t>273128886</t>
  </si>
  <si>
    <t>0902808448</t>
  </si>
  <si>
    <t>30/22 Hoàng Việt, Phường 6, Vũng Tàu</t>
  </si>
  <si>
    <t>486 Lý Thái Tổ, P.10, Q.10</t>
  </si>
  <si>
    <t>Phạm Thị Huyên</t>
  </si>
  <si>
    <t>0909232926</t>
  </si>
  <si>
    <t>164408010</t>
  </si>
  <si>
    <t>0985268760</t>
  </si>
  <si>
    <t>Xóm Lão - Yên Mỹ - Yên Mô - Ninh Bình</t>
  </si>
  <si>
    <t>Trần Văn Khiêm</t>
  </si>
  <si>
    <t>01697397041</t>
  </si>
  <si>
    <t>112316221</t>
  </si>
  <si>
    <t>ĐH Ngoại thương</t>
  </si>
  <si>
    <t>0979652863</t>
  </si>
  <si>
    <t>Xã Đức Giang, huyện Hoài Đức, Hà Nội</t>
  </si>
  <si>
    <t>Nguyễn Ích Phương</t>
  </si>
  <si>
    <t>01669950564</t>
  </si>
  <si>
    <t>Bùi Thị Thúy</t>
  </si>
  <si>
    <t>025361475</t>
  </si>
  <si>
    <t>Dimemsion Internation College</t>
  </si>
  <si>
    <t>Quản lý khách sạn</t>
  </si>
  <si>
    <t>0937722559</t>
  </si>
  <si>
    <t>Số 1 Đường 3359 A Phạm Thế Hiển P.7, Q.8</t>
  </si>
  <si>
    <t>Bùi Thị Thúy Vân</t>
  </si>
  <si>
    <t>0907722555</t>
  </si>
  <si>
    <t>162692740</t>
  </si>
  <si>
    <t>CA. Nam Định</t>
  </si>
  <si>
    <t>Quản lý giáo dục</t>
  </si>
  <si>
    <t>0944885335</t>
  </si>
  <si>
    <t>57A Phạm Ngọc Thạch, P. Lộc Hạ, TP. Nam Định</t>
  </si>
  <si>
    <t>1074/10/6A Tỉnh lộ 10, P. Tân Tạo, Q.Bình Tân, TP. HCM</t>
  </si>
  <si>
    <t>Liêu Quốc</t>
  </si>
  <si>
    <t>351953703</t>
  </si>
  <si>
    <t>Lincoln</t>
  </si>
  <si>
    <t>0963999930/0942999402</t>
  </si>
  <si>
    <t>225/5A Trần Quang Diệu, TP Long Xuyên, An Giang</t>
  </si>
  <si>
    <t>45 U Long, Q.8</t>
  </si>
  <si>
    <t>Liêu Thanh Nhân</t>
  </si>
  <si>
    <t>0918532609</t>
  </si>
  <si>
    <t>012587582</t>
  </si>
  <si>
    <t>0914884989</t>
  </si>
  <si>
    <t>Số 7, Trần Quốc Toản, Hà Nội</t>
  </si>
  <si>
    <t>Ngô Sơn</t>
  </si>
  <si>
    <t>112441524</t>
  </si>
  <si>
    <t>0902078292</t>
  </si>
  <si>
    <t>Số 92, Khu tập thể khoa học quân sự, Trạm Trôi, Hoài Đức, Hà Nội</t>
  </si>
  <si>
    <t>Phạm Vân</t>
  </si>
  <si>
    <t>012735420</t>
  </si>
  <si>
    <t>0912627079</t>
  </si>
  <si>
    <t>Số 14, Tổ 36 Trung Hòa, Cầu Giấy Hà Nội</t>
  </si>
  <si>
    <t>Số 22 Ngách 165/87 Phố Chợ Khâm Thiên Hà Nội</t>
  </si>
  <si>
    <t>Trần Thành Nam</t>
  </si>
  <si>
    <t>0932283666</t>
  </si>
  <si>
    <t>112241105</t>
  </si>
  <si>
    <t>Học viên Công nghệ Bưu chính Viễn thông</t>
  </si>
  <si>
    <t>0942722299</t>
  </si>
  <si>
    <t>Đại Xuyên, Phú Xuyên, Hà Nội</t>
  </si>
  <si>
    <t>215 Vũ Hữu, Thanh Xuân, Hà Nội</t>
  </si>
  <si>
    <t>Vũ Bích Thủy</t>
  </si>
  <si>
    <t>0942536200</t>
  </si>
  <si>
    <t>Trần Thị Kim</t>
  </si>
  <si>
    <t>024381857</t>
  </si>
  <si>
    <t>0937256443</t>
  </si>
  <si>
    <t>149/8/2A Búi Văn Ngữ P.Hiệp Thành Q12 TPHCM</t>
  </si>
  <si>
    <t>0908854683</t>
  </si>
  <si>
    <t>250694636</t>
  </si>
  <si>
    <t>0907915844</t>
  </si>
  <si>
    <t>Lộc Châu, Bảo Lộc, Lâm Đồng</t>
  </si>
  <si>
    <t>Nguyễn Thị Thập, P.Tân Phú, Q7, HCM</t>
  </si>
  <si>
    <t>Trần Thị Thu Thủy</t>
  </si>
  <si>
    <t>01869496531</t>
  </si>
  <si>
    <t>273364559</t>
  </si>
  <si>
    <t>CA.BRVT</t>
  </si>
  <si>
    <t>CĐ Công nghệ Thông tin TP HCM</t>
  </si>
  <si>
    <t>Quản trị Bưu chính viễn thông</t>
  </si>
  <si>
    <t>0902529190</t>
  </si>
  <si>
    <t>0123 Vĩnh Bình - Bình Giả - Châu Đức - BRVT</t>
  </si>
  <si>
    <t>196/31A Vườn Lài P.Tân Thành Q.Tân Phú TP.HCM</t>
  </si>
  <si>
    <t>Đặng Thanh Trung</t>
  </si>
  <si>
    <t>Bác</t>
  </si>
  <si>
    <t>0908360914</t>
  </si>
  <si>
    <t>Phan Lê Tường</t>
  </si>
  <si>
    <t>301344098</t>
  </si>
  <si>
    <t>ĐH Ngoại ngữ - Tin học TP HCM</t>
  </si>
  <si>
    <t>01699961508</t>
  </si>
  <si>
    <t>175A, Ô 5 Khu B, Thị trấn Hậu Nghĩa, Đức Hòa, Long An</t>
  </si>
  <si>
    <t>539/8 Bình Thới, Phường 10, Quận 11, TP HCM</t>
  </si>
  <si>
    <t>Phạm Tấn Thành</t>
  </si>
  <si>
    <t>0908954175</t>
  </si>
  <si>
    <t>Phan Thị Hương</t>
  </si>
  <si>
    <t>024381287</t>
  </si>
  <si>
    <t>0839500440</t>
  </si>
  <si>
    <t>01998243331</t>
  </si>
  <si>
    <t>109/6/42 Khu phố 3, P. Bình Trị Đông A, Q. Bình Tân</t>
  </si>
  <si>
    <t>113H/3 Hoài Thanh, P.14, Q8</t>
  </si>
  <si>
    <t>Chu Xuân Đình</t>
  </si>
  <si>
    <t>024350423</t>
  </si>
  <si>
    <t>ĐH Giao Thông Vận Tải HCM</t>
  </si>
  <si>
    <t>Kinh tế vận tải</t>
  </si>
  <si>
    <t>0933131372</t>
  </si>
  <si>
    <t>Số 1 Đường 1 P.Trường Thọ, Thủ Đức, Hồ Chí Minh</t>
  </si>
  <si>
    <t>Chu Thảo Nguyên</t>
  </si>
  <si>
    <t>0902836745</t>
  </si>
  <si>
    <t>Trịnh Thị Lan</t>
  </si>
  <si>
    <t>173211904</t>
  </si>
  <si>
    <t>Kế toán tổng hợp</t>
  </si>
  <si>
    <t>0982956047</t>
  </si>
  <si>
    <t>Xã Vĩnh Ninh, huyện Vĩnh Lộc, Tỉnh Thanh Hóa</t>
  </si>
  <si>
    <t>Số 23C Ngõ Kim Hoa, Phương Liên, Đống Đa, Hà Nội</t>
  </si>
  <si>
    <t>Trịnh Văn Hà</t>
  </si>
  <si>
    <t>Anh</t>
  </si>
  <si>
    <t>0977641723</t>
  </si>
  <si>
    <t>Dương Thị Kim</t>
  </si>
  <si>
    <t>012286267</t>
  </si>
  <si>
    <t>Thông tin học</t>
  </si>
  <si>
    <t>0932216006/0934529222</t>
  </si>
  <si>
    <t>SN 04 Ngách 337/101 Ngõ 337 Đường Phạm Văn Đồng Khu Lộc Xuân Đỉnh - Từ Liêm - Hà Nội</t>
  </si>
  <si>
    <t>Trần Thị Thoa</t>
  </si>
  <si>
    <t>Đặng Thị Thu</t>
  </si>
  <si>
    <t>163002831</t>
  </si>
  <si>
    <t>0913808390/01689930958</t>
  </si>
  <si>
    <t>Nghĩa Trung, Nghĩa Hưng, Nam Định</t>
  </si>
  <si>
    <t>Số 5 Ngõ 7 Thái Hà Hà Nội</t>
  </si>
  <si>
    <t>012767576</t>
  </si>
  <si>
    <t>0977648085/0942881885</t>
  </si>
  <si>
    <t>Phòng 102 - A14B Thanh Xuân Bắc, Thanh Xuân, Hà Nội</t>
  </si>
  <si>
    <t>Nguyễn Lê Minh</t>
  </si>
  <si>
    <t>112329798</t>
  </si>
  <si>
    <t>01642793757</t>
  </si>
  <si>
    <t>Phúc La, Hà Đông, Hà Nội</t>
  </si>
  <si>
    <t>105, Dãy 24, Tổ 8, Phúc La, Hà Đông, Hà Nội</t>
  </si>
  <si>
    <t>Mạnh</t>
  </si>
  <si>
    <t>012319837</t>
  </si>
  <si>
    <t>ĐH Tài Nguyên và Môi trường</t>
  </si>
  <si>
    <t>Khí tượng</t>
  </si>
  <si>
    <t>0436990739</t>
  </si>
  <si>
    <t>0987715837</t>
  </si>
  <si>
    <t>Yên Khê - Yên Thường - Gia Lâm - Hà Nội</t>
  </si>
  <si>
    <t>Nguyễn Thị Hạnh</t>
  </si>
  <si>
    <t>01682335828</t>
  </si>
  <si>
    <t>Đàm Văn</t>
  </si>
  <si>
    <t>Tuyên</t>
  </si>
  <si>
    <t>145288494</t>
  </si>
  <si>
    <t>DĐH Bách khoa Hà Nội</t>
  </si>
  <si>
    <t>01652340957</t>
  </si>
  <si>
    <t>Lạc Đạo - Văn Lâm - Hưng Yên</t>
  </si>
  <si>
    <t>KTX B6 Đại học Bách khoa Hà Nội</t>
  </si>
  <si>
    <t>Đăng</t>
  </si>
  <si>
    <t>012821557</t>
  </si>
  <si>
    <t>0439500498</t>
  </si>
  <si>
    <t>0979927158</t>
  </si>
  <si>
    <t>Xuân Trạch, Xuân Canh, Đông Anh, Hà Nội</t>
  </si>
  <si>
    <t>012502869</t>
  </si>
  <si>
    <t>0916893626</t>
  </si>
  <si>
    <t>Số 80 Tập thể điện - Yên phụ - Tây Hồ - Hà Nội</t>
  </si>
  <si>
    <t>Số 1 ngách 32/65 ngõ 32 An Dương - Yên Phụ - Q Tây Hồ, Hà Nội</t>
  </si>
  <si>
    <t>TLI</t>
  </si>
  <si>
    <t>125461870</t>
  </si>
  <si>
    <t>PR - Quảng cáo</t>
  </si>
  <si>
    <t>0904931091</t>
  </si>
  <si>
    <t>Cách Bi, Quế Võ, Bắc Ninh</t>
  </si>
  <si>
    <t>Số nhà 9 ngõ 418 Phạm Văn Đồng, Cầu Giấy, Hà Nội</t>
  </si>
  <si>
    <t>Hoàng Thị Lệ</t>
  </si>
  <si>
    <t>Nghệ Tĩnh</t>
  </si>
  <si>
    <t>186100724</t>
  </si>
  <si>
    <t>ĐH Thiên Tân Trung Quốc</t>
  </si>
  <si>
    <t>Quản trị doanh nghiệp</t>
  </si>
  <si>
    <t>0983240126</t>
  </si>
  <si>
    <t>k15 P. Hà Huy Tập, TP Vinh, Nghệ An</t>
  </si>
  <si>
    <t>Hoàng Thị Tuyết</t>
  </si>
  <si>
    <t>186223034</t>
  </si>
  <si>
    <t>CA. Nghệ An</t>
  </si>
  <si>
    <t>ĐH Công nghiệp TP HCM</t>
  </si>
  <si>
    <t>Quản trị kinh doanh du lịch</t>
  </si>
  <si>
    <t>01673288731</t>
  </si>
  <si>
    <t>Xóm 4B Xã Hưng Lĩnh, H Hưng Nguyên, T Nghệ An</t>
  </si>
  <si>
    <t>130 Phạm Phú Thứ, P12, Quận Tân Bình, TP.HCM</t>
  </si>
  <si>
    <t>Nguyễn Đình Lai</t>
  </si>
  <si>
    <t>0983513798</t>
  </si>
  <si>
    <t>301257746</t>
  </si>
  <si>
    <t>CA. Long An</t>
  </si>
  <si>
    <t>0723641557</t>
  </si>
  <si>
    <t>0938653866</t>
  </si>
  <si>
    <t>Ấp 1, Phước Vân, Cần Đước, Long An</t>
  </si>
  <si>
    <t>512/9 Nguyễn Chí Thanh, Phường 7, Quận 11</t>
  </si>
  <si>
    <t>Nguyễn Phước Thành</t>
  </si>
  <si>
    <t>0913714517</t>
  </si>
  <si>
    <t>331655784</t>
  </si>
  <si>
    <t>CA. Vĩnh Long</t>
  </si>
  <si>
    <t>ĐH Trà Vinh</t>
  </si>
  <si>
    <t>Kinh tế luật và ngoại ngữ</t>
  </si>
  <si>
    <t>01283812722</t>
  </si>
  <si>
    <t>Ấp Thanh Bình, Xã Thanh Bình, H. Vũng Liêm, T. Vĩnh Long</t>
  </si>
  <si>
    <t>22/2, Tống Văn Hên, Phường 15, Quận Tân Bình, TP.HCM</t>
  </si>
  <si>
    <t>Đỗ Hoài</t>
  </si>
  <si>
    <t>012928299</t>
  </si>
  <si>
    <t>Văn hóa học</t>
  </si>
  <si>
    <t>01266065588</t>
  </si>
  <si>
    <t>P207 - A8B Thanh Xuân Bắc, Hà Nội</t>
  </si>
  <si>
    <t>017278218</t>
  </si>
  <si>
    <t>0989097868</t>
  </si>
  <si>
    <t>Tổ 3, P. La Khê, Hà Đông, Hà Nội</t>
  </si>
  <si>
    <t>Nguyễn Văn Tuấn</t>
  </si>
  <si>
    <t>0902179299</t>
  </si>
  <si>
    <t>Nguyễn Quốc</t>
  </si>
  <si>
    <t>012500115</t>
  </si>
  <si>
    <t>0936002205</t>
  </si>
  <si>
    <t>Số 4-B4 Khu A Đại học Kinh tế Quốc dân -Hai bà Trưng - Hà Nội</t>
  </si>
  <si>
    <t>Lê Mai Hoa</t>
  </si>
  <si>
    <t>0946101208</t>
  </si>
  <si>
    <t>TE</t>
  </si>
  <si>
    <t>Bình Dương</t>
  </si>
  <si>
    <t>280869230</t>
  </si>
  <si>
    <t>CĐ Nghề số 8 - Bộ Quốc phòng</t>
  </si>
  <si>
    <t>anhnth2@topica.edu.vn</t>
  </si>
  <si>
    <t>06503759452</t>
  </si>
  <si>
    <t>0908251088</t>
  </si>
  <si>
    <t>104 Nguyễn Văn Tiết, P</t>
  </si>
  <si>
    <t>Lê Thị Mỹ</t>
  </si>
  <si>
    <t>273356155</t>
  </si>
  <si>
    <t>CA. Vũng Tàu</t>
  </si>
  <si>
    <t>0932625113</t>
  </si>
  <si>
    <t>135/5 hòa hiệp- xuyên mộc - bà rịa vũng tàu</t>
  </si>
  <si>
    <t>391 phan văn trị p11 bình thạnh hcm</t>
  </si>
  <si>
    <t>Đặng Thanh Tùng</t>
  </si>
  <si>
    <t>0937948227</t>
  </si>
  <si>
    <t>Phạm Thị Mỹ</t>
  </si>
  <si>
    <t>271785588</t>
  </si>
  <si>
    <t>Ngữ Văn Anh</t>
  </si>
  <si>
    <t>0979294900</t>
  </si>
  <si>
    <t>1289A Phạm Thế Hiển, P5, Q8, TP HCM</t>
  </si>
  <si>
    <t>Tô Thị Ánh Tuyết</t>
  </si>
  <si>
    <t>0909988591</t>
  </si>
  <si>
    <t>Tiến</t>
  </si>
  <si>
    <t>321270905</t>
  </si>
  <si>
    <t>Tin học</t>
  </si>
  <si>
    <t>0907727612</t>
  </si>
  <si>
    <t>khu phố 1, Phường Phước Mỹ, TP.Phan Rang</t>
  </si>
  <si>
    <t>432B/10D Dương Bá Trạc, F.1, Q. 8</t>
  </si>
  <si>
    <t>Trần Mẫn</t>
  </si>
  <si>
    <t>0937698498</t>
  </si>
  <si>
    <t>321254215</t>
  </si>
  <si>
    <t>CĐ Công nghiệp Thực phẩm TP HCM</t>
  </si>
  <si>
    <t>Công nghiệp Chế biến Thủy sản</t>
  </si>
  <si>
    <t>0976168743</t>
  </si>
  <si>
    <t>Ấp 6- Châu Bình- Giồng Trôm - Bến Tre</t>
  </si>
  <si>
    <t>38/123 Chế Lan Viên- P. Tây Thạnh - Q. Tân Phú</t>
  </si>
  <si>
    <t>Nguyễn Thành Nguyên</t>
  </si>
  <si>
    <t>0907297454</t>
  </si>
  <si>
    <t>Đỗ Thị Mỹ</t>
  </si>
  <si>
    <t>Kim</t>
  </si>
  <si>
    <t>162982613</t>
  </si>
  <si>
    <t>0945121952</t>
  </si>
  <si>
    <t>4/60 Hàng Thao, P. Trần Hưng Đạo, TP Nam Định, Nam Định</t>
  </si>
  <si>
    <t>P703, N7 Khu tái định cư Đồng Tàu, Thịnh Liệt, Hoàng Mai, HN</t>
  </si>
  <si>
    <t>Đào Thị Thúy</t>
  </si>
  <si>
    <t>0942238433</t>
  </si>
  <si>
    <t>Tạ Thị Thanh</t>
  </si>
  <si>
    <t>012454452</t>
  </si>
  <si>
    <t>ĐH Đà Nẵng</t>
  </si>
  <si>
    <t>0989554070</t>
  </si>
  <si>
    <t>Nguyễn Thái</t>
  </si>
  <si>
    <t>091572298</t>
  </si>
  <si>
    <t>Công nghệ thông tin - Tiếng Anh</t>
  </si>
  <si>
    <t>01692273013</t>
  </si>
  <si>
    <t>Tổ 30 - Phường Hoàng Văn Thụ - Thái Nguyên</t>
  </si>
  <si>
    <t>Số 48 -Ngõ 242 - Đường Láng - Hà Nội</t>
  </si>
  <si>
    <t>8299253224</t>
  </si>
  <si>
    <t>Vũ Văn</t>
  </si>
  <si>
    <t>Định</t>
  </si>
  <si>
    <t>CGA10A</t>
  </si>
  <si>
    <t>125379474</t>
  </si>
  <si>
    <t>0979614811</t>
  </si>
  <si>
    <t>Phú Hòa, Lương Tài, Bắc Ninh</t>
  </si>
  <si>
    <t>224 Hoàng Mai, Hà Nội</t>
  </si>
  <si>
    <t>Vũ Văn Biện</t>
  </si>
  <si>
    <t>01627108603</t>
  </si>
  <si>
    <t>225445483</t>
  </si>
  <si>
    <t>CA. Khánh Hòa</t>
  </si>
  <si>
    <t>0936088245</t>
  </si>
  <si>
    <t>Quảng Phước-Vạn Lương-Vạn Ninh-Khánh Hòa</t>
  </si>
  <si>
    <t>373/152/47, Lý Thường Kiệt, Phường 8, Quận Tân Bình</t>
  </si>
  <si>
    <t>Nguyễn Văn Nam</t>
  </si>
  <si>
    <t>01689914232</t>
  </si>
  <si>
    <t>173041552</t>
  </si>
  <si>
    <t>0983552678</t>
  </si>
  <si>
    <t>Thanh Thủy, Tĩnh Gia, Thanh Hóa</t>
  </si>
  <si>
    <t>Nhà 12, ngõ 250/100/15, Kim Giang, Hoàng Mai, HN</t>
  </si>
  <si>
    <t>Mến</t>
  </si>
  <si>
    <t>131288381</t>
  </si>
  <si>
    <t>0985091861</t>
  </si>
  <si>
    <t>Thi trấn Phong Châu, Phù Ninh, Phú Thọ</t>
  </si>
  <si>
    <t>Sôố 4 ngách 67 ngõ 337 Cầu Giấy, Hà Nội</t>
  </si>
  <si>
    <t>Nguyễn Ngọc Quý</t>
  </si>
  <si>
    <t>0972781464</t>
  </si>
  <si>
    <t>Doãn Thị Hải</t>
  </si>
  <si>
    <t>031580531</t>
  </si>
  <si>
    <t>0904039392</t>
  </si>
  <si>
    <t>40 ngõ 10 đường Hùng Duệ Vương, Thương Lý, Hồng Bàng, Hải Phòng</t>
  </si>
  <si>
    <t>15a ngõ 144/4 Quan Nhân, Nhân Chính, Thanh Xuân, Hà Nội</t>
  </si>
  <si>
    <t>Dương Thị Huyền</t>
  </si>
  <si>
    <t>112479096</t>
  </si>
  <si>
    <t>0433883646</t>
  </si>
  <si>
    <t>0989951878</t>
  </si>
  <si>
    <t>Số nhà 42 ngõ 23A, Phương Liên, Đống Đa, Hà Nội</t>
  </si>
  <si>
    <t>013644857</t>
  </si>
  <si>
    <t>CĐ Điện lực</t>
  </si>
  <si>
    <t>01695516248</t>
  </si>
  <si>
    <t>Lương Quy, Xuân Nộn, Đông Anh, Hà Nội</t>
  </si>
  <si>
    <t>Đặng Hồng</t>
  </si>
  <si>
    <t>Hậu</t>
  </si>
  <si>
    <t>012631583</t>
  </si>
  <si>
    <t>Trung tâm Đào tạo E-learning Viện Đại Học Mở Hà Nội</t>
  </si>
  <si>
    <t>Tài chính Kế toán</t>
  </si>
  <si>
    <t>0438712131</t>
  </si>
  <si>
    <t>0945540154</t>
  </si>
  <si>
    <t>Số 62, Tổ 6, Phường Ngọc Thụy, Quận Long Biên Hà Nội</t>
  </si>
  <si>
    <t>Vũ Trí Bình</t>
  </si>
  <si>
    <t>Lương Thị Bích</t>
  </si>
  <si>
    <t>024509597</t>
  </si>
  <si>
    <t>0854088081</t>
  </si>
  <si>
    <t>0934032153</t>
  </si>
  <si>
    <t>25/62 Sơn Kỳ, P. Sơn Kỳ, Q. Tân Phú</t>
  </si>
  <si>
    <t>Lương Thị Lan</t>
  </si>
  <si>
    <t>0938469279</t>
  </si>
  <si>
    <t>024818533</t>
  </si>
  <si>
    <t>CĐ Công Thương TP HCM</t>
  </si>
  <si>
    <t>0907478797</t>
  </si>
  <si>
    <t>C35/K300 Nguyễn Minh Hoàng, F12, Q.Tân Bình</t>
  </si>
  <si>
    <t>1/16H Tiền Lân, Bà Điểm, Hóc Môn</t>
  </si>
  <si>
    <t>Phùng Thị Nhẫn</t>
  </si>
  <si>
    <t>0903519493</t>
  </si>
  <si>
    <t>H1310E6A</t>
  </si>
  <si>
    <t>111711962</t>
  </si>
  <si>
    <t>ĐH Y tế công cộng</t>
  </si>
  <si>
    <t>Y tế công cộng</t>
  </si>
  <si>
    <t>0989338096</t>
  </si>
  <si>
    <t>181 Tổ 14 Phương Liên, Đống Đa, Hà Nội</t>
  </si>
  <si>
    <t>406 Lê Duẩn, Đống Đa, Hà Nội</t>
  </si>
  <si>
    <t>Vũ Thanh</t>
  </si>
  <si>
    <t>012215933</t>
  </si>
  <si>
    <t>0986768733</t>
  </si>
  <si>
    <t>Tập thể Viện KHKT Giao thông Vận tải, Láng Thượng, Hà Nội</t>
  </si>
  <si>
    <t>Nguyễn Ánh</t>
  </si>
  <si>
    <t>012895145</t>
  </si>
  <si>
    <t>ĐH Phương Đông</t>
  </si>
  <si>
    <t>0983275991</t>
  </si>
  <si>
    <t>253 Nguyễn Văn Cừ, Long Biên, Hà Nội</t>
  </si>
  <si>
    <t>Lương Thị</t>
  </si>
  <si>
    <t>186721286</t>
  </si>
  <si>
    <t>0986691499</t>
  </si>
  <si>
    <t>Xóm 2 Diễn Bình, Huyện Diễn Châu, Tỉnh Nghệ An</t>
  </si>
  <si>
    <t>Liễu</t>
  </si>
  <si>
    <t>012657982</t>
  </si>
  <si>
    <t>CĐ Cộng đồng Hà Nội</t>
  </si>
  <si>
    <t>0943889113</t>
  </si>
  <si>
    <t>Số 31, Tổ 20, Định Công, Hoàng Mai, Hà Nội</t>
  </si>
  <si>
    <t>Phan Anh Tuấn</t>
  </si>
  <si>
    <t>Vũ Đào Quỳnh</t>
  </si>
  <si>
    <t>101041119</t>
  </si>
  <si>
    <t>0989909061</t>
  </si>
  <si>
    <t>TS K6, Hồng Hải, Hạ Long, Quảng Ninh</t>
  </si>
  <si>
    <t>Đào Thị Hồng</t>
  </si>
  <si>
    <t>Phùng Ngọc</t>
  </si>
  <si>
    <t>163039513</t>
  </si>
  <si>
    <t>ĐH Đại Nam</t>
  </si>
  <si>
    <t>Tài chính-ngân hàng</t>
  </si>
  <si>
    <t>0986005135</t>
  </si>
  <si>
    <t>Thôn An Duyên, Xã Đại An,Huyện Vụ Bản, Nam Định</t>
  </si>
  <si>
    <t>Số 16 ngách 12/93 - Chính Kinh - Thanh Xuân - Hà Nội</t>
  </si>
  <si>
    <t>ISSNCTA2</t>
  </si>
  <si>
    <t>205394421</t>
  </si>
  <si>
    <t>CA. Quảng Nam</t>
  </si>
  <si>
    <t>ĐH Đà Nẵng cao đẳng công nghệ</t>
  </si>
  <si>
    <t>công nghệ thông tin</t>
  </si>
  <si>
    <t>vanln@topica.edu.vn</t>
  </si>
  <si>
    <t>01626054772</t>
  </si>
  <si>
    <t>Tam Quang - Núi Thành - Quảng Nam</t>
  </si>
  <si>
    <t>61/11A Lê Đức Thọ - P6 - Q Gò Vấp - tp HCM</t>
  </si>
  <si>
    <t>Nguyễn Thị Ảnh</t>
  </si>
  <si>
    <t>01214532243</t>
  </si>
  <si>
    <t>Nguyễn Lan</t>
  </si>
  <si>
    <t>132024758</t>
  </si>
  <si>
    <t>0978793640</t>
  </si>
  <si>
    <t>Khu 7 Xã Phú Lộc, Phù Ninh, Phú Thọ</t>
  </si>
  <si>
    <t>ngõ 158 Trương Định, Hoàng Mai, HN</t>
  </si>
  <si>
    <t>Nguyễn Thị Hà</t>
  </si>
  <si>
    <t>01656729168</t>
  </si>
  <si>
    <t>Đoàn Thị Kim</t>
  </si>
  <si>
    <t>031328236</t>
  </si>
  <si>
    <t>Đh Hải Phòng</t>
  </si>
  <si>
    <t>Sư phạm âm nhạc</t>
  </si>
  <si>
    <t>số 36 khu kiot D1, Cát Bi, Hải An, Hải Phòng</t>
  </si>
  <si>
    <t>Lê Thi Thu</t>
  </si>
  <si>
    <t>050638242</t>
  </si>
  <si>
    <t>ĐH Kinh tế</t>
  </si>
  <si>
    <t>01278887138</t>
  </si>
  <si>
    <t>Tiểu khu 2 Thị trấn It ong, Mường La, Sơn La</t>
  </si>
  <si>
    <t>Mễ Trì Hạ, Từ Liêm, HN</t>
  </si>
  <si>
    <t>Lại Hương</t>
  </si>
  <si>
    <t>151722495</t>
  </si>
  <si>
    <t>0986314880</t>
  </si>
  <si>
    <t>Tân Phong, Vũ Thư, Thái Bình</t>
  </si>
  <si>
    <t>Số 4 Ngõ 797 Trương Định, Hoàng Mai</t>
  </si>
  <si>
    <t>Lê Đại</t>
  </si>
  <si>
    <t>Hải Phong</t>
  </si>
  <si>
    <t>031328544</t>
  </si>
  <si>
    <t>Đh dân lập Hải Phòng</t>
  </si>
  <si>
    <t>0902261234</t>
  </si>
  <si>
    <t>26 Chợ Con, Trai Câu, Lê Chân, Hải Phòng</t>
  </si>
  <si>
    <t>6/4 Trần Quý Kiên, Cầu Giấy, HN</t>
  </si>
  <si>
    <t>Lê Trung Trực</t>
  </si>
  <si>
    <t>01233716488</t>
  </si>
  <si>
    <t>112032915</t>
  </si>
  <si>
    <t>ĐH Công nghiệp Hà Nội</t>
  </si>
  <si>
    <t>01659678679</t>
  </si>
  <si>
    <t>Xã Tân Hòa, Huyện Quốc Oai, Hà Nội</t>
  </si>
  <si>
    <t>Số 19, ngõ 1 Ngô Gia Khảm, P. Yết Kiêu, Q. Hà Đông, HN</t>
  </si>
  <si>
    <t>Vương Viết Thế</t>
  </si>
  <si>
    <t>0433945158</t>
  </si>
  <si>
    <t>145433862</t>
  </si>
  <si>
    <t>0977881086</t>
  </si>
  <si>
    <t>Thôn Bằng Ngang, Xã Lương Bằng, huyện Kim Động, Tỉnh Hưng Yên</t>
  </si>
  <si>
    <t>11 ngõ 7, Thái Thịnh, Đống Đa, Hà Nội</t>
  </si>
  <si>
    <t>Hồ Thị Bích</t>
  </si>
  <si>
    <t>271721037</t>
  </si>
  <si>
    <t>CA.Đồng Nai</t>
  </si>
  <si>
    <t>lienhtb@topica.edu.vn</t>
  </si>
  <si>
    <t>0937620114</t>
  </si>
  <si>
    <t>43 Ấp 12 - Xuân Tây - Cẩm Mỹ - Đồng Nai</t>
  </si>
  <si>
    <t>Lê Đức Thọ - p6 - Gò Vấp -HCM</t>
  </si>
  <si>
    <t>Nguyễn Lê Mỹ</t>
  </si>
  <si>
    <t>023749260</t>
  </si>
  <si>
    <t>ĐH ngoại ngữ HN</t>
  </si>
  <si>
    <t>ngữ văn Anh</t>
  </si>
  <si>
    <t>dungnlm@topica.edu.vn</t>
  </si>
  <si>
    <t>0835001686</t>
  </si>
  <si>
    <t>0909839676</t>
  </si>
  <si>
    <t>334/96/4B CHu VĂn An, P.12, Q. Bình Thạnh, TP.HCM</t>
  </si>
  <si>
    <t>50/3/8N Hòa Bình, P.5, Q.11</t>
  </si>
  <si>
    <t>58096776</t>
  </si>
  <si>
    <t>Trần Thi</t>
  </si>
  <si>
    <t>Thuần</t>
  </si>
  <si>
    <t>186969986</t>
  </si>
  <si>
    <t>Quản lý tổ chức và nhân sự</t>
  </si>
  <si>
    <t>0972907000</t>
  </si>
  <si>
    <t>Xóm Diễn Thịnh, Xã Thịnh Thành, Huyện Yên Thành, Tỉnh Nghệ An</t>
  </si>
  <si>
    <t>Định Công, Hoàng Mai, Hà Nội</t>
  </si>
  <si>
    <t>142234232</t>
  </si>
  <si>
    <t>CĐ sư phạm Bắc Ninh</t>
  </si>
  <si>
    <t>sư phạm giáo dục tiểu học</t>
  </si>
  <si>
    <t>nhungnt@topica.edu.vn</t>
  </si>
  <si>
    <t>Văn Giang, Ninh Giang, Hải Dương</t>
  </si>
  <si>
    <t>012843384</t>
  </si>
  <si>
    <t>Đh Thăng Long</t>
  </si>
  <si>
    <t>Hệ thống thông tin quản lý</t>
  </si>
  <si>
    <t>tuyennm@topica.edu.vn</t>
  </si>
  <si>
    <t>0987996648</t>
  </si>
  <si>
    <t>Xóm Đình, thôn Kiều Mai, xã Phú Diễn, Từ Liêm, HN</t>
  </si>
  <si>
    <t>Lê Thị Liên</t>
  </si>
  <si>
    <t>0983731002</t>
  </si>
  <si>
    <t>031670609</t>
  </si>
  <si>
    <t>Đh Hà Nội</t>
  </si>
  <si>
    <t>ngocntb3@topica.edu.vn</t>
  </si>
  <si>
    <t>01655280994</t>
  </si>
  <si>
    <t>301AB, CT2/47 Lê Lai, Máy Chai, Ngô Quyền, Hải Phòng</t>
  </si>
  <si>
    <t>Lê Nguyễn Hoàng</t>
  </si>
  <si>
    <t>024244519</t>
  </si>
  <si>
    <t>ĐH Kinh tế TP HCM</t>
  </si>
  <si>
    <t>anhlnh@topica.edu.vn</t>
  </si>
  <si>
    <t>01264917745</t>
  </si>
  <si>
    <t>hoanganh789.leng@gmail.com</t>
  </si>
  <si>
    <t>234/60 Phạm Thế Hiển, P6 - Q8 TPHCM</t>
  </si>
  <si>
    <t>2347/60 Phạm Thế Hiển, P6 - Q8 TPHCM</t>
  </si>
  <si>
    <t>Trần Thị Hoàng</t>
  </si>
  <si>
    <t>024134969</t>
  </si>
  <si>
    <t>0986877795</t>
  </si>
  <si>
    <t>61 Khuông Việt, Phường Phú Trung, Quận Tân Phú</t>
  </si>
  <si>
    <t>Trần Nguyên</t>
  </si>
  <si>
    <t>Khang</t>
  </si>
  <si>
    <t>024138179</t>
  </si>
  <si>
    <t>CATPHCM</t>
  </si>
  <si>
    <t>khangtn@topica.edu.vn</t>
  </si>
  <si>
    <t>0938444680</t>
  </si>
  <si>
    <t>17 Nguyễn Thiện Thuật P2 Q3 TPHCM</t>
  </si>
  <si>
    <t>Nguyễn Thị Mỹ Hồng</t>
  </si>
  <si>
    <t>0908301058</t>
  </si>
  <si>
    <t>Đặng Thị Thanh</t>
  </si>
  <si>
    <t>thaodtt@topica.edu.vn</t>
  </si>
  <si>
    <t>0973622298</t>
  </si>
  <si>
    <t>187005568</t>
  </si>
  <si>
    <t>Đh kinh tế- kỹ thuật công nghiệp</t>
  </si>
  <si>
    <t>0966653999</t>
  </si>
  <si>
    <t>Nghĩa Hiếu, Nghĩa Đàn, Nghệ An</t>
  </si>
  <si>
    <t>Số nhà 16B, ngách 354/177, ngõ 22 Tôn Thất Tùng, Đống Đa, HN</t>
  </si>
  <si>
    <t>Mai Danh</t>
  </si>
  <si>
    <t>haomd@topica.edu.vn</t>
  </si>
  <si>
    <t>Ninh Chí</t>
  </si>
  <si>
    <t>Tuệ</t>
  </si>
  <si>
    <t>164416288</t>
  </si>
  <si>
    <t>FPT-APTECH</t>
  </si>
  <si>
    <t>tuenc@topica.edu.vn</t>
  </si>
  <si>
    <t>0972444169</t>
  </si>
  <si>
    <t>Yên Mỹ, Yên Mỗ, Ninh Bình</t>
  </si>
  <si>
    <t>Hà Đông, HN</t>
  </si>
  <si>
    <t>Ninh Quang Vịnh</t>
  </si>
  <si>
    <t>0973551569</t>
  </si>
  <si>
    <t>Trần Thị Thu</t>
  </si>
  <si>
    <t>TOSGK13</t>
  </si>
  <si>
    <t>011869865</t>
  </si>
  <si>
    <t>ĐH Paris II</t>
  </si>
  <si>
    <t>Luật .</t>
  </si>
  <si>
    <t>phuongttt2@topica.edu.vn</t>
  </si>
  <si>
    <t>0975791205</t>
  </si>
  <si>
    <t>thuphuong.tran@gmail.com</t>
  </si>
  <si>
    <t>Phòng 510 Nhà 54A Nguyễn Chí Thanh, Phường Láng Thượng, Đống Đa, Hà Nội</t>
  </si>
  <si>
    <t>14 Tổ 31 Ngọc Hà, Ba Đình, Hà Nội</t>
  </si>
  <si>
    <t>Bùi Quỳnh</t>
  </si>
  <si>
    <t>050544958</t>
  </si>
  <si>
    <t>Học viện công nghệ bưu chính viễn thông</t>
  </si>
  <si>
    <t>anhbq@topica.edu.vn</t>
  </si>
  <si>
    <t>tiểu khu 68, thị trấn Nông Trường, Mộc Châu, Sơn La</t>
  </si>
  <si>
    <t>322/76 Nhân Mỹ, Mỹ Đình, Từ Liêm, HN</t>
  </si>
  <si>
    <t>Chu Mạnh</t>
  </si>
  <si>
    <t>T14VA104</t>
  </si>
  <si>
    <t>080411140</t>
  </si>
  <si>
    <t>CA. Cao Bằng</t>
  </si>
  <si>
    <t>Toán Ứng dụng</t>
  </si>
  <si>
    <t>hungcm@topica.edu.vn</t>
  </si>
  <si>
    <t>0982898390</t>
  </si>
  <si>
    <t>chumanhhung235@gmail.com</t>
  </si>
  <si>
    <t>Phòng 701, CT1-DDN1, Sudico, Mễ Trì, Từ Liêm, Hà Nội</t>
  </si>
  <si>
    <t>Bùi Thị Khánh</t>
  </si>
  <si>
    <t>SNHV13B50</t>
  </si>
  <si>
    <t>230715326</t>
  </si>
  <si>
    <t>Học viện báo chí và tuyên truyền</t>
  </si>
  <si>
    <t>lybtk@topica.edu.vn</t>
  </si>
  <si>
    <t>0979144537</t>
  </si>
  <si>
    <t>Tổ 8, phường An Bình, thị xã An Khê, tỉnh Gia Lai</t>
  </si>
  <si>
    <t>số 95, ngõ 219, Định Công Thượng, Hoàng Mai, HN</t>
  </si>
  <si>
    <t>Ngô Phương</t>
  </si>
  <si>
    <t>012602860</t>
  </si>
  <si>
    <t>ĐH Công nghệ Queensland</t>
  </si>
  <si>
    <t>dungnp@topica.edu.vn</t>
  </si>
  <si>
    <t>0962008681</t>
  </si>
  <si>
    <t>phuongdung299@gmail.com</t>
  </si>
  <si>
    <t>179B Đội Cấn, Ba Đình, Hà Nội</t>
  </si>
  <si>
    <t>Vũ Thế</t>
  </si>
  <si>
    <t>173277039</t>
  </si>
  <si>
    <t>ĐH Ngoại ngữ</t>
  </si>
  <si>
    <t>Sư phạm Tiếng Anh</t>
  </si>
  <si>
    <t>anhvt2@topica.edu.vn</t>
  </si>
  <si>
    <t>0986367866</t>
  </si>
  <si>
    <t>Nga Thiện, Nga Sơn, Thanh Hóa</t>
  </si>
  <si>
    <t>12 Chùa Bộc, Hà Nội</t>
  </si>
  <si>
    <t>Trần Văn Viên</t>
  </si>
  <si>
    <t>01692033887</t>
  </si>
  <si>
    <t>012727683</t>
  </si>
  <si>
    <t>ĐH Kent State</t>
  </si>
  <si>
    <t>tuanlm@topica.edu.vn</t>
  </si>
  <si>
    <t>045742380</t>
  </si>
  <si>
    <t>01238831990</t>
  </si>
  <si>
    <t>tuanle3005@gmail.com</t>
  </si>
  <si>
    <t>B9 P105 Tập thể Kim Liên, Đống Đa, Hà Nội</t>
  </si>
  <si>
    <t>Trần Thanh Vân</t>
  </si>
  <si>
    <t>0948685186</t>
  </si>
  <si>
    <t>congnn@topica.edu.vn</t>
  </si>
  <si>
    <t>TKWA13A</t>
  </si>
  <si>
    <t>151598370</t>
  </si>
  <si>
    <t>Cao Đẳng</t>
  </si>
  <si>
    <t>ĐH Công Nghiệp HN</t>
  </si>
  <si>
    <t>tamnt3@topica.edu.vn</t>
  </si>
  <si>
    <t>0983979594</t>
  </si>
  <si>
    <t>Xã Đông Tân, huyện Đông Hưng, Thái Bình</t>
  </si>
  <si>
    <t>Ngách 173/1141 Giải Phóng, Thịnh Liệt, Hoàng Mai, HN</t>
  </si>
  <si>
    <t>Ngô Duy Thành</t>
  </si>
  <si>
    <t>chồng</t>
  </si>
  <si>
    <t>172644357</t>
  </si>
  <si>
    <t>Đh Ngoại Thương</t>
  </si>
  <si>
    <t>Luật kinh doanh quốc tế</t>
  </si>
  <si>
    <t>trangntt4@topica.edu.vn</t>
  </si>
  <si>
    <t>0988030487</t>
  </si>
  <si>
    <t>168 Lê Lợi, Lam Sơn, Bỉm Sơn, Thanh Hóa</t>
  </si>
  <si>
    <t>số 5, ngách 58/23/33, ngõ 105, Hồ Tùng Mậu, Cầu Giấy, HN</t>
  </si>
  <si>
    <t>186945345</t>
  </si>
  <si>
    <t>ĐH Mỹ thuật công nghiệp</t>
  </si>
  <si>
    <t>Đồ họa</t>
  </si>
  <si>
    <t>trant@topica.edu.vn</t>
  </si>
  <si>
    <t>01669019729</t>
  </si>
  <si>
    <t>Xóm 3 - Hưng Tân - Hưng Nguyên - Nghệ An</t>
  </si>
  <si>
    <t>Nguyễn Hữu Hà</t>
  </si>
  <si>
    <t>ADC21G</t>
  </si>
  <si>
    <t>Đinh Thị Châu</t>
  </si>
  <si>
    <t>011934893</t>
  </si>
  <si>
    <t>ĐH Bách khoa HN</t>
  </si>
  <si>
    <t>Quản lý kinh tế</t>
  </si>
  <si>
    <t>giangdtc@topica.edu.vn</t>
  </si>
  <si>
    <t>0917336269/0904589355</t>
  </si>
  <si>
    <t>dinhchaugiang@gmail.com</t>
  </si>
  <si>
    <t>P301, D3, Khu DF, P. Dịch Vọng, Q. Cầu Giấy, Hà Nội</t>
  </si>
  <si>
    <t>Đinh Thị Thanh Giang</t>
  </si>
  <si>
    <t>0906186879</t>
  </si>
  <si>
    <t>Phan Thị Phương</t>
  </si>
  <si>
    <t>Xuân Lộc, Đồng Nai</t>
  </si>
  <si>
    <t>Bình Trị Thiên</t>
  </si>
  <si>
    <t>271835843</t>
  </si>
  <si>
    <t>thaoptp2@topica.edu.vn</t>
  </si>
  <si>
    <t>0938235734</t>
  </si>
  <si>
    <t>hoacomay70763153@yahoo.com</t>
  </si>
  <si>
    <t>E75 Khu phố 2 - Phường Xuân Bình - Long Khánh - Đồng Nai</t>
  </si>
  <si>
    <t>243, Chấn Hưng, P6, Quận Tân Bình, TP HCM</t>
  </si>
  <si>
    <t>Phan Thị Phương Quỳnh</t>
  </si>
  <si>
    <t>01685775507</t>
  </si>
  <si>
    <t>025191626</t>
  </si>
  <si>
    <t>Viện Quản trị doanh nghiệp</t>
  </si>
  <si>
    <t>Chuyên viên Kế toán</t>
  </si>
  <si>
    <t>trangntt5@topica.edu.vn</t>
  </si>
  <si>
    <t>0907427171</t>
  </si>
  <si>
    <t>thuytrang08081987@gmail.com</t>
  </si>
  <si>
    <t>32/101 Ông Bích Khiêm, P14, Q11</t>
  </si>
  <si>
    <t>38/6/3 Đô Đốc Long, Q Tân Quý, Q Tân Phú</t>
  </si>
  <si>
    <t>Nguyễn Văn Thắng</t>
  </si>
  <si>
    <t>0903394952</t>
  </si>
  <si>
    <t>Đoàn Thị Ngọc</t>
  </si>
  <si>
    <t>024713820</t>
  </si>
  <si>
    <t>Quản trị Khách sạn - Nhà hàng</t>
  </si>
  <si>
    <t>hanhdtn@topica.edu.vn</t>
  </si>
  <si>
    <t>0908907119</t>
  </si>
  <si>
    <t>ngochanh.090990@gmail.com</t>
  </si>
  <si>
    <t>29/2 Đoàn Giỏi, P.Sơn Kỳ, Q.Tân Phú, TP HCM</t>
  </si>
  <si>
    <t>Đoàn Vũ Hiệp</t>
  </si>
  <si>
    <t>0903115517</t>
  </si>
  <si>
    <t>Lưu Thị Trúc</t>
  </si>
  <si>
    <t>017110511</t>
  </si>
  <si>
    <t>ĐH Kinh tế - kỹ thuật công nghiệp</t>
  </si>
  <si>
    <t>loanltt@topica.edu.vn</t>
  </si>
  <si>
    <t>0975369923</t>
  </si>
  <si>
    <t>-</t>
  </si>
  <si>
    <t>Bạch Hạ, Phú Xuyên, Hà Nội</t>
  </si>
  <si>
    <t>282 Lĩnh Nam, Hoàng Mai, Hà Nội</t>
  </si>
  <si>
    <t>Lưu Ngọc Xuyến</t>
  </si>
  <si>
    <t>Dương Thị Quỳnh</t>
  </si>
  <si>
    <t>017143282</t>
  </si>
  <si>
    <t>chaudtq@topica.edu.vn</t>
  </si>
  <si>
    <t>0433851478</t>
  </si>
  <si>
    <t>01698151556</t>
  </si>
  <si>
    <t>quynhchau.neu@gmail.com</t>
  </si>
  <si>
    <t>Nguyễn Trãi, Thường Tín, Hà Nội</t>
  </si>
  <si>
    <t>Dương Văn Mạnh</t>
  </si>
  <si>
    <t>0974864486</t>
  </si>
  <si>
    <t>Ánh</t>
  </si>
  <si>
    <t>VPEO14A2</t>
  </si>
  <si>
    <t>145376255</t>
  </si>
  <si>
    <t>HV Ngân hàng</t>
  </si>
  <si>
    <t>anhdt2@topica.edu.vn</t>
  </si>
  <si>
    <t>0979671420</t>
  </si>
  <si>
    <t>anhnganhang@gmail.com</t>
  </si>
  <si>
    <t>Đội 3, Đức Hợp, Kim Động,Hưng Yên</t>
  </si>
  <si>
    <t>P1608B, Mipec Tower, 229 Tây Sơn, Đống ĐA</t>
  </si>
  <si>
    <t>Nguyễn Thị Oanh</t>
  </si>
  <si>
    <t>01632 885 695</t>
  </si>
  <si>
    <t>TEF</t>
  </si>
  <si>
    <t>TEFP</t>
  </si>
  <si>
    <t>C11DE29</t>
  </si>
  <si>
    <t>031560983</t>
  </si>
  <si>
    <t>RMIT</t>
  </si>
  <si>
    <t>Thương mại</t>
  </si>
  <si>
    <t>chauttm@topica.edu.vn</t>
  </si>
  <si>
    <t>01225286890</t>
  </si>
  <si>
    <t>tran.orient98@gmail.com</t>
  </si>
  <si>
    <t>P801, Nơ 20, Khu chung cư Pháp Vân, Tứ Hiệp, Hoàng Mai, Hà Nội</t>
  </si>
  <si>
    <t>Nguyễn Thị Lê Hưởng</t>
  </si>
  <si>
    <t>0904357257</t>
  </si>
  <si>
    <t>G1APE10</t>
  </si>
  <si>
    <t>163145912</t>
  </si>
  <si>
    <t>trongpd@topica.edu.vn</t>
  </si>
  <si>
    <t>01695308381</t>
  </si>
  <si>
    <t>phamtrong204@gmail.com</t>
  </si>
  <si>
    <t>Hải Nam, Hải Hậu, Nam Định</t>
  </si>
  <si>
    <t>Số 40, ngõ 211, Khương Trung, Thanh Xuân, Hà Nội</t>
  </si>
  <si>
    <t>Phạm Văn Ngọc</t>
  </si>
  <si>
    <t>0984009051</t>
  </si>
  <si>
    <t>Trần Văn</t>
  </si>
  <si>
    <t>Nghĩa</t>
  </si>
  <si>
    <t>P2A14E</t>
  </si>
  <si>
    <t>162763506</t>
  </si>
  <si>
    <t>ĐH Bách khoa Hà Nội</t>
  </si>
  <si>
    <t>nghiatv@topica.edu.vn</t>
  </si>
  <si>
    <t>0919222496</t>
  </si>
  <si>
    <t>tranducnghiabkhoa@gmail.com</t>
  </si>
  <si>
    <t>Số 10 Phạm Huy Thông, Ba Đình, Hà Nội</t>
  </si>
  <si>
    <t>Số 22 ngõ 4 Phương Mai, Hoàng Mai, Hà Nội</t>
  </si>
  <si>
    <t>Nguyễn Kiên</t>
  </si>
  <si>
    <t>Quyết</t>
  </si>
  <si>
    <t>P2A15E</t>
  </si>
  <si>
    <t>quyetnk@topica.edu.vn</t>
  </si>
  <si>
    <t>Lại Nguyên</t>
  </si>
  <si>
    <t>Khôi</t>
  </si>
  <si>
    <t>G1APE11</t>
  </si>
  <si>
    <t>012869606</t>
  </si>
  <si>
    <t>CĐ Cộng đồng Portland</t>
  </si>
  <si>
    <t>Khoa học Công nghệ</t>
  </si>
  <si>
    <t>khoiln@topica.edu.vn</t>
  </si>
  <si>
    <t>0963223157</t>
  </si>
  <si>
    <t>k@khoi.tv</t>
  </si>
  <si>
    <t>67 Ngõ Thịnh Quang, Tây Sơn, Hà Nội</t>
  </si>
  <si>
    <t>0915558229</t>
  </si>
  <si>
    <t>Nghiêm Minh</t>
  </si>
  <si>
    <t>G1APE12</t>
  </si>
  <si>
    <t>012676916</t>
  </si>
  <si>
    <t>ĐH Bách Khoa - HN</t>
  </si>
  <si>
    <t>hoangnm@topica.edu.vn</t>
  </si>
  <si>
    <t>0943181690</t>
  </si>
  <si>
    <t>Số 20, ngõ 282/1 Kim Giang, Hoàng Mai, Hà Nội</t>
  </si>
  <si>
    <t>Trần Thị Nga</t>
  </si>
  <si>
    <t>01235125390</t>
  </si>
  <si>
    <t>Đào Huyền</t>
  </si>
  <si>
    <t>MTAE16W</t>
  </si>
  <si>
    <t>012774371</t>
  </si>
  <si>
    <t>trangdth@topica.edu.vn</t>
  </si>
  <si>
    <t>0979039355</t>
  </si>
  <si>
    <t>maxpaper91@gmail.com</t>
  </si>
  <si>
    <t>B11 - Tổ 57 - Yên Hòa - Cầu Giấy - Hà Nội</t>
  </si>
  <si>
    <t>Số 43 - Ngõ 477 - Nguyễn Trãi - Thanh Xuân - Hà Nội</t>
  </si>
  <si>
    <t>Đào Hoàng Long</t>
  </si>
  <si>
    <t>0963638499</t>
  </si>
  <si>
    <t>TEC</t>
  </si>
  <si>
    <t>Trần Thị Kiều</t>
  </si>
  <si>
    <t>NTAE16W</t>
  </si>
  <si>
    <t>Điện Biên</t>
  </si>
  <si>
    <t>040374077</t>
  </si>
  <si>
    <t>trangttk@topica.edu.vn</t>
  </si>
  <si>
    <t>0437334376</t>
  </si>
  <si>
    <t>0949954096</t>
  </si>
  <si>
    <t>kieutrangtran.298@gmail.com</t>
  </si>
  <si>
    <t>Số 14/24 - Phường Mường Thanh - TP Điện Biên Phủ</t>
  </si>
  <si>
    <t>Số 6 - 88/45 Ngọc Hà - Ba Đình - Hà Nội</t>
  </si>
  <si>
    <t>Phạm Thị Ngọc</t>
  </si>
  <si>
    <t>0945488896</t>
  </si>
  <si>
    <t>145247148</t>
  </si>
  <si>
    <t>ĐH Sư phạm Kỹ thuật Hưng Yên</t>
  </si>
  <si>
    <t>Tự động hóa công nghiệp</t>
  </si>
  <si>
    <t>trangntp@topica.edu.vn</t>
  </si>
  <si>
    <t>0973115887</t>
  </si>
  <si>
    <t>Vĩnh Quỳnh, Thanh Trì, Hà Nội</t>
  </si>
  <si>
    <t>Đào Văn Khoa</t>
  </si>
  <si>
    <t>0935302888</t>
  </si>
  <si>
    <t>012602757</t>
  </si>
  <si>
    <t>thuytm@topica.edu.vn</t>
  </si>
  <si>
    <t>0904328382</t>
  </si>
  <si>
    <t>Số 92B Ngọc Hà, Ba Đình, Hà Nội</t>
  </si>
  <si>
    <t>Nguyễn Thị Bích Hảo</t>
  </si>
  <si>
    <t>0912225191</t>
  </si>
  <si>
    <t>Vũ Thùy</t>
  </si>
  <si>
    <t>122029577</t>
  </si>
  <si>
    <t>HV Ngoại giao</t>
  </si>
  <si>
    <t>linhvt2@topica.edu.vn</t>
  </si>
  <si>
    <t>0948443391</t>
  </si>
  <si>
    <t>linhvt.1404@gmail.com</t>
  </si>
  <si>
    <t>Số 158 Hoàng Hoa Thám, Đa Mai, TP Bắc Giang, Bắc Giang</t>
  </si>
  <si>
    <t>Số 8/22 ngõ 159 Pháo Đài Láng, Đống Đa, Hà Nội</t>
  </si>
  <si>
    <t>Vũ Hồng Vân</t>
  </si>
  <si>
    <t>0912946126</t>
  </si>
  <si>
    <t>Ngô Thị Hà</t>
  </si>
  <si>
    <t>060932602</t>
  </si>
  <si>
    <t>ĐH Nông nghiệp Hà Nội</t>
  </si>
  <si>
    <t>Kinh tế nông nghiệp</t>
  </si>
  <si>
    <t>mynth@topica.edu.vn</t>
  </si>
  <si>
    <t>0977607068</t>
  </si>
  <si>
    <t>Nam Cường, Tp Yên Bái, Yên Bái</t>
  </si>
  <si>
    <t>Nhà 6/8 Đường E, Trâu Quỳ, Gia Lâm, Hà Nội</t>
  </si>
  <si>
    <t>Ngô Thị Thu Hà</t>
  </si>
  <si>
    <t>0985420171</t>
  </si>
  <si>
    <t>Đỗ Thị Trà</t>
  </si>
  <si>
    <t>145324036</t>
  </si>
  <si>
    <t>lydt2@topica.edu.vn</t>
  </si>
  <si>
    <t>0944881208</t>
  </si>
  <si>
    <t>lydotra@gmail.com</t>
  </si>
  <si>
    <t>Phòng 603 - TTTM Xa La - Hà Đông - Hà Nội</t>
  </si>
  <si>
    <t>Vũ Thị Liên Hoa</t>
  </si>
  <si>
    <t>0912874287</t>
  </si>
  <si>
    <t>TED</t>
  </si>
  <si>
    <t>Sếnh</t>
  </si>
  <si>
    <t>KTA1220</t>
  </si>
  <si>
    <t>151853303</t>
  </si>
  <si>
    <t>CA Thái Bình</t>
  </si>
  <si>
    <t>senhtt@topica.edu.vn</t>
  </si>
  <si>
    <t>01282282101</t>
  </si>
  <si>
    <t>Vũ Tiến, Vũ Thư, Thái Bình</t>
  </si>
  <si>
    <t>Số 140, đường Chiến Thắng, Văn Quán, Hà Đông, Hà Nội</t>
  </si>
  <si>
    <t>Trần Xuân Tuýnh</t>
  </si>
  <si>
    <t>Lê Thị Tình</t>
  </si>
  <si>
    <t>164106655</t>
  </si>
  <si>
    <t>tuyetltt@topica.edu.vn</t>
  </si>
  <si>
    <t>0914338987</t>
  </si>
  <si>
    <t>Thôn Tuân Cáo, Xã Ninh Thắng, huyện Hoa Lư, Ninh Bình</t>
  </si>
  <si>
    <t>Số 1N12 ngõ 445 Lạc Long Quân, Tây Hồ, Hà Nội</t>
  </si>
  <si>
    <t>Phạm Hùng Cường</t>
  </si>
  <si>
    <t>0944828516</t>
  </si>
  <si>
    <t>Lê Hồng Ngọc</t>
  </si>
  <si>
    <t>017032172</t>
  </si>
  <si>
    <t>hà Nội</t>
  </si>
  <si>
    <t>hanlhn@topica.edu.vn</t>
  </si>
  <si>
    <t>01689971992</t>
  </si>
  <si>
    <t>hanhlhn.tec@gmail.com</t>
  </si>
  <si>
    <t>Phố Mới, Tô Hiệu, Thường Tính, Hà Nội</t>
  </si>
  <si>
    <t>Số 18, ngõ 70, Trường Định, Hà Nội</t>
  </si>
  <si>
    <t>Thái Quỳnh Linh</t>
  </si>
  <si>
    <t>012627767</t>
  </si>
  <si>
    <t>HV Tài chính</t>
  </si>
  <si>
    <t>Tiếng Anh Tài chính</t>
  </si>
  <si>
    <t>ngoctql@topica.edu.vn</t>
  </si>
  <si>
    <t>0438241747</t>
  </si>
  <si>
    <t>0909091941</t>
  </si>
  <si>
    <t>tqlngoc@gmail.com</t>
  </si>
  <si>
    <t>92 Hai Bà Trưng, Hoàn Kiếm, Hà Nội</t>
  </si>
  <si>
    <t>8 Phan Bội Châu, Hoàn Kiếm, Hà Nội</t>
  </si>
  <si>
    <t>Nguyễn Tú An</t>
  </si>
  <si>
    <t>0988356111</t>
  </si>
  <si>
    <t>Cao Thị Thu</t>
  </si>
  <si>
    <t>TKPE14</t>
  </si>
  <si>
    <t>012676021</t>
  </si>
  <si>
    <t>FPT Aptech</t>
  </si>
  <si>
    <t>Lập trình</t>
  </si>
  <si>
    <t>phuongctt@topica.edu.vn</t>
  </si>
  <si>
    <t>0906290188</t>
  </si>
  <si>
    <t>33A ngách 38/28 Phúc Xá, Ba Đình, Hà Nội</t>
  </si>
  <si>
    <t>G1APEB</t>
  </si>
  <si>
    <t>162990919</t>
  </si>
  <si>
    <t>tunt@topica.edu.vn</t>
  </si>
  <si>
    <t>01693506580</t>
  </si>
  <si>
    <t>nguyenthetu09@gmail.com</t>
  </si>
  <si>
    <t>266 Nguyễn Bính, Nam Định, Nam Định</t>
  </si>
  <si>
    <t>Nguyễn Thế Tiến</t>
  </si>
  <si>
    <t>A14C56</t>
  </si>
  <si>
    <t>001087000492</t>
  </si>
  <si>
    <t>ĐH Quốc gia TP HCM</t>
  </si>
  <si>
    <t>vietnh2@topica.edu.vn</t>
  </si>
  <si>
    <t>0912321080</t>
  </si>
  <si>
    <t>53 Tuệ Tĩnh, Bùi Thị Xuân, Hai Bà Trưng, Hà Nội</t>
  </si>
  <si>
    <t>2E tổ 20 ngõ Hòa Bình 7, Hai Bà Trưng, Hà Nội</t>
  </si>
  <si>
    <t>012662267</t>
  </si>
  <si>
    <t>CĐ Công nghiệp Hưng Yên</t>
  </si>
  <si>
    <t>phuongttm@topica.edu.vn</t>
  </si>
  <si>
    <t>0438771907</t>
  </si>
  <si>
    <t>0983187387</t>
  </si>
  <si>
    <t>Số 46, khu B, Tập thể Đoàn 871, Tổ 10, Việt Hưng, Long Biên, Hà Nội</t>
  </si>
  <si>
    <t>Nhà C3, Dãy C, Ngõ 448, Hà Huy Tập, Yên Viên, Gia Lâm, Hà Nội</t>
  </si>
  <si>
    <t>Nguyễn Thị Quý</t>
  </si>
  <si>
    <t>01697702524</t>
  </si>
  <si>
    <t>P2LA14</t>
  </si>
  <si>
    <t>012378756</t>
  </si>
  <si>
    <t>Học viên Báo chí và Tuyên truyền</t>
  </si>
  <si>
    <t>huongnt5@topica.edu.vn</t>
  </si>
  <si>
    <t>0438595047</t>
  </si>
  <si>
    <t>0973026486</t>
  </si>
  <si>
    <t>huongnt6486@gmail.com</t>
  </si>
  <si>
    <t>Phòng 202 - B6 - Vĩnh Hồ - Đống Đa - Hà Nội</t>
  </si>
  <si>
    <t>Nhữ Thị Vân</t>
  </si>
  <si>
    <t>Nguyễn Thị Vân</t>
  </si>
  <si>
    <t>AVCTV14A</t>
  </si>
  <si>
    <t>anhntv2@topica.edu.vn</t>
  </si>
  <si>
    <t>TES</t>
  </si>
  <si>
    <t>Trần Quang</t>
  </si>
  <si>
    <t>Cương</t>
  </si>
  <si>
    <t>T2ATW14</t>
  </si>
  <si>
    <t>cuongtq@topica.edu.vn</t>
  </si>
  <si>
    <t>Nguyễn Minh</t>
  </si>
  <si>
    <t>Vũ</t>
  </si>
  <si>
    <t>NB24B14</t>
  </si>
  <si>
    <t>vunm@topica.edu.vn</t>
  </si>
  <si>
    <t>Bình</t>
  </si>
  <si>
    <t>NB24A14</t>
  </si>
  <si>
    <t>binhpt@topica.edu.vn</t>
  </si>
  <si>
    <t>Vũ Bích</t>
  </si>
  <si>
    <t>AVCTC14C</t>
  </si>
  <si>
    <t>ngocvb@topica.edu.vn</t>
  </si>
  <si>
    <t>trangnt3@topica.edu.vn</t>
  </si>
  <si>
    <t>Trần Việt</t>
  </si>
  <si>
    <t>AVCTV14B</t>
  </si>
  <si>
    <t>anhtv@topica.edu.vn</t>
  </si>
  <si>
    <t>P1215TW</t>
  </si>
  <si>
    <t>phuongnm@topica.edu.vn</t>
  </si>
  <si>
    <t>Phạm Việt Phương</t>
  </si>
  <si>
    <t>P1216TW</t>
  </si>
  <si>
    <t>linhpvp@topica.edu.vn</t>
  </si>
  <si>
    <t>013010385</t>
  </si>
  <si>
    <t>ĐH Công nghiệ TP HCM</t>
  </si>
  <si>
    <t>tinhnt2@topica.edu.vn</t>
  </si>
  <si>
    <t>0979 520 800</t>
  </si>
  <si>
    <t>nguyen.tinh990@gmail.com</t>
  </si>
  <si>
    <t>Đình Tràm, Dục Tú, Đông Anh, Hà Nội</t>
  </si>
  <si>
    <t>Nguyễn Văn Hải</t>
  </si>
  <si>
    <t>0168 208 7068</t>
  </si>
  <si>
    <t>Đàm Thị Thúy</t>
  </si>
  <si>
    <t>008186000006</t>
  </si>
  <si>
    <t>CĐ Phát thanh truyền hình</t>
  </si>
  <si>
    <t>Báo chí phát thanh - truyền hình</t>
  </si>
  <si>
    <t>phuongdtt@topica.edu.vn</t>
  </si>
  <si>
    <t>04 36430649</t>
  </si>
  <si>
    <t>0988 290 786</t>
  </si>
  <si>
    <t>Xóm 13, tổ 32, Phường Lĩnh Nam, Hoàng Mai, Hà Nội</t>
  </si>
  <si>
    <t>Dương Thị</t>
  </si>
  <si>
    <t>186707732</t>
  </si>
  <si>
    <t>CA Nghệ An</t>
  </si>
  <si>
    <t>yendt@topica.edu.vn</t>
  </si>
  <si>
    <t>0962 245 721</t>
  </si>
  <si>
    <t>duongyen377@gmail.com</t>
  </si>
  <si>
    <t>Hồng Long - Nam Đàn - Nghệ An</t>
  </si>
  <si>
    <t>P2610 Chung cư Hemisco - Phúc La - Hà Đông - Hà Nội</t>
  </si>
  <si>
    <t>Trương Thanh</t>
  </si>
  <si>
    <t>thutt@topica.edu.vn</t>
  </si>
  <si>
    <t>Trần Thị Vân</t>
  </si>
  <si>
    <t>TW14A12</t>
  </si>
  <si>
    <t>anhttv@topica.edu.vn</t>
  </si>
  <si>
    <t>PESS</t>
  </si>
  <si>
    <t>Phạm Thị Minh</t>
  </si>
  <si>
    <t>TW14A13</t>
  </si>
  <si>
    <t>nguyetptm@topica.edu.vn</t>
  </si>
  <si>
    <t>CMPE14</t>
  </si>
  <si>
    <t>anhpl@topica.edu.vn</t>
  </si>
  <si>
    <t>Đào Thị Thu</t>
  </si>
  <si>
    <t>CPE14A3</t>
  </si>
  <si>
    <t>thuydtt2@topica.edu.vn</t>
  </si>
  <si>
    <t>Thái Toàn</t>
  </si>
  <si>
    <t>Đạt</t>
  </si>
  <si>
    <t>P24A1</t>
  </si>
  <si>
    <t>dattt@topica.edu.vn</t>
  </si>
  <si>
    <t>TW14A15</t>
  </si>
  <si>
    <t>anhntl3@topica.edu.vn</t>
  </si>
  <si>
    <t>Chu Ngọc</t>
  </si>
  <si>
    <t>G14A12</t>
  </si>
  <si>
    <t>maicn@topica.edu.vn</t>
  </si>
  <si>
    <t>G14A13</t>
  </si>
  <si>
    <t>Vũ Tuấn</t>
  </si>
  <si>
    <t>TW14F</t>
  </si>
  <si>
    <t>012369929</t>
  </si>
  <si>
    <t>0936573333</t>
  </si>
  <si>
    <t>vutuananh137@gmail.com</t>
  </si>
  <si>
    <t>Số 1 Ngõ 17 Quốc Tử Giám, Văn Chương, Đống Đa, Hà Nội</t>
  </si>
  <si>
    <t>Phạm Phương Thảo</t>
  </si>
  <si>
    <t>0904901268</t>
  </si>
  <si>
    <t>Dương Hồng</t>
  </si>
  <si>
    <t>145329212</t>
  </si>
  <si>
    <t>0916066988</t>
  </si>
  <si>
    <t>Minh Hoàng, Phù Cừ, Hưng Yên</t>
  </si>
  <si>
    <t>Hạ Đình, Thanh Xuân, Hà Nội</t>
  </si>
  <si>
    <t>Trần Thị Loan</t>
  </si>
  <si>
    <t>Hoàng Thị Ngân</t>
  </si>
  <si>
    <t>ĐTS114</t>
  </si>
  <si>
    <t>Lần 1</t>
  </si>
  <si>
    <t>Lần 2</t>
  </si>
  <si>
    <t>STT</t>
  </si>
  <si>
    <t>MSNV</t>
  </si>
  <si>
    <t>Họ và tên đệm</t>
  </si>
  <si>
    <t>Ngày sinh</t>
  </si>
  <si>
    <t>Ngày cấp CMND</t>
  </si>
  <si>
    <t>Địa chỉ thường trú (theo hộ khẩu hoặc CMND)</t>
  </si>
  <si>
    <t>Địa chỉ hiện tại</t>
  </si>
  <si>
    <t>Điện thoại</t>
  </si>
  <si>
    <t>Chức vụ</t>
  </si>
  <si>
    <t>Giới 
tính</t>
  </si>
  <si>
    <t>Ngày vào làm</t>
  </si>
  <si>
    <t>Loại HĐ</t>
  </si>
  <si>
    <t>Số HĐ</t>
  </si>
  <si>
    <t>Ngày BĐ</t>
  </si>
  <si>
    <t>Ngày KT</t>
  </si>
  <si>
    <t>Tháng KT</t>
  </si>
  <si>
    <t>Năm KT</t>
  </si>
  <si>
    <t>Ghi chú</t>
  </si>
  <si>
    <t>23/01/1973</t>
  </si>
  <si>
    <t>024 657 253</t>
  </si>
  <si>
    <t>31/01/2007</t>
  </si>
  <si>
    <t>7/61/6/25 Đường Thành Thái, P 14. Q.10, TP.HCM</t>
  </si>
  <si>
    <t>Giám đốc SN</t>
  </si>
  <si>
    <t>16/12/2009</t>
  </si>
  <si>
    <t>Không XĐTH</t>
  </si>
  <si>
    <t>TVTS</t>
  </si>
  <si>
    <t>01/06/2009</t>
  </si>
  <si>
    <t>1987/2013</t>
  </si>
  <si>
    <t>01/07/2010</t>
  </si>
  <si>
    <t>30/06/2013</t>
  </si>
  <si>
    <t>01/07/2013</t>
  </si>
  <si>
    <t>Sửa lại HĐ</t>
  </si>
  <si>
    <t>29/07/1986</t>
  </si>
  <si>
    <t>21/10/2011</t>
  </si>
  <si>
    <t>0906757417</t>
  </si>
  <si>
    <t>Phó phòng Contact</t>
  </si>
  <si>
    <t>2001/2013</t>
  </si>
  <si>
    <t>16/04/1985</t>
  </si>
  <si>
    <t>28/02/2003</t>
  </si>
  <si>
    <t>0908614301</t>
  </si>
  <si>
    <t>Trưởng phòng TVTS</t>
  </si>
  <si>
    <t>29/08/2009</t>
  </si>
  <si>
    <t>3 năm</t>
  </si>
  <si>
    <t>01/10/2010</t>
  </si>
  <si>
    <t>30/09/2013</t>
  </si>
  <si>
    <t>Làm HĐ</t>
  </si>
  <si>
    <t>26/05/1987</t>
  </si>
  <si>
    <t>Biên Hòa</t>
  </si>
  <si>
    <t>22/04/2005</t>
  </si>
  <si>
    <t>CA.Lâm Đồng</t>
  </si>
  <si>
    <t>41 Nam Kỳ Khởi Nghĩa, P.1, Đà Lạt, Lâm Đồng</t>
  </si>
  <si>
    <t>0948 446 320</t>
  </si>
  <si>
    <t>CG Kế toán</t>
  </si>
  <si>
    <t>01/09/2009</t>
  </si>
  <si>
    <t>CG QLHT</t>
  </si>
  <si>
    <t>07/09/2009</t>
  </si>
  <si>
    <t>07/10/2012</t>
  </si>
  <si>
    <t>17/11/1984</t>
  </si>
  <si>
    <t>14/01/2000</t>
  </si>
  <si>
    <t>CG Giáo vụ</t>
  </si>
  <si>
    <t>07/10/2010</t>
  </si>
  <si>
    <t>06/10/2013</t>
  </si>
  <si>
    <t>3062/2013</t>
  </si>
  <si>
    <t>01/10/2013</t>
  </si>
  <si>
    <t>23/08/1984</t>
  </si>
  <si>
    <t>Bà Rịa</t>
  </si>
  <si>
    <t>3/8/1999</t>
  </si>
  <si>
    <t>BR-VT</t>
  </si>
  <si>
    <t>2682 Khu phố 3, P. Phước Nguyên, Thị xã Bà Rịa, BR-VT</t>
  </si>
  <si>
    <t>0937692406</t>
  </si>
  <si>
    <t>08/10/2009</t>
  </si>
  <si>
    <t>04/12/2012</t>
  </si>
  <si>
    <t>04/12/2015</t>
  </si>
  <si>
    <t>15/04/1984</t>
  </si>
  <si>
    <t>19/2/2008</t>
  </si>
  <si>
    <t>Giám đốc TSA</t>
  </si>
  <si>
    <t>16/10/2009</t>
  </si>
  <si>
    <t>00/01/1900</t>
  </si>
  <si>
    <t>30/12/1902</t>
  </si>
  <si>
    <t>7/5/1986</t>
  </si>
  <si>
    <t>27/01/2007</t>
  </si>
  <si>
    <t>CA.Đăk Nông</t>
  </si>
  <si>
    <t>0976 124 130</t>
  </si>
  <si>
    <t>Kế Toán Trưởng</t>
  </si>
  <si>
    <t>02/12/2009</t>
  </si>
  <si>
    <t>01/12/2011</t>
  </si>
  <si>
    <t>30/11/2014</t>
  </si>
  <si>
    <t>21/09/1987</t>
  </si>
  <si>
    <t>16/04/2004</t>
  </si>
  <si>
    <t>080 Hiền Đức, Phước Thái, Long Thành, Đồng Nai</t>
  </si>
  <si>
    <t>0907749643</t>
  </si>
  <si>
    <t>Phó phòng TVTS</t>
  </si>
  <si>
    <t>06/09/2010</t>
  </si>
  <si>
    <t>01/01/2011</t>
  </si>
  <si>
    <t>31/12/2013</t>
  </si>
  <si>
    <t>12/4/2013</t>
  </si>
  <si>
    <t>18/05/2013</t>
  </si>
  <si>
    <t>CA.TpHCM</t>
  </si>
  <si>
    <t>CG Vận hành</t>
  </si>
  <si>
    <t>20/09/2010</t>
  </si>
  <si>
    <t>01/11/2011</t>
  </si>
  <si>
    <t>31/10/2014</t>
  </si>
  <si>
    <t>30/03/1988</t>
  </si>
  <si>
    <t>26/08/2008</t>
  </si>
  <si>
    <t>0933 110 500</t>
  </si>
  <si>
    <t>25/10/2010</t>
  </si>
  <si>
    <t>24/12/2011</t>
  </si>
  <si>
    <t>23/12/2014</t>
  </si>
  <si>
    <t>'08/08/1980</t>
  </si>
  <si>
    <t>14/06/2012</t>
  </si>
  <si>
    <t>18A/309 CC Huỳnh Văn Chính 1, P. Phú Trung, Q. Tân Phú, TP.HCM</t>
  </si>
  <si>
    <t>0933832868</t>
  </si>
  <si>
    <t>Phó phòng QLHT</t>
  </si>
  <si>
    <t>01/4/2011</t>
  </si>
  <si>
    <t>01/03/2012</t>
  </si>
  <si>
    <t>01/03/2015</t>
  </si>
  <si>
    <t>28/10/1973</t>
  </si>
  <si>
    <t>6/3/2007</t>
  </si>
  <si>
    <t>8.01 D, Chung cư Ruby Garden, 2A Nguyễn Sỹ Sách, P.15, Q.Tân Bình, TP.HCM</t>
  </si>
  <si>
    <t>0935798855</t>
  </si>
  <si>
    <t>Trưởng phòng Điều phối và vận hành trung tâm</t>
  </si>
  <si>
    <t>04/01/2011</t>
  </si>
  <si>
    <t>10/2/1986</t>
  </si>
  <si>
    <t>7/6/2000</t>
  </si>
  <si>
    <t>Contact</t>
  </si>
  <si>
    <t>17/01/2011</t>
  </si>
  <si>
    <t>16/03/2012</t>
  </si>
  <si>
    <t>16/03/2015</t>
  </si>
  <si>
    <t>27/09/1989</t>
  </si>
  <si>
    <t>Huế</t>
  </si>
  <si>
    <t>27/11/2004</t>
  </si>
  <si>
    <t>Nam Dong - Cư Jut - Đăk Nông</t>
  </si>
  <si>
    <t>489A/23A/112 Huỳnh Văn Bánh, Quận Phú Nhuận</t>
  </si>
  <si>
    <t>0976.562.378</t>
  </si>
  <si>
    <t>01/04/2011</t>
  </si>
  <si>
    <t>01/06/2012</t>
  </si>
  <si>
    <t>01/06/2015</t>
  </si>
  <si>
    <t>20/10/1987</t>
  </si>
  <si>
    <t>11/4/2002</t>
  </si>
  <si>
    <t>0902 681 264</t>
  </si>
  <si>
    <t>18/07/2011</t>
  </si>
  <si>
    <t>388/2013</t>
  </si>
  <si>
    <t>17/08/2012</t>
  </si>
  <si>
    <t>17/08/2015</t>
  </si>
  <si>
    <t>20/03/1980</t>
  </si>
  <si>
    <t>27/03/1995</t>
  </si>
  <si>
    <t>0977 360 753</t>
  </si>
  <si>
    <t>Trưởng phòng</t>
  </si>
  <si>
    <t>01/08/2011</t>
  </si>
  <si>
    <t>2341/2012</t>
  </si>
  <si>
    <t>01/10/2012</t>
  </si>
  <si>
    <t>01/10/2015</t>
  </si>
  <si>
    <t>10/10/1981</t>
  </si>
  <si>
    <t>30/03/2011</t>
  </si>
  <si>
    <t>0987101081</t>
  </si>
  <si>
    <t>16/08/2011</t>
  </si>
  <si>
    <t>2344/2012</t>
  </si>
  <si>
    <t>16/09/2012</t>
  </si>
  <si>
    <t>16/09/2015</t>
  </si>
  <si>
    <t>4/6/1986</t>
  </si>
  <si>
    <t>BRVT</t>
  </si>
  <si>
    <t>28/5/2003</t>
  </si>
  <si>
    <t>0978499843</t>
  </si>
  <si>
    <t>Vận hành đạo tạo</t>
  </si>
  <si>
    <t>12/09/2011</t>
  </si>
  <si>
    <t>2336/2012</t>
  </si>
  <si>
    <t>12/10/2012</t>
  </si>
  <si>
    <t>12/10/2015</t>
  </si>
  <si>
    <t>24/09/1974</t>
  </si>
  <si>
    <t>30/04/2000</t>
  </si>
  <si>
    <t>094 826 2619</t>
  </si>
  <si>
    <t>Hậu cần TVTS</t>
  </si>
  <si>
    <t>24/10/2011</t>
  </si>
  <si>
    <t>2334/2012</t>
  </si>
  <si>
    <t>23/12/2012</t>
  </si>
  <si>
    <t>23/12/2015</t>
  </si>
  <si>
    <t>25/08/1989</t>
  </si>
  <si>
    <t>7/7/2010</t>
  </si>
  <si>
    <t>CA Đăk Lăk</t>
  </si>
  <si>
    <t>Thị trấn Eakarnop, Eakar, Đăk Lăk</t>
  </si>
  <si>
    <t>01688738262</t>
  </si>
  <si>
    <t>QLHT</t>
  </si>
  <si>
    <t>12/09/2013</t>
  </si>
  <si>
    <t>1 năm</t>
  </si>
  <si>
    <t>2526/2013</t>
  </si>
  <si>
    <t>13/09/2013</t>
  </si>
  <si>
    <t>12/09/2014</t>
  </si>
  <si>
    <t>'05/05/1989</t>
  </si>
  <si>
    <t>26/09/2006</t>
  </si>
  <si>
    <t>390/2013</t>
  </si>
  <si>
    <t>01/01/2013</t>
  </si>
  <si>
    <t>01/01/2016</t>
  </si>
  <si>
    <t>'08/09/1985</t>
  </si>
  <si>
    <t>'16/04/2008</t>
  </si>
  <si>
    <t>21/11/2011</t>
  </si>
  <si>
    <t>396/2013</t>
  </si>
  <si>
    <t>20/01/2013</t>
  </si>
  <si>
    <t>20/01/2016</t>
  </si>
  <si>
    <t>11/11/1988</t>
  </si>
  <si>
    <t>5/3/2003</t>
  </si>
  <si>
    <t>0933542908</t>
  </si>
  <si>
    <t>28/11/2011</t>
  </si>
  <si>
    <t>605/2013</t>
  </si>
  <si>
    <t>01/02/2013</t>
  </si>
  <si>
    <t>01/02/2014</t>
  </si>
  <si>
    <t>24/10/1981</t>
  </si>
  <si>
    <t>TpHCM</t>
  </si>
  <si>
    <t>3/8/2011</t>
  </si>
  <si>
    <t>CA TP.HCM</t>
  </si>
  <si>
    <t>1014/1 Cách Mạng Tháng 8, P.5, Q.Tân Bình, TP.HCM</t>
  </si>
  <si>
    <t>0918599569</t>
  </si>
  <si>
    <t>Phó GĐ TTV</t>
  </si>
  <si>
    <t>15/12/2011</t>
  </si>
  <si>
    <t>526/2013</t>
  </si>
  <si>
    <t>01/02/2016</t>
  </si>
  <si>
    <t>'04/09/1988</t>
  </si>
  <si>
    <t>12/8/2002</t>
  </si>
  <si>
    <t>0989470935</t>
  </si>
  <si>
    <t>Vận hành</t>
  </si>
  <si>
    <t>14/02/2012</t>
  </si>
  <si>
    <t>2118/2013</t>
  </si>
  <si>
    <t>01/06/2013</t>
  </si>
  <si>
    <t>31/05/2014</t>
  </si>
  <si>
    <t>29/07/1987</t>
  </si>
  <si>
    <t>024050021</t>
  </si>
  <si>
    <t>17/07/2002</t>
  </si>
  <si>
    <t>618/32/5A, Đường Âu Cơ, P.10, Q.Tân Bình, TP.HCM</t>
  </si>
  <si>
    <t>0973180607</t>
  </si>
  <si>
    <t>Phó phòng</t>
  </si>
  <si>
    <t>776/2013</t>
  </si>
  <si>
    <t>14/04/2013</t>
  </si>
  <si>
    <t>14/04/2014</t>
  </si>
  <si>
    <t>20/4/1987</t>
  </si>
  <si>
    <t>25/8/2009</t>
  </si>
  <si>
    <t>0937353438</t>
  </si>
  <si>
    <t>782/2013</t>
  </si>
  <si>
    <t>781/2013</t>
  </si>
  <si>
    <t>27/11/2985</t>
  </si>
  <si>
    <t>4/5/2010</t>
  </si>
  <si>
    <t>CA Bình Thuận</t>
  </si>
  <si>
    <t>0937878987</t>
  </si>
  <si>
    <t>Hệ thống</t>
  </si>
  <si>
    <t>20/02/2013</t>
  </si>
  <si>
    <t>785/2013</t>
  </si>
  <si>
    <t>20/04/2013</t>
  </si>
  <si>
    <t>20/04/2014</t>
  </si>
  <si>
    <t>'01/01/1986</t>
  </si>
  <si>
    <t>''211854600</t>
  </si>
  <si>
    <t>'08/08/2001</t>
  </si>
  <si>
    <t>93B Ấp 2A Xã Nhơn Thạnh, TP Bến Tre, Tỉnh Bến Tre</t>
  </si>
  <si>
    <t>10 Đường 38, P Tân Tạo, Q.Bình Tân, TPHCM</t>
  </si>
  <si>
    <t>03/01/2012</t>
  </si>
  <si>
    <t>791/2013</t>
  </si>
  <si>
    <t>03/03/2012</t>
  </si>
  <si>
    <t>03/03/2013</t>
  </si>
  <si>
    <t>20/04/1985</t>
  </si>
  <si>
    <t>1/4/2008</t>
  </si>
  <si>
    <t>Ấp 1, Phú Lý, Vĩnh Cửu, Đồng Nai</t>
  </si>
  <si>
    <t>0909 699 426</t>
  </si>
  <si>
    <t>19/03/2012</t>
  </si>
  <si>
    <t>1989/2013</t>
  </si>
  <si>
    <t>18/05/2012</t>
  </si>
  <si>
    <t>1989/2013</t>
  </si>
  <si>
    <t>19/05/2013</t>
  </si>
  <si>
    <t>18/05/2016</t>
  </si>
  <si>
    <t>22/09/1990</t>
  </si>
  <si>
    <t>25/07/2009</t>
  </si>
  <si>
    <t>0908989637</t>
  </si>
  <si>
    <t>16/04/2012</t>
  </si>
  <si>
    <t>2331/2012</t>
  </si>
  <si>
    <t>15/06/2012</t>
  </si>
  <si>
    <t>15/06/2013</t>
  </si>
  <si>
    <t>'20/9/1984</t>
  </si>
  <si>
    <t>4/3/1999</t>
  </si>
  <si>
    <t>74 Hồ Hảo Hớn, P.Cô Giang, Q.1, TP.HCM</t>
  </si>
  <si>
    <t>0908636562</t>
  </si>
  <si>
    <t>02/05/2012</t>
  </si>
  <si>
    <t>2004/2013</t>
  </si>
  <si>
    <t>01/07/2012</t>
  </si>
  <si>
    <t>19/06/1989</t>
  </si>
  <si>
    <t>10/1/2007</t>
  </si>
  <si>
    <t>Phú Thuận 2, Đồng Phú, Long Hồ, Vĩnh Long</t>
  </si>
  <si>
    <t>0916087538</t>
  </si>
  <si>
    <t>05/04/2012</t>
  </si>
  <si>
    <t>30/06/2012</t>
  </si>
  <si>
    <t>14/7/1985</t>
  </si>
  <si>
    <t>30/11/2000</t>
  </si>
  <si>
    <t>89/2A Đông kim, Gia Kiệm, Thống Nhất, Đồng Nai</t>
  </si>
  <si>
    <t>0902820931</t>
  </si>
  <si>
    <t>23/05/2012</t>
  </si>
  <si>
    <t>22/07/2012</t>
  </si>
  <si>
    <t>22/07/2013</t>
  </si>
  <si>
    <t>3068/2013</t>
  </si>
  <si>
    <t>01/08/2013</t>
  </si>
  <si>
    <t>31/07/2016</t>
  </si>
  <si>
    <t>30/11/1988</t>
  </si>
  <si>
    <t>10/6/2004</t>
  </si>
  <si>
    <t>097 441 3320</t>
  </si>
  <si>
    <t>01/11/2012</t>
  </si>
  <si>
    <t>406/2013</t>
  </si>
  <si>
    <t>01/01/2014</t>
  </si>
  <si>
    <t>20/05/1990</t>
  </si>
  <si>
    <t>1/7/2004</t>
  </si>
  <si>
    <t>0946.056.277</t>
  </si>
  <si>
    <t>405/2013</t>
  </si>
  <si>
    <t>7/6/1984</t>
  </si>
  <si>
    <t>18/07/2007</t>
  </si>
  <si>
    <t>66/4 Đường 26/3, P. Bình Hưng Hòa, Q.Bình Tân, TP.HCM</t>
  </si>
  <si>
    <t>0938.777.273</t>
  </si>
  <si>
    <t>403/2013</t>
  </si>
  <si>
    <t>3/3/1990</t>
  </si>
  <si>
    <t>Trung Quốc</t>
  </si>
  <si>
    <t>10/2/2009</t>
  </si>
  <si>
    <t>723/8 Hồng Bàng, P.6, Q.6, TP.HCM</t>
  </si>
  <si>
    <t>723/8 Hồng Bàng P6 Q6 TP.HCM</t>
  </si>
  <si>
    <t>01269 525 552</t>
  </si>
  <si>
    <t>408/2013</t>
  </si>
  <si>
    <t>14/6/1988</t>
  </si>
  <si>
    <t>22/1/2009</t>
  </si>
  <si>
    <t>Thuận An, Tam Hải, Núi Thành, Quảng Nam</t>
  </si>
  <si>
    <t>407 lo C2 Chung cư phường 6, Quận 4, Tp HCM</t>
  </si>
  <si>
    <t>13/11/2012</t>
  </si>
  <si>
    <t>404/2013</t>
  </si>
  <si>
    <t>12/01/2013</t>
  </si>
  <si>
    <t>12/01/2014</t>
  </si>
  <si>
    <t>10/10/1989</t>
  </si>
  <si>
    <t>20/07/2006</t>
  </si>
  <si>
    <t>P.Khánh Xuân, TP Buôn Ma Thuột, Đăk Lăk</t>
  </si>
  <si>
    <t>12/11/2012</t>
  </si>
  <si>
    <t>397/2013</t>
  </si>
  <si>
    <t>11/01/2013</t>
  </si>
  <si>
    <t>11/01/2014</t>
  </si>
  <si>
    <t>13/03/1989</t>
  </si>
  <si>
    <t>TPHCM</t>
  </si>
  <si>
    <t>27/04/2004</t>
  </si>
  <si>
    <t>91/4K, Khu Phố 1, P.Hiệp Thành, Q12, TP.HCM</t>
  </si>
  <si>
    <t>0937 051379</t>
  </si>
  <si>
    <t>11/09/2012</t>
  </si>
  <si>
    <t>409/2013</t>
  </si>
  <si>
    <t>08/01/2013</t>
  </si>
  <si>
    <t>08/01/2014</t>
  </si>
  <si>
    <t>21/11/1979</t>
  </si>
  <si>
    <t>'03/11/2011</t>
  </si>
  <si>
    <t>0908.096.900</t>
  </si>
  <si>
    <t>22/11/2012</t>
  </si>
  <si>
    <t>391/2013</t>
  </si>
  <si>
    <t>23/01/2013</t>
  </si>
  <si>
    <t>23/01/2014</t>
  </si>
  <si>
    <t>18/01/1990</t>
  </si>
  <si>
    <t>Nam định</t>
  </si>
  <si>
    <t>17/4/2006</t>
  </si>
  <si>
    <t>344/459, CMT8, P.5, Q. Tân Bình, TP.HCM</t>
  </si>
  <si>
    <t>01214699519</t>
  </si>
  <si>
    <t>24/12/2012</t>
  </si>
  <si>
    <t>518/2013</t>
  </si>
  <si>
    <t>22/02/2013</t>
  </si>
  <si>
    <t>22/02/2014</t>
  </si>
  <si>
    <t>06/061991</t>
  </si>
  <si>
    <t>25/05/2006</t>
  </si>
  <si>
    <t>0987 856 658</t>
  </si>
  <si>
    <t>800/2013</t>
  </si>
  <si>
    <t>02/04/2013</t>
  </si>
  <si>
    <t>02/04/2014</t>
  </si>
  <si>
    <t>11/9/1990</t>
  </si>
  <si>
    <t>6/4/2005</t>
  </si>
  <si>
    <t>151/41 Nguyễn Trãi P.2, Q.5, TP.HCM</t>
  </si>
  <si>
    <t>0946.793839</t>
  </si>
  <si>
    <t>18/03/2013</t>
  </si>
  <si>
    <t>17/05/2013</t>
  </si>
  <si>
    <t>17/05/2014</t>
  </si>
  <si>
    <t>19/6/1991</t>
  </si>
  <si>
    <t>Campuchia</t>
  </si>
  <si>
    <t>2/6/2006</t>
  </si>
  <si>
    <t>Ô 1, Tổ 13, Ấp Hải Bình, Thị trấn Long Hải, Huyện Long Điền, Tỉnh BRVT</t>
  </si>
  <si>
    <t>01267875443</t>
  </si>
  <si>
    <t>20/02/1990</t>
  </si>
  <si>
    <t>23/02/2010</t>
  </si>
  <si>
    <t>0935 355 309</t>
  </si>
  <si>
    <t>25/03/2013</t>
  </si>
  <si>
    <t>24/05/2013</t>
  </si>
  <si>
    <t>24/05/2014</t>
  </si>
  <si>
    <t>2/5/1989</t>
  </si>
  <si>
    <t>DakLak</t>
  </si>
  <si>
    <t>15/06/2006</t>
  </si>
  <si>
    <t>30 Nguyễn Biểu, P. Tân An, TP. Buôn Ma Thuột, Đăk Lăk</t>
  </si>
  <si>
    <t>55/341A Quang Trung, P12, Q. Gò Vấp. HCM</t>
  </si>
  <si>
    <t>0945.03.22.99</t>
  </si>
  <si>
    <t>Điều phối và VHCT</t>
  </si>
  <si>
    <t>01/05/2013</t>
  </si>
  <si>
    <t>30/06/2014</t>
  </si>
  <si>
    <t>16/10/1986</t>
  </si>
  <si>
    <t>27/10/2008</t>
  </si>
  <si>
    <t>58/10 Hồ Thị Kỷ, P.1, Q.10, TP.HCM</t>
  </si>
  <si>
    <t>06/05/2013</t>
  </si>
  <si>
    <t>2114/2013</t>
  </si>
  <si>
    <t>06/07/2013</t>
  </si>
  <si>
    <t>05/07/2014</t>
  </si>
  <si>
    <t>14/11/1987</t>
  </si>
  <si>
    <t>4/2/2004</t>
  </si>
  <si>
    <t>0968172537</t>
  </si>
  <si>
    <t>13/05/2013</t>
  </si>
  <si>
    <t>2112/2013</t>
  </si>
  <si>
    <t>13/07/2013</t>
  </si>
  <si>
    <t>12/07/2014</t>
  </si>
  <si>
    <t>12/12/1990</t>
  </si>
  <si>
    <t>1/3/2008</t>
  </si>
  <si>
    <t>CM</t>
  </si>
  <si>
    <t>13/09/1990</t>
  </si>
  <si>
    <t>19/03/2006</t>
  </si>
  <si>
    <t>2525/2013</t>
  </si>
  <si>
    <t>31/07/2014</t>
  </si>
  <si>
    <t>30/10/1988</t>
  </si>
  <si>
    <t>7/7/2005</t>
  </si>
  <si>
    <t>2116/2013</t>
  </si>
  <si>
    <t>24/07/2013</t>
  </si>
  <si>
    <t>23/07/2014</t>
  </si>
  <si>
    <t>22/11/1990</t>
  </si>
  <si>
    <t>22/09/2004</t>
  </si>
  <si>
    <t>644/4/38 đường 3/2, phường 12, quận 10, TPHCM</t>
  </si>
  <si>
    <t>17/06/2013</t>
  </si>
  <si>
    <t>2524/2013</t>
  </si>
  <si>
    <t>17/08/2013</t>
  </si>
  <si>
    <t>16/08/2014</t>
  </si>
  <si>
    <t>13/11/1989</t>
  </si>
  <si>
    <t>1/11/2005</t>
  </si>
  <si>
    <t>0937459210</t>
  </si>
  <si>
    <t>2522/2013</t>
  </si>
  <si>
    <t>24/01/1990</t>
  </si>
  <si>
    <t>27/05/2007</t>
  </si>
  <si>
    <t>2521/2013</t>
  </si>
  <si>
    <t>22/02/1990</t>
  </si>
  <si>
    <t>ĐăkLăk</t>
  </si>
  <si>
    <t>14/06/2006</t>
  </si>
  <si>
    <t>'''093842122</t>
  </si>
  <si>
    <t>20/06/2013</t>
  </si>
  <si>
    <t>2517/2013</t>
  </si>
  <si>
    <t>20/07/2013</t>
  </si>
  <si>
    <t>19/07/2014</t>
  </si>
  <si>
    <t>16/08/1987</t>
  </si>
  <si>
    <t>23/12/2004</t>
  </si>
  <si>
    <t>''0938777429</t>
  </si>
  <si>
    <t>18/06/2013</t>
  </si>
  <si>
    <t>2520/2013</t>
  </si>
  <si>
    <t>18/08/2013</t>
  </si>
  <si>
    <t>17/08/2014</t>
  </si>
  <si>
    <t>24/8/1989</t>
  </si>
  <si>
    <t>KonTum</t>
  </si>
  <si>
    <t>23/8/2005</t>
  </si>
  <si>
    <t>2518/2013</t>
  </si>
  <si>
    <t>16/08/2013</t>
  </si>
  <si>
    <t>15/08/2014</t>
  </si>
  <si>
    <t>17/10/1986</t>
  </si>
  <si>
    <t>25459730</t>
  </si>
  <si>
    <t>9/5/2011</t>
  </si>
  <si>
    <t>145/52,Lê Đức Thọ, P.17, Q.Gò Vấp, TP.HCM</t>
  </si>
  <si>
    <t>Giáo vụ</t>
  </si>
  <si>
    <t>08/07/2013</t>
  </si>
  <si>
    <t>2515/2013</t>
  </si>
  <si>
    <t>08/08/2013</t>
  </si>
  <si>
    <t>07/08/2014</t>
  </si>
  <si>
    <t>12/4/1990</t>
  </si>
  <si>
    <t>'017046212</t>
  </si>
  <si>
    <t>31/08/2008</t>
  </si>
  <si>
    <t>10/06/2013</t>
  </si>
  <si>
    <t>3289/2013</t>
  </si>
  <si>
    <t>10/08/2013</t>
  </si>
  <si>
    <t>09/08/2014</t>
  </si>
  <si>
    <t>17/02/1985</t>
  </si>
  <si>
    <t>27/08/2002</t>
  </si>
  <si>
    <t>79/22B Nguyễn Xí, P.26, Q.Bình Thạnh, TP.HCM</t>
  </si>
  <si>
    <t>3290/2013</t>
  </si>
  <si>
    <t>01/09/2013</t>
  </si>
  <si>
    <t>31/08/2014</t>
  </si>
  <si>
    <t>10/4/1990</t>
  </si>
  <si>
    <t>19/06/2006</t>
  </si>
  <si>
    <t>3302/2013</t>
  </si>
  <si>
    <t>30/09/2014</t>
  </si>
  <si>
    <t>12/12/1980</t>
  </si>
  <si>
    <t>11/10/2005</t>
  </si>
  <si>
    <t>233/41 Đại lộ Võ Văn Kiệt, P. Cô Giang, Q.1, TP.HCM</t>
  </si>
  <si>
    <t>Phó GĐ</t>
  </si>
  <si>
    <t>05/08/2013</t>
  </si>
  <si>
    <t>3310/2013</t>
  </si>
  <si>
    <t>05/10/2013</t>
  </si>
  <si>
    <t>04/10/2014</t>
  </si>
  <si>
    <t>29/08/1979</t>
  </si>
  <si>
    <t>20/03/2012</t>
  </si>
  <si>
    <t>0906108039</t>
  </si>
  <si>
    <t>Trưởng phòng QLHT</t>
  </si>
  <si>
    <t>3317/2013</t>
  </si>
  <si>
    <t>23/08/1990</t>
  </si>
  <si>
    <t>15/7/2005</t>
  </si>
  <si>
    <t>0932 956 067</t>
  </si>
  <si>
    <t>Phụ trách Ban CTSV</t>
  </si>
  <si>
    <t>29/07/2013</t>
  </si>
  <si>
    <t>3291/2013</t>
  </si>
  <si>
    <t>29/09/2013</t>
  </si>
  <si>
    <t>28/09/2014</t>
  </si>
  <si>
    <t>28/10/1984</t>
  </si>
  <si>
    <t>'023906968</t>
  </si>
  <si>
    <t>7/6/2001</t>
  </si>
  <si>
    <t>163/21A Bến Chương Dương, P.Cầu Ông Lãnh, Q1,TP.HCM</t>
  </si>
  <si>
    <t>0902 79 99 20</t>
  </si>
  <si>
    <t>3205/2013</t>
  </si>
  <si>
    <t>24/06/1990</t>
  </si>
  <si>
    <t>'024321604</t>
  </si>
  <si>
    <t>3/3/2005</t>
  </si>
  <si>
    <t>0938 750 326</t>
  </si>
  <si>
    <t>3309/2013</t>
  </si>
  <si>
    <t>24/02/1985</t>
  </si>
  <si>
    <t>13/01/2010</t>
  </si>
  <si>
    <t>Tuyển dụng</t>
  </si>
  <si>
    <t>09/09/2013</t>
  </si>
  <si>
    <t>3304/2013</t>
  </si>
  <si>
    <t>09/11/2013</t>
  </si>
  <si>
    <t>08/11/2014</t>
  </si>
  <si>
    <t>10/8/1986</t>
  </si>
  <si>
    <t>6/7/2009</t>
  </si>
  <si>
    <t>3301/2013</t>
  </si>
  <si>
    <t>01/12/2013</t>
  </si>
  <si>
    <t>25/03/1988</t>
  </si>
  <si>
    <t>14/04/2011</t>
  </si>
  <si>
    <t>149/8/2A Búi Văn Ngữ, P.Hiệp Thành, Q12, TPHCM</t>
  </si>
  <si>
    <t>21/08/2013</t>
  </si>
  <si>
    <t>3207/2013</t>
  </si>
  <si>
    <t>21/10/2013</t>
  </si>
  <si>
    <t>20/10/2014</t>
  </si>
  <si>
    <t>29/01/1990</t>
  </si>
  <si>
    <t>2/8/2006</t>
  </si>
  <si>
    <t>0902.529.190</t>
  </si>
  <si>
    <t>18/09/2013</t>
  </si>
  <si>
    <t>3294/2013</t>
  </si>
  <si>
    <t>25/11/2013</t>
  </si>
  <si>
    <t>24/11/2014</t>
  </si>
  <si>
    <t>5/8/1990</t>
  </si>
  <si>
    <t>15/07/2005</t>
  </si>
  <si>
    <t>CA Long An</t>
  </si>
  <si>
    <t>175A Ô5, Khu B, thị trấn Hậu Nghĩa, Đức Hòa, Long An</t>
  </si>
  <si>
    <t>539/08 Bình Thới, phường 10, quận 11, tp.HCM</t>
  </si>
  <si>
    <t>3295/2013</t>
  </si>
  <si>
    <t>17/08/1989</t>
  </si>
  <si>
    <t>30/05/2005</t>
  </si>
  <si>
    <t>TP. HCM</t>
  </si>
  <si>
    <t>45/10 Hoài Thanh, P.14, Q.8, Tp.HCM</t>
  </si>
  <si>
    <t>113H/3 Hoài Thanh, P.14, Q.8 Tp. HCM</t>
  </si>
  <si>
    <t>3300/2013</t>
  </si>
  <si>
    <t>26/11/2013</t>
  </si>
  <si>
    <t>25/11/2014</t>
  </si>
  <si>
    <t>8/2/1987</t>
  </si>
  <si>
    <t>7/10/2002</t>
  </si>
  <si>
    <t>Xóm 4B Xã Hưng Lĩnh, Hưng Nguyên, Nghệ An</t>
  </si>
  <si>
    <t>3306/2013</t>
  </si>
  <si>
    <t>31/12/1988</t>
  </si>
  <si>
    <t>6/8/2003</t>
  </si>
  <si>
    <t>07/10/2013</t>
  </si>
  <si>
    <t>3303/2013</t>
  </si>
  <si>
    <t>07/12/2013</t>
  </si>
  <si>
    <t>06/12/2013</t>
  </si>
  <si>
    <t>26/10/1991</t>
  </si>
  <si>
    <t>Vĩnh long</t>
  </si>
  <si>
    <t>22/05/2007</t>
  </si>
  <si>
    <t>Tiếp tân</t>
  </si>
  <si>
    <t>07/12/2014</t>
  </si>
  <si>
    <t>18/12/1990</t>
  </si>
  <si>
    <t>21/08/2012</t>
  </si>
  <si>
    <t>135/5 Hòa Hiệp, Xuyên Mộc, Bà Rịa Vũng Tàu</t>
  </si>
  <si>
    <t>0932 625 113</t>
  </si>
  <si>
    <t>16/10/2013</t>
  </si>
  <si>
    <t>02/01/2014</t>
  </si>
  <si>
    <t>01/01/2015</t>
  </si>
  <si>
    <t>29/06/1985</t>
  </si>
  <si>
    <t>3/1/2012</t>
  </si>
  <si>
    <t>12/3/1988</t>
  </si>
  <si>
    <t>24/10/2002</t>
  </si>
  <si>
    <t>Ấp 6, Châu Bình, Giồng Trôm, Bến Tre</t>
  </si>
  <si>
    <t>`</t>
  </si>
  <si>
    <t>18/10/1991</t>
  </si>
  <si>
    <t>15/09/2007</t>
  </si>
  <si>
    <t>Quảng Phước, Vạn Lương, Vạn Ninh, Khánh Hòa</t>
  </si>
  <si>
    <t>04/11/2013</t>
  </si>
  <si>
    <t>13/02/1986</t>
  </si>
  <si>
    <t>24/09/2007</t>
  </si>
  <si>
    <t>C35/K300 Nguyễn Minh Hoàng, P.12, Q.Tân Bình, TP.HCM</t>
  </si>
  <si>
    <t>12/11/2013</t>
  </si>
  <si>
    <t>2/10/1988</t>
  </si>
  <si>
    <t>17/01/2005</t>
  </si>
  <si>
    <t>Tam Quang, Núi Thành, Quảng Nam</t>
  </si>
  <si>
    <t>Vận hành hệ thống</t>
  </si>
  <si>
    <t>27/11/2013</t>
  </si>
  <si>
    <t>26/01/2014</t>
  </si>
  <si>
    <t>5/7/1987</t>
  </si>
  <si>
    <t>Huế</t>
  </si>
  <si>
    <t>9/12/2009</t>
  </si>
  <si>
    <t>43 Ấp 12, Xuân Tây, Cẩm Mỹ, Đồng Nai</t>
  </si>
  <si>
    <t>09/12/2013</t>
  </si>
  <si>
    <t>07/02/2014</t>
  </si>
  <si>
    <t>7/8/1983</t>
  </si>
  <si>
    <t>Tp. HCM</t>
  </si>
  <si>
    <t>7/9/2013</t>
  </si>
  <si>
    <t>334/96/4B Chu VĂn An, P.12, Q. Bình Thạnh, TP.HCM</t>
  </si>
  <si>
    <t>27/7/1989</t>
  </si>
  <si>
    <t>Tp.hcm</t>
  </si>
  <si>
    <t>16/9/2004</t>
  </si>
  <si>
    <t>2347/60 Phạm Thế Hiển, P.6, Q.8, TP.HCM</t>
  </si>
  <si>
    <t>2347/60 Phạm Thế Hiển, P6-Q.8, tp.hcm</t>
  </si>
  <si>
    <t>24/12/2013</t>
  </si>
  <si>
    <t>24/03/2014</t>
  </si>
  <si>
    <t>29/7/1988</t>
  </si>
  <si>
    <t>16/04/2003</t>
  </si>
  <si>
    <t>17 Nguyễn Thiện Thuật, P.2, Q.3, TP.HCM</t>
  </si>
  <si>
    <t>'0938444680</t>
  </si>
  <si>
    <t>Phụ trách PR - Marketing</t>
  </si>
  <si>
    <t>11/12/2013</t>
  </si>
  <si>
    <t>09/02/2014</t>
  </si>
  <si>
    <t>Làm HĐ mới</t>
  </si>
  <si>
    <t>10/01/2014</t>
  </si>
  <si>
    <t>09/01/2015</t>
  </si>
  <si>
    <t>29/11/1989</t>
  </si>
  <si>
    <t>29/8/2003</t>
  </si>
  <si>
    <t>E75 Khu phố 2, P.Xuân Bình, Long Khánh, Đồng Nai</t>
  </si>
  <si>
    <t>243 Chấn Hưng, P6, Tân Bình, TPHCM</t>
  </si>
  <si>
    <t>9/1/2014</t>
  </si>
  <si>
    <t>08/08/1987</t>
  </si>
  <si>
    <t>26/03/2010</t>
  </si>
  <si>
    <t>32/101 Ông Ích Khiêm, P14, Q Tân Bình,TP.HCM</t>
  </si>
  <si>
    <t>38/6/3 Đô Đốc Long, P Tân Qúy, Q Tân Phú</t>
  </si>
  <si>
    <t>01/09/2014</t>
  </si>
  <si>
    <t>09/09/1990</t>
  </si>
  <si>
    <t>29/05/2007</t>
  </si>
  <si>
    <t>29/2.Đoàn Giỏi, P.Sơn Kỳ, Q.Tân Phú,TPHCM</t>
  </si>
  <si>
    <t>29/2.Đoàn Giỏi,p.Sơn Kỳ.Q.Tân Phú.TPHCM</t>
  </si>
  <si>
    <t>09/01/2014</t>
  </si>
  <si>
    <t>HCT</t>
  </si>
  <si>
    <t>Headcount tổng - Toàn bộ số người theo kế hoạch thuộc Tổ hợp giáo dục Topica, bao gồm cả các trường hợp nghỉ tạm thời</t>
  </si>
  <si>
    <t>Bậc quản lý</t>
  </si>
  <si>
    <t>Bậc chuyên gia</t>
  </si>
  <si>
    <t>Pháp nhân</t>
  </si>
  <si>
    <t>Hợp đồng</t>
  </si>
  <si>
    <t>Hoạch định</t>
  </si>
  <si>
    <t>Kiêm nhiệm</t>
  </si>
  <si>
    <t>Thời gian</t>
  </si>
  <si>
    <t>Danh hiệu</t>
  </si>
  <si>
    <t>Vị trí địa bàn</t>
  </si>
  <si>
    <t>Vị trí mặt trận</t>
  </si>
  <si>
    <t>Chỗ ngồi thực tế</t>
  </si>
  <si>
    <t>Đoàn thể</t>
  </si>
  <si>
    <t>Dân tộc</t>
  </si>
  <si>
    <t>Tôn giáo</t>
  </si>
  <si>
    <t>GE</t>
  </si>
  <si>
    <t>GX</t>
  </si>
  <si>
    <t>Công ty Edutop</t>
  </si>
  <si>
    <t>Dài hạn</t>
  </si>
  <si>
    <t>Front Office</t>
  </si>
  <si>
    <t>Trống do nghỉ việc</t>
  </si>
  <si>
    <t>Fulltime</t>
  </si>
  <si>
    <t>Hiệp sĩ</t>
  </si>
  <si>
    <t>Tiền tuyến</t>
  </si>
  <si>
    <t>Phòng riêng</t>
  </si>
  <si>
    <t>Ban đời sống</t>
  </si>
  <si>
    <t>Kinh</t>
  </si>
  <si>
    <t>Thiên chúa giáo</t>
  </si>
  <si>
    <t>Công ty EDH</t>
  </si>
  <si>
    <t>BackOffice</t>
  </si>
  <si>
    <t>Trống do tăng mới</t>
  </si>
  <si>
    <t>Parttime</t>
  </si>
  <si>
    <t>Anh hùng</t>
  </si>
  <si>
    <t>TP. Hồ Chí Minh</t>
  </si>
  <si>
    <t>Hậu phương</t>
  </si>
  <si>
    <t>Bàn to</t>
  </si>
  <si>
    <t>Đoàn viên</t>
  </si>
  <si>
    <t>Nùng</t>
  </si>
  <si>
    <t>Tin lành</t>
  </si>
  <si>
    <t>SD</t>
  </si>
  <si>
    <t>SX</t>
  </si>
  <si>
    <t>Công ty TPE</t>
  </si>
  <si>
    <t>Other</t>
  </si>
  <si>
    <t>Nghỉ thai sản</t>
  </si>
  <si>
    <t>Hậu phương tăng tốc</t>
  </si>
  <si>
    <t>Bàn thường</t>
  </si>
  <si>
    <t>Đảng viên</t>
  </si>
  <si>
    <t>Tày</t>
  </si>
  <si>
    <t>Phật giáo</t>
  </si>
  <si>
    <t>TD</t>
  </si>
  <si>
    <t>TX</t>
  </si>
  <si>
    <t>Công ty Amazing</t>
  </si>
  <si>
    <t>6 tháng</t>
  </si>
  <si>
    <t>Không</t>
  </si>
  <si>
    <t>Khác</t>
  </si>
  <si>
    <t>PM</t>
  </si>
  <si>
    <t>PX</t>
  </si>
  <si>
    <t>3 tháng</t>
  </si>
  <si>
    <t>Học việc</t>
  </si>
  <si>
    <t>Danh mục chức vụ</t>
  </si>
  <si>
    <t>Danh mục tổ chức</t>
  </si>
  <si>
    <t>C20</t>
  </si>
  <si>
    <t>Đánh giá</t>
  </si>
  <si>
    <t>Quá trình công tác</t>
  </si>
  <si>
    <t>Trạng Thái Lao động</t>
  </si>
  <si>
    <t>Hợp đồng lao động</t>
  </si>
  <si>
    <t>Lương + Thưởng</t>
  </si>
  <si>
    <t>Level Lương</t>
  </si>
  <si>
    <t>Trạng thái nhân viên</t>
  </si>
  <si>
    <t>Mã</t>
  </si>
  <si>
    <t>Khối</t>
  </si>
  <si>
    <t>Trung tâm</t>
  </si>
  <si>
    <t>Phòng</t>
  </si>
  <si>
    <t>0- KHÔNG C</t>
  </si>
  <si>
    <t>Anpha</t>
  </si>
  <si>
    <t>1-QD_BONHIEM</t>
  </si>
  <si>
    <t>1-QD_THUVIEC</t>
  </si>
  <si>
    <t>1-HDLD_1 NAM</t>
  </si>
  <si>
    <t>1-QD_KHENTHUONG</t>
  </si>
  <si>
    <t>1-LUONG_THUC_LINH</t>
  </si>
  <si>
    <t>1-LV_CHINH_THUC</t>
  </si>
  <si>
    <t>TIEN_TUYEN</t>
  </si>
  <si>
    <t>HIEP_SI</t>
  </si>
  <si>
    <t>Chuyên viên vận hành</t>
  </si>
  <si>
    <t>SA</t>
  </si>
  <si>
    <t>Phòng Phát triển đối tác</t>
  </si>
  <si>
    <t>1- CTV CHO NGHỈ</t>
  </si>
  <si>
    <t>Beta1</t>
  </si>
  <si>
    <t>2-QD_MIENNHIEM</t>
  </si>
  <si>
    <t>2-QD_CHINHTHUC</t>
  </si>
  <si>
    <t>2-HDLD_2 NAM</t>
  </si>
  <si>
    <t>2-QD_DIEUCHINHLUONG</t>
  </si>
  <si>
    <t>2-LUONG_CO_BHXH</t>
  </si>
  <si>
    <t>2-NGHI_THAI_SAN</t>
  </si>
  <si>
    <t>HAU_PHUONG</t>
  </si>
  <si>
    <t>CHIEN_SI</t>
  </si>
  <si>
    <t>Chuyên viên Tư vấn tuyển sinh</t>
  </si>
  <si>
    <t>S1</t>
  </si>
  <si>
    <t>Phòng Chuyên Môn</t>
  </si>
  <si>
    <t>2- NV CHO NGHỈ</t>
  </si>
  <si>
    <t>Beta2</t>
  </si>
  <si>
    <t>3-QD_THUVIEC</t>
  </si>
  <si>
    <t>3-QD_NGHIVIEC&amp;THANHLY</t>
  </si>
  <si>
    <t>3-HDLD_3 NAM</t>
  </si>
  <si>
    <t>7-QD_KHAC</t>
  </si>
  <si>
    <t>3-LUONG_CO_BHXH_THUE</t>
  </si>
  <si>
    <t>3-NGHI_KHONG_LUONG</t>
  </si>
  <si>
    <t>OPERATION</t>
  </si>
  <si>
    <t>HAU_PHUONG_TANG_TOC</t>
  </si>
  <si>
    <t>ANH_HUNG_TIEN_TUYEN</t>
  </si>
  <si>
    <t>Chuyên viên quản lý học tập (CVHT)</t>
  </si>
  <si>
    <t>Phòng Phát triển tuyển sinh</t>
  </si>
  <si>
    <t>3- NV THÀNH CTV</t>
  </si>
  <si>
    <t>Gama</t>
  </si>
  <si>
    <t>4-QD_CHINHTHUC</t>
  </si>
  <si>
    <t>4-DON_XIN_NGHI_PHEP</t>
  </si>
  <si>
    <t>4-HDLD_KOTH</t>
  </si>
  <si>
    <t>11-DEXUAT&amp;TOTRINH</t>
  </si>
  <si>
    <t>4-LUONG_DONG_BH</t>
  </si>
  <si>
    <t>4-THU_VIEC</t>
  </si>
  <si>
    <t>ANH_HUNG_HAU_PHUONG</t>
  </si>
  <si>
    <t>Nhân viên tạp vụ</t>
  </si>
  <si>
    <t>TNT</t>
  </si>
  <si>
    <t>Phòng Quảng cáo trực tuyến</t>
  </si>
  <si>
    <t>4- NV GIẢM LƯƠNG</t>
  </si>
  <si>
    <t>5-QD_NGHIVIEC&amp;THANHLY</t>
  </si>
  <si>
    <t>5-HD_HOC_NGHE</t>
  </si>
  <si>
    <t>12-BIENBAN</t>
  </si>
  <si>
    <t>5-LUONG_NS</t>
  </si>
  <si>
    <t>5-NGHI_VIEC</t>
  </si>
  <si>
    <t>Chuyên gia</t>
  </si>
  <si>
    <t>SY</t>
  </si>
  <si>
    <t>Phòng Phát triển mạng lưới</t>
  </si>
  <si>
    <t>5- NV ĐÃ NGHỈ HỦY HEADCOUNT</t>
  </si>
  <si>
    <t>6-QD_DIEUCHUYEN</t>
  </si>
  <si>
    <t>6-HD_HOC_VIEC</t>
  </si>
  <si>
    <t>5-CTV</t>
  </si>
  <si>
    <t>Chuyên gia cao cấp</t>
  </si>
  <si>
    <t>SZ</t>
  </si>
  <si>
    <t>PAWC</t>
  </si>
  <si>
    <t>Phòng Truyền thông</t>
  </si>
  <si>
    <t>7-HD_3_THANG</t>
  </si>
  <si>
    <t>ST</t>
  </si>
  <si>
    <t>Phòng tuyển sinh Tealesale</t>
  </si>
  <si>
    <t>8-HD_6_THANG</t>
  </si>
  <si>
    <t>Loại Dự án</t>
  </si>
  <si>
    <t>Phòng Tuyển sinh</t>
  </si>
  <si>
    <t>1. DAI HAN</t>
  </si>
  <si>
    <t>Phó ban/Phó Giám đốc Trung tâm</t>
  </si>
  <si>
    <t>TOS1</t>
  </si>
  <si>
    <t>Phòng PR</t>
  </si>
  <si>
    <t>2. TRUNG HAN</t>
  </si>
  <si>
    <t>Trưởng Ban/ Giám đốc Trung tâm</t>
  </si>
  <si>
    <t>Phòng CVHT(DTU)</t>
  </si>
  <si>
    <t>3. NGAN HAN</t>
  </si>
  <si>
    <t>Phó Giám đốc khối</t>
  </si>
  <si>
    <t>Phòng POVH(DTU)</t>
  </si>
  <si>
    <t>Giám đốc khối</t>
  </si>
  <si>
    <t>Phòng CVHT(NTU)</t>
  </si>
  <si>
    <t>Tổng giám đốc</t>
  </si>
  <si>
    <t>Phòng POVH(NTU)</t>
  </si>
  <si>
    <t>Phó tổng giám đốc</t>
  </si>
  <si>
    <t>Phòng CVHT(NEU)</t>
  </si>
  <si>
    <t>Phòng POVH(NEU)</t>
  </si>
  <si>
    <t>PMOO</t>
  </si>
  <si>
    <t>Phòng vận hành Trung tâm</t>
  </si>
  <si>
    <t>PMOS</t>
  </si>
  <si>
    <t>Phòng Cố vấn học tập</t>
  </si>
  <si>
    <t>Phòng vận hành Online</t>
  </si>
  <si>
    <t>Phòng sản xuất và đóng gói học liệu</t>
  </si>
  <si>
    <t>(*) Làm thành 01 sheet riêng có các trường thông tin: Ngày quyết định, số quyết định, mã nhân viên, từ phòng ban, sang phong ban, hệ số luân chuyển, nội dung,</t>
  </si>
  <si>
    <t>ToDoList</t>
  </si>
  <si>
    <t>Phòng Hành chính tổng hợp</t>
  </si>
  <si>
    <t>Điền C20 ở sheet Input2</t>
  </si>
  <si>
    <t>Phòng Chất lượng sư phạm và phát triển học liệu</t>
  </si>
  <si>
    <t>Cập nhật chỗ bôi màu ở sheet Output1</t>
  </si>
  <si>
    <t>TBA</t>
  </si>
  <si>
    <t>Phòng Công tác giảng viên học viên</t>
  </si>
  <si>
    <t>Điền hết vào bảng Parameters</t>
  </si>
  <si>
    <t>OSHD</t>
  </si>
  <si>
    <t>Tổ Vận hành Đào tạo</t>
  </si>
  <si>
    <t>Chuẩn hóa lại sheet input1 (theo con voi TUND)</t>
  </si>
  <si>
    <t>Phòng Dịch vụ Hệ thống</t>
  </si>
  <si>
    <t>Phòng Phát triển ứng dụng</t>
  </si>
  <si>
    <t>Chú ý: Phải tách sheet dữ liệu tính (danh mục) và dữ liệu động (giao dịch)</t>
  </si>
  <si>
    <t>Phòng Hành chính giáo vụ</t>
  </si>
  <si>
    <t>Danh mục</t>
  </si>
  <si>
    <t>Phòng kiểm định</t>
  </si>
  <si>
    <t>- Tĩnh lâu (trong parameters)</t>
  </si>
  <si>
    <t>PADS</t>
  </si>
  <si>
    <t>Phòng quản lý tài sản và kho</t>
  </si>
  <si>
    <t>- Tĩnh bt (input1)</t>
  </si>
  <si>
    <t>PAFC</t>
  </si>
  <si>
    <t>Phòng kế toán tổng hợp</t>
  </si>
  <si>
    <t>Giao dịch:</t>
  </si>
  <si>
    <t>PAFD</t>
  </si>
  <si>
    <t>Phòng Kế hoạch phát triển</t>
  </si>
  <si>
    <t>- Lương</t>
  </si>
  <si>
    <t>PALP</t>
  </si>
  <si>
    <t>Phòng đối ngoạii</t>
  </si>
  <si>
    <t>- Thay đổi chức vụ/ Quá trình công tác</t>
  </si>
  <si>
    <t>Phòng Vận hành trung tâm</t>
  </si>
  <si>
    <t>- Nghỉ,</t>
  </si>
  <si>
    <t>Phòng Dịch vụ học viên</t>
  </si>
  <si>
    <t>- Thử việc</t>
  </si>
  <si>
    <t>- Cộng tác viên</t>
  </si>
  <si>
    <t>PSZS</t>
  </si>
  <si>
    <t>Phòng Quản lý chất lượng</t>
  </si>
  <si>
    <t>Phòng TVTS-Inhouse</t>
  </si>
  <si>
    <t>PSAT</t>
  </si>
  <si>
    <t>Phòng Phát triển đổi tác</t>
  </si>
  <si>
    <t>PSAC</t>
  </si>
  <si>
    <t>Phòng Thu Thập Contacts</t>
  </si>
  <si>
    <t>Phòng Lọc Contacts</t>
  </si>
  <si>
    <t>Nhóm Hậu cần &amp; Trainers</t>
  </si>
  <si>
    <t>Phòng Nhân sự - Hành chính</t>
  </si>
  <si>
    <t>Phòng Phát triển sự nghiệp và truyền thông</t>
  </si>
  <si>
    <t>Phòng Kế toán</t>
  </si>
  <si>
    <t>PHCA</t>
  </si>
  <si>
    <t>Phòng Tổng hợp</t>
  </si>
  <si>
    <t>PHCB</t>
  </si>
  <si>
    <t>Phòng ProBanker</t>
  </si>
  <si>
    <t>Phòng Phát triển sự nghiệp</t>
  </si>
  <si>
    <t>Phòng Vận hành Đào tạo</t>
  </si>
  <si>
    <t>Phòng Tư vấn tuyển sinh</t>
  </si>
  <si>
    <t>Phòng Kế toán</t>
  </si>
  <si>
    <t>Phòng Tiếng anh phép thuật</t>
  </si>
  <si>
    <t>PALB</t>
  </si>
  <si>
    <t>Phòng Kinh Doanh</t>
  </si>
  <si>
    <t>PPTO</t>
  </si>
  <si>
    <t>Phòng tổ chức và vận hành</t>
  </si>
  <si>
    <t>PPTA</t>
  </si>
  <si>
    <t>Phòng Tuyển sinh và quan hệ đối tác</t>
  </si>
  <si>
    <t>PHOB</t>
  </si>
  <si>
    <t>Ngành Quản trị Kinh doanh</t>
  </si>
  <si>
    <t>PHOA</t>
  </si>
  <si>
    <t>Ngành Kế toán Tài chính</t>
  </si>
  <si>
    <t>PHOF</t>
  </si>
  <si>
    <t>Ngành Tài chính Ngân hàng</t>
  </si>
  <si>
    <t>PHOI</t>
  </si>
  <si>
    <t>Ngành Công nghệ thông tin</t>
  </si>
  <si>
    <t>Phòng CVHT</t>
  </si>
  <si>
    <t>Phòng POVH</t>
  </si>
  <si>
    <t>PHOC</t>
  </si>
  <si>
    <t>Phòng POHL</t>
  </si>
  <si>
    <t>Phòng Quản trị nhân lực</t>
  </si>
  <si>
    <t>PHRI</t>
  </si>
  <si>
    <t>Phòng Hợp tác giảng viên</t>
  </si>
  <si>
    <t>PBAR</t>
  </si>
  <si>
    <t>Phòng Nghiên cứu và phát triển</t>
  </si>
  <si>
    <t>PBAM</t>
  </si>
  <si>
    <t>Phòng Marketing</t>
  </si>
  <si>
    <t>#NAME?:gridName:[1]Input1-NV_thongtin_codinh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</si>
</sst>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 ;\-#,##0.00"/>
    <numFmt numFmtId="165" formatCode="m/d/yyyy;@"/>
  </numFmts>
  <fonts count="160" x14ac:knownFonts="1">
    <font>
      <sz val="10"/>
      <color rgb="FF000000"/>
      <name val="Arial"/>
    </font>
    <font>
      <sz val="10"/>
      <color rgb="FFFF0000"/>
      <name val="Arial"/>
    </font>
    <font>
      <sz val="10"/>
      <color rgb="FFFF0000"/>
      <name val="Arial"/>
    </font>
    <font>
      <b/>
      <sz val="11"/>
      <color rgb="FFFFFFFF"/>
      <name val="Arial"/>
    </font>
    <font>
      <sz val="10"/>
      <color rgb="FFFF0000"/>
      <name val="Arial"/>
    </font>
    <font>
      <sz val="11"/>
      <color rgb="FF000000"/>
      <name val="Arial"/>
    </font>
    <font>
      <sz val="10"/>
      <color rgb="FFFF0000"/>
      <name val="Arial"/>
    </font>
    <font>
      <sz val="11"/>
      <color rgb="FF000000"/>
      <name val="Arial"/>
    </font>
    <font>
      <sz val="10"/>
      <color rgb="FF000000"/>
      <name val="Arial"/>
    </font>
    <font>
      <b/>
      <sz val="11"/>
      <color rgb="FFFFFFFF"/>
      <name val="Arial"/>
    </font>
    <font>
      <sz val="10"/>
      <color rgb="FFFF0000"/>
      <name val="Arial"/>
    </font>
    <font>
      <sz val="10"/>
      <color rgb="FFFF0000"/>
      <name val="Arial"/>
    </font>
    <font>
      <sz val="10"/>
      <color rgb="FFFF0000"/>
      <name val="Arial"/>
    </font>
    <font>
      <sz val="10"/>
      <color rgb="FFFF0000"/>
      <name val="Arial"/>
    </font>
    <font>
      <sz val="10"/>
      <color rgb="FF000000"/>
      <name val="Arial"/>
    </font>
    <font>
      <sz val="11"/>
      <color rgb="FF000000"/>
      <name val="Arial"/>
    </font>
    <font>
      <sz val="10"/>
      <color rgb="FFFF0000"/>
      <name val="Arial"/>
    </font>
    <font>
      <sz val="10"/>
      <color rgb="FF000000"/>
      <name val="Arial"/>
    </font>
    <font>
      <sz val="10"/>
      <color rgb="FF000000"/>
      <name val="Arial"/>
    </font>
    <font>
      <sz val="10"/>
      <color rgb="FF000000"/>
      <name val="Arial"/>
    </font>
    <font>
      <sz val="10"/>
      <color rgb="FF000000"/>
      <name val="Arial"/>
    </font>
    <font>
      <sz val="11"/>
      <color rgb="FF000000"/>
      <name val="Arial"/>
    </font>
    <font>
      <b/>
      <sz val="11"/>
      <color rgb="FFFFFFFF"/>
      <name val="Arial"/>
    </font>
    <font>
      <b/>
      <sz val="11"/>
      <color rgb="FFFFFFFF"/>
      <name val="Arial"/>
    </font>
    <font>
      <u/>
      <sz val="10"/>
      <color rgb="FF000000"/>
      <name val="Arial"/>
    </font>
    <font>
      <b/>
      <sz val="11"/>
      <color rgb="FFFFC000"/>
      <name val="Arial"/>
    </font>
    <font>
      <sz val="11"/>
      <color rgb="FF000000"/>
      <name val="Arial"/>
    </font>
    <font>
      <sz val="10"/>
      <color rgb="FFFF0000"/>
      <name val="Arial"/>
    </font>
    <font>
      <sz val="10"/>
      <color rgb="FF000000"/>
      <name val="Arial"/>
    </font>
    <font>
      <u/>
      <sz val="10"/>
      <color rgb="FFFF0000"/>
      <name val="Arial"/>
    </font>
    <font>
      <sz val="11"/>
      <color rgb="FF000000"/>
      <name val="Arial"/>
    </font>
    <font>
      <sz val="10"/>
      <color rgb="FFFF0000"/>
      <name val="Arial"/>
    </font>
    <font>
      <b/>
      <sz val="10"/>
      <color rgb="FF000000"/>
      <name val="Arial"/>
    </font>
    <font>
      <sz val="11"/>
      <color rgb="FF000000"/>
      <name val="Arial"/>
    </font>
    <font>
      <b/>
      <sz val="11"/>
      <color rgb="FFFFFFFF"/>
      <name val="Arial"/>
    </font>
    <font>
      <sz val="10"/>
      <color rgb="FF000000"/>
      <name val="Arial"/>
    </font>
    <font>
      <sz val="10"/>
      <color rgb="FFFF0000"/>
      <name val="Arial"/>
    </font>
    <font>
      <sz val="10"/>
      <color rgb="FFFF0000"/>
      <name val="Arial"/>
    </font>
    <font>
      <sz val="10"/>
      <color rgb="FFFF0000"/>
      <name val="Arial"/>
    </font>
    <font>
      <sz val="11"/>
      <color rgb="FF000000"/>
      <name val="Arial"/>
    </font>
    <font>
      <sz val="11"/>
      <color rgb="FF000000"/>
      <name val="Arial"/>
    </font>
    <font>
      <sz val="10"/>
      <color rgb="FFFF0000"/>
      <name val="Arial"/>
    </font>
    <font>
      <sz val="10"/>
      <color rgb="FFFF0000"/>
      <name val="Arial"/>
    </font>
    <font>
      <sz val="10"/>
      <color rgb="FF000000"/>
      <name val="Arial"/>
    </font>
    <font>
      <sz val="11"/>
      <color rgb="FF000000"/>
      <name val="Arial"/>
    </font>
    <font>
      <sz val="10"/>
      <color rgb="FF000000"/>
      <name val="Arial"/>
    </font>
    <font>
      <b/>
      <sz val="11"/>
      <color rgb="FFFFFFFF"/>
      <name val="Arial"/>
    </font>
    <font>
      <sz val="11"/>
      <color rgb="FF000000"/>
      <name val="Arial"/>
    </font>
    <font>
      <sz val="10"/>
      <color rgb="FFFF0000"/>
      <name val="Arial"/>
    </font>
    <font>
      <u/>
      <sz val="10"/>
      <color rgb="FF0000FF"/>
      <name val="Arial"/>
    </font>
    <font>
      <sz val="11"/>
      <color rgb="FF000000"/>
      <name val="Arial"/>
    </font>
    <font>
      <sz val="11"/>
      <color rgb="FF000000"/>
      <name val="Arial"/>
    </font>
    <font>
      <sz val="10"/>
      <color rgb="FF000000"/>
      <name val="Arial"/>
    </font>
    <font>
      <sz val="10"/>
      <color rgb="FF000000"/>
      <name val="Arial"/>
    </font>
    <font>
      <sz val="10"/>
      <color rgb="FFFF0000"/>
      <name val="Arial"/>
    </font>
    <font>
      <sz val="11"/>
      <color rgb="FF000000"/>
      <name val="Arial"/>
    </font>
    <font>
      <sz val="10"/>
      <color rgb="FFFF0000"/>
      <name val="Arial"/>
    </font>
    <font>
      <sz val="10"/>
      <color rgb="FF000000"/>
      <name val="Arial"/>
    </font>
    <font>
      <sz val="10"/>
      <color rgb="FF000000"/>
      <name val="Arial"/>
    </font>
    <font>
      <sz val="10"/>
      <color rgb="FF000000"/>
      <name val="Arial"/>
    </font>
    <font>
      <b/>
      <sz val="11"/>
      <color rgb="FFFFFFFF"/>
      <name val="Arial"/>
    </font>
    <font>
      <b/>
      <sz val="10"/>
      <color rgb="FFFFC000"/>
      <name val="Arial"/>
    </font>
    <font>
      <sz val="10"/>
      <color rgb="FF000000"/>
      <name val="Arial"/>
    </font>
    <font>
      <sz val="10"/>
      <color rgb="FFFF0000"/>
      <name val="Arial"/>
    </font>
    <font>
      <sz val="10"/>
      <color rgb="FF000000"/>
      <name val="Arial"/>
    </font>
    <font>
      <sz val="10"/>
      <color rgb="FF000000"/>
      <name val="Arial"/>
    </font>
    <font>
      <sz val="10"/>
      <color rgb="FFFF0000"/>
      <name val="Arial"/>
    </font>
    <font>
      <sz val="10"/>
      <color rgb="FF000000"/>
      <name val="Times New Roman"/>
    </font>
    <font>
      <sz val="10"/>
      <color rgb="FFFF0000"/>
      <name val="Arial"/>
    </font>
    <font>
      <u/>
      <sz val="10"/>
      <color rgb="FF000000"/>
      <name val="Arial"/>
    </font>
    <font>
      <sz val="10"/>
      <color rgb="FFFF0000"/>
      <name val="Arial"/>
    </font>
    <font>
      <sz val="10"/>
      <color rgb="FF000000"/>
      <name val="Arial"/>
    </font>
    <font>
      <sz val="10"/>
      <color rgb="FF000000"/>
      <name val="Arial"/>
    </font>
    <font>
      <b/>
      <sz val="10"/>
      <color rgb="FFFFFFFF"/>
      <name val="Arial"/>
    </font>
    <font>
      <sz val="10"/>
      <color rgb="FFFF0000"/>
      <name val="Arial"/>
    </font>
    <font>
      <sz val="10"/>
      <color rgb="FF000000"/>
      <name val="Arial"/>
    </font>
    <font>
      <sz val="10"/>
      <color rgb="FFFFC000"/>
      <name val="Arial"/>
    </font>
    <font>
      <sz val="11"/>
      <color rgb="FF000000"/>
      <name val="Arial"/>
    </font>
    <font>
      <sz val="11"/>
      <color rgb="FF000000"/>
      <name val="Arial"/>
    </font>
    <font>
      <sz val="10"/>
      <color rgb="FFFF0000"/>
      <name val="Arial"/>
    </font>
    <font>
      <b/>
      <sz val="11"/>
      <color rgb="FFFFFFFF"/>
      <name val="Arial"/>
    </font>
    <font>
      <sz val="11"/>
      <color rgb="FF000000"/>
      <name val="Arial"/>
    </font>
    <font>
      <sz val="10"/>
      <color rgb="FF000000"/>
      <name val="Arial"/>
    </font>
    <font>
      <sz val="10"/>
      <color rgb="FF000000"/>
      <name val="Arial"/>
    </font>
    <font>
      <sz val="10"/>
      <color rgb="FFFF0000"/>
      <name val="Arial"/>
    </font>
    <font>
      <sz val="10"/>
      <color rgb="FF000000"/>
      <name val="Arial"/>
    </font>
    <font>
      <b/>
      <sz val="11"/>
      <color rgb="FFFFFFFF"/>
      <name val="Arial"/>
    </font>
    <font>
      <sz val="11"/>
      <color rgb="FF000000"/>
      <name val="Arial"/>
    </font>
    <font>
      <sz val="11"/>
      <color rgb="FF000000"/>
      <name val="Arial"/>
    </font>
    <font>
      <sz val="10"/>
      <color rgb="FFFF0000"/>
      <name val="Arial"/>
    </font>
    <font>
      <sz val="10"/>
      <color rgb="FFFF0000"/>
      <name val="Arial"/>
    </font>
    <font>
      <sz val="10"/>
      <color rgb="FF000000"/>
      <name val="Arial"/>
    </font>
    <font>
      <sz val="10"/>
      <color rgb="FFFF0000"/>
      <name val="Arial"/>
    </font>
    <font>
      <b/>
      <sz val="11"/>
      <color rgb="FFFFFFFF"/>
      <name val="Arial"/>
    </font>
    <font>
      <sz val="10"/>
      <color rgb="FFFF0000"/>
      <name val="Arial"/>
    </font>
    <font>
      <sz val="10"/>
      <color rgb="FFFF0000"/>
      <name val="Arial"/>
    </font>
    <font>
      <sz val="10"/>
      <color rgb="FF000000"/>
      <name val="Arial"/>
    </font>
    <font>
      <sz val="10"/>
      <color rgb="FF000000"/>
      <name val="Arial"/>
    </font>
    <font>
      <sz val="10"/>
      <color rgb="FF000000"/>
      <name val="Arial"/>
    </font>
    <font>
      <sz val="11"/>
      <color rgb="FF000000"/>
      <name val="Arial"/>
    </font>
    <font>
      <sz val="10"/>
      <color rgb="FFFF0000"/>
      <name val="Arial"/>
    </font>
    <font>
      <sz val="11"/>
      <color rgb="FF000000"/>
      <name val="Arial"/>
    </font>
    <font>
      <sz val="10"/>
      <color rgb="FF000000"/>
      <name val="Arial"/>
    </font>
    <font>
      <b/>
      <sz val="11"/>
      <color rgb="FFFFFFFF"/>
      <name val="Arial"/>
    </font>
    <font>
      <b/>
      <sz val="10"/>
      <color rgb="FF000000"/>
      <name val="Arial"/>
    </font>
    <font>
      <sz val="10"/>
      <color rgb="FFFF0000"/>
      <name val="Arial"/>
    </font>
    <font>
      <sz val="11"/>
      <color rgb="FF000000"/>
      <name val="Arial"/>
    </font>
    <font>
      <sz val="10"/>
      <color rgb="FFFF0000"/>
      <name val="Arial"/>
    </font>
    <font>
      <b/>
      <sz val="12"/>
      <color rgb="FFFFC000"/>
      <name val="Times New Roman"/>
    </font>
    <font>
      <sz val="10"/>
      <color rgb="FF000000"/>
      <name val="Arial"/>
    </font>
    <font>
      <sz val="11"/>
      <color rgb="FF000000"/>
      <name val="Arial"/>
    </font>
    <font>
      <sz val="10"/>
      <color rgb="FF000000"/>
      <name val="Arial"/>
    </font>
    <font>
      <sz val="11"/>
      <color rgb="FF000000"/>
      <name val="Arial"/>
    </font>
    <font>
      <b/>
      <sz val="10"/>
      <color rgb="FFFFFFFF"/>
      <name val="Arial"/>
    </font>
    <font>
      <b/>
      <sz val="11"/>
      <color rgb="FFFFFFFF"/>
      <name val="Arial"/>
    </font>
    <font>
      <b/>
      <sz val="10"/>
      <color rgb="FFFFFFFF"/>
      <name val="Arial"/>
    </font>
    <font>
      <sz val="10"/>
      <color rgb="FF000000"/>
      <name val="Arial"/>
    </font>
    <font>
      <sz val="10"/>
      <color rgb="FFFF0000"/>
      <name val="Arial"/>
    </font>
    <font>
      <sz val="11"/>
      <color rgb="FF000000"/>
      <name val="Arial"/>
    </font>
    <font>
      <sz val="11"/>
      <color rgb="FF000000"/>
      <name val="Arial"/>
    </font>
    <font>
      <sz val="11"/>
      <color rgb="FF000000"/>
      <name val="Arial"/>
    </font>
    <font>
      <b/>
      <sz val="11"/>
      <color rgb="FFFFFFFF"/>
      <name val="Arial"/>
    </font>
    <font>
      <u/>
      <sz val="10"/>
      <color rgb="FF0000FF"/>
      <name val="Arial"/>
    </font>
    <font>
      <sz val="10"/>
      <color rgb="FFFF0000"/>
      <name val="Arial"/>
    </font>
    <font>
      <sz val="10"/>
      <color rgb="FFFF0000"/>
      <name val="Arial"/>
    </font>
    <font>
      <u/>
      <sz val="10"/>
      <color rgb="FFFF0000"/>
      <name val="Arial"/>
    </font>
    <font>
      <sz val="10"/>
      <color rgb="FF000000"/>
      <name val="Arial"/>
    </font>
    <font>
      <u/>
      <sz val="10"/>
      <color rgb="FFFF0000"/>
      <name val="Arial"/>
    </font>
    <font>
      <sz val="11"/>
      <color rgb="FF000000"/>
      <name val="Arial"/>
    </font>
    <font>
      <sz val="10"/>
      <color rgb="FF000000"/>
      <name val="Arial"/>
    </font>
    <font>
      <sz val="10"/>
      <color rgb="FF000000"/>
      <name val="Arial"/>
    </font>
    <font>
      <sz val="10"/>
      <color rgb="FF000000"/>
      <name val="Arial"/>
    </font>
    <font>
      <sz val="10"/>
      <color rgb="FF000000"/>
      <name val="Arial"/>
    </font>
    <font>
      <b/>
      <sz val="11"/>
      <color rgb="FFFFFFFF"/>
      <name val="Arial"/>
    </font>
    <font>
      <sz val="11"/>
      <color rgb="FF000000"/>
      <name val="Arial"/>
    </font>
    <font>
      <sz val="10"/>
      <color rgb="FFFF0000"/>
      <name val="Arial"/>
    </font>
    <font>
      <sz val="10"/>
      <color rgb="FFFF0000"/>
      <name val="Arial"/>
    </font>
    <font>
      <b/>
      <sz val="11"/>
      <color rgb="FFFFFFFF"/>
      <name val="Arial"/>
    </font>
    <font>
      <sz val="10"/>
      <color rgb="FFFF0000"/>
      <name val="Arial"/>
    </font>
    <font>
      <u/>
      <sz val="10"/>
      <color rgb="FF0000FF"/>
      <name val="Arial"/>
    </font>
    <font>
      <sz val="11"/>
      <color rgb="FF000000"/>
      <name val="Arial"/>
    </font>
    <font>
      <sz val="11"/>
      <color rgb="FF000000"/>
      <name val="Arial"/>
    </font>
    <font>
      <sz val="11"/>
      <color rgb="FF000000"/>
      <name val="Arial"/>
    </font>
    <font>
      <sz val="10"/>
      <color rgb="FF000000"/>
      <name val="Arial"/>
    </font>
    <font>
      <b/>
      <sz val="11"/>
      <color rgb="FFFFC000"/>
      <name val="Arial"/>
    </font>
    <font>
      <sz val="10"/>
      <color rgb="FF000000"/>
      <name val="Arial"/>
    </font>
    <font>
      <sz val="11"/>
      <color rgb="FF000000"/>
      <name val="Arial"/>
    </font>
    <font>
      <sz val="11"/>
      <color rgb="FF000000"/>
      <name val="Arial"/>
    </font>
    <font>
      <sz val="10"/>
      <color rgb="FF000000"/>
      <name val="Arial"/>
    </font>
    <font>
      <sz val="11"/>
      <color rgb="FF000000"/>
      <name val="Arial"/>
    </font>
    <font>
      <sz val="11"/>
      <color rgb="FF000000"/>
      <name val="Arial"/>
    </font>
    <font>
      <b/>
      <sz val="11"/>
      <color rgb="FFFFFFFF"/>
      <name val="Arial"/>
    </font>
    <font>
      <sz val="10"/>
      <color rgb="FFFF0000"/>
      <name val="Arial"/>
    </font>
    <font>
      <sz val="10"/>
      <color rgb="FF000000"/>
      <name val="Arial"/>
    </font>
    <font>
      <sz val="11"/>
      <color rgb="FF000000"/>
      <name val="Arial"/>
    </font>
    <font>
      <sz val="10"/>
      <color rgb="FF000000"/>
      <name val="Arial"/>
    </font>
    <font>
      <sz val="11"/>
      <color rgb="FF000000"/>
      <name val="Arial"/>
    </font>
    <font>
      <sz val="10"/>
      <color rgb="FFFF0000"/>
      <name val="Arial"/>
    </font>
    <font>
      <sz val="10"/>
      <color rgb="FFFF0000"/>
      <name val="Arial"/>
    </font>
    <font>
      <sz val="10"/>
      <color rgb="FFFF0000"/>
      <name val="Arial"/>
      <family val="2"/>
    </font>
  </fonts>
  <fills count="7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C00000"/>
        <bgColor indexed="64"/>
      </patternFill>
    </fill>
    <fill>
      <patternFill patternType="solid">
        <fgColor rgb="FFFFD966"/>
        <bgColor indexed="64"/>
      </patternFill>
    </fill>
    <fill>
      <patternFill patternType="solid">
        <fgColor rgb="FFFFFF00"/>
        <bgColor indexed="64"/>
      </patternFill>
    </fill>
    <fill>
      <patternFill patternType="solid">
        <fgColor rgb="FFFFFFFF"/>
        <bgColor indexed="64"/>
      </patternFill>
    </fill>
    <fill>
      <patternFill patternType="solid">
        <fgColor rgb="FFFFFFFF"/>
        <bgColor indexed="64"/>
      </patternFill>
    </fill>
    <fill>
      <patternFill patternType="solid">
        <fgColor rgb="FF953734"/>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1C232"/>
        <bgColor indexed="64"/>
      </patternFill>
    </fill>
    <fill>
      <patternFill patternType="solid">
        <fgColor rgb="FFFFFF00"/>
        <bgColor indexed="64"/>
      </patternFill>
    </fill>
    <fill>
      <patternFill patternType="solid">
        <fgColor rgb="FFF1C232"/>
        <bgColor indexed="64"/>
      </patternFill>
    </fill>
    <fill>
      <patternFill patternType="solid">
        <fgColor rgb="FFC00000"/>
        <bgColor indexed="64"/>
      </patternFill>
    </fill>
    <fill>
      <patternFill patternType="solid">
        <fgColor rgb="FFFFFF00"/>
        <bgColor indexed="64"/>
      </patternFill>
    </fill>
    <fill>
      <patternFill patternType="solid">
        <fgColor rgb="FFFFFFFF"/>
        <bgColor indexed="64"/>
      </patternFill>
    </fill>
    <fill>
      <patternFill patternType="solid">
        <fgColor rgb="FFF1C232"/>
        <bgColor indexed="64"/>
      </patternFill>
    </fill>
    <fill>
      <patternFill patternType="solid">
        <fgColor rgb="FFF3F3F3"/>
        <bgColor indexed="64"/>
      </patternFill>
    </fill>
    <fill>
      <patternFill patternType="solid">
        <fgColor rgb="FFC00000"/>
        <bgColor indexed="64"/>
      </patternFill>
    </fill>
    <fill>
      <patternFill patternType="solid">
        <fgColor rgb="FFF1C232"/>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00000"/>
        <bgColor indexed="64"/>
      </patternFill>
    </fill>
    <fill>
      <patternFill patternType="solid">
        <fgColor rgb="FF953734"/>
        <bgColor indexed="64"/>
      </patternFill>
    </fill>
    <fill>
      <patternFill patternType="solid">
        <fgColor rgb="FFFFD966"/>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FF00"/>
        <bgColor indexed="64"/>
      </patternFill>
    </fill>
    <fill>
      <patternFill patternType="solid">
        <fgColor rgb="FFFFD966"/>
        <bgColor indexed="64"/>
      </patternFill>
    </fill>
    <fill>
      <patternFill patternType="solid">
        <fgColor rgb="FFDDD9C3"/>
        <bgColor indexed="64"/>
      </patternFill>
    </fill>
    <fill>
      <patternFill patternType="solid">
        <fgColor rgb="FFCC0000"/>
        <bgColor indexed="64"/>
      </patternFill>
    </fill>
    <fill>
      <patternFill patternType="solid">
        <fgColor rgb="FFF1C232"/>
        <bgColor indexed="64"/>
      </patternFill>
    </fill>
    <fill>
      <patternFill patternType="solid">
        <fgColor rgb="FF953734"/>
        <bgColor indexed="64"/>
      </patternFill>
    </fill>
    <fill>
      <patternFill patternType="solid">
        <fgColor rgb="FFFFFFFF"/>
        <bgColor indexed="64"/>
      </patternFill>
    </fill>
    <fill>
      <patternFill patternType="solid">
        <fgColor rgb="FFC00000"/>
        <bgColor indexed="64"/>
      </patternFill>
    </fill>
    <fill>
      <patternFill patternType="solid">
        <fgColor rgb="FFFFFFFF"/>
        <bgColor indexed="64"/>
      </patternFill>
    </fill>
    <fill>
      <patternFill patternType="solid">
        <fgColor rgb="FFFFFFFF"/>
        <bgColor indexed="64"/>
      </patternFill>
    </fill>
    <fill>
      <patternFill patternType="solid">
        <fgColor rgb="FFC00000"/>
        <bgColor indexed="64"/>
      </patternFill>
    </fill>
    <fill>
      <patternFill patternType="solid">
        <fgColor rgb="FFFFD966"/>
        <bgColor indexed="64"/>
      </patternFill>
    </fill>
    <fill>
      <patternFill patternType="solid">
        <fgColor rgb="FFC00000"/>
        <bgColor indexed="64"/>
      </patternFill>
    </fill>
    <fill>
      <patternFill patternType="solid">
        <fgColor rgb="FFFFFFFF"/>
        <bgColor indexed="64"/>
      </patternFill>
    </fill>
    <fill>
      <patternFill patternType="solid">
        <fgColor rgb="FFF1C232"/>
        <bgColor indexed="64"/>
      </patternFill>
    </fill>
    <fill>
      <patternFill patternType="solid">
        <fgColor rgb="FFFFD966"/>
        <bgColor indexed="64"/>
      </patternFill>
    </fill>
    <fill>
      <patternFill patternType="solid">
        <fgColor rgb="FFFFFFFF"/>
        <bgColor indexed="64"/>
      </patternFill>
    </fill>
    <fill>
      <patternFill patternType="solid">
        <fgColor rgb="FFF1C232"/>
        <bgColor indexed="64"/>
      </patternFill>
    </fill>
    <fill>
      <patternFill patternType="solid">
        <fgColor rgb="FFFFD966"/>
        <bgColor indexed="64"/>
      </patternFill>
    </fill>
    <fill>
      <patternFill patternType="solid">
        <fgColor rgb="FF953734"/>
        <bgColor indexed="64"/>
      </patternFill>
    </fill>
    <fill>
      <patternFill patternType="solid">
        <fgColor rgb="FFEFEFEF"/>
        <bgColor indexed="64"/>
      </patternFill>
    </fill>
    <fill>
      <patternFill patternType="solid">
        <fgColor rgb="FFF1C232"/>
        <bgColor indexed="64"/>
      </patternFill>
    </fill>
    <fill>
      <patternFill patternType="solid">
        <fgColor rgb="FFCC0000"/>
        <bgColor indexed="64"/>
      </patternFill>
    </fill>
    <fill>
      <patternFill patternType="solid">
        <fgColor rgb="FFC00000"/>
        <bgColor indexed="64"/>
      </patternFill>
    </fill>
    <fill>
      <patternFill patternType="solid">
        <fgColor rgb="FFCC0000"/>
        <bgColor indexed="64"/>
      </patternFill>
    </fill>
    <fill>
      <patternFill patternType="solid">
        <fgColor rgb="FFFFFFFF"/>
        <bgColor indexed="64"/>
      </patternFill>
    </fill>
    <fill>
      <patternFill patternType="solid">
        <fgColor rgb="FFFFD966"/>
        <bgColor indexed="64"/>
      </patternFill>
    </fill>
    <fill>
      <patternFill patternType="solid">
        <fgColor rgb="FFC000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C00000"/>
        <bgColor indexed="64"/>
      </patternFill>
    </fill>
    <fill>
      <patternFill patternType="solid">
        <fgColor rgb="FFF3F3F3"/>
        <bgColor indexed="64"/>
      </patternFill>
    </fill>
    <fill>
      <patternFill patternType="solid">
        <fgColor rgb="FFFFFFFF"/>
        <bgColor indexed="64"/>
      </patternFill>
    </fill>
    <fill>
      <patternFill patternType="solid">
        <fgColor rgb="FFFFFFFF"/>
        <bgColor indexed="64"/>
      </patternFill>
    </fill>
    <fill>
      <patternFill patternType="solid">
        <fgColor rgb="FFFFD966"/>
        <bgColor indexed="64"/>
      </patternFill>
    </fill>
    <fill>
      <patternFill patternType="solid">
        <fgColor rgb="FFF1C232"/>
        <bgColor indexed="64"/>
      </patternFill>
    </fill>
    <fill>
      <patternFill patternType="solid">
        <fgColor rgb="FF953734"/>
        <bgColor indexed="64"/>
      </patternFill>
    </fill>
    <fill>
      <patternFill patternType="solid">
        <fgColor rgb="FFFFFFFF"/>
        <bgColor indexed="64"/>
      </patternFill>
    </fill>
    <fill>
      <patternFill patternType="solid">
        <fgColor rgb="FFFFD966"/>
        <bgColor indexed="64"/>
      </patternFill>
    </fill>
    <fill>
      <patternFill patternType="solid">
        <fgColor rgb="FFFFD966"/>
        <bgColor indexed="64"/>
      </patternFill>
    </fill>
    <fill>
      <patternFill patternType="solid">
        <fgColor rgb="FFFFFFFF"/>
        <bgColor indexed="64"/>
      </patternFill>
    </fill>
    <fill>
      <patternFill patternType="solid">
        <fgColor rgb="FFF1C232"/>
        <bgColor indexed="64"/>
      </patternFill>
    </fill>
  </fills>
  <borders count="18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19">
    <xf numFmtId="0" fontId="0" fillId="0" borderId="0" xfId="0" applyAlignment="1">
      <alignment wrapText="1"/>
    </xf>
    <xf numFmtId="0" fontId="0" fillId="0" borderId="1" xfId="0" applyBorder="1" applyAlignment="1">
      <alignment wrapText="1"/>
    </xf>
    <xf numFmtId="164" fontId="1" fillId="0" borderId="2" xfId="0" applyNumberFormat="1" applyFont="1" applyBorder="1" applyAlignment="1">
      <alignment wrapText="1"/>
    </xf>
    <xf numFmtId="49" fontId="2" fillId="2" borderId="3" xfId="0" applyNumberFormat="1" applyFont="1" applyFill="1" applyBorder="1" applyAlignment="1">
      <alignment horizontal="left" wrapText="1"/>
    </xf>
    <xf numFmtId="49" fontId="3" fillId="3" borderId="0" xfId="0" applyNumberFormat="1" applyFont="1" applyFill="1" applyAlignment="1">
      <alignment horizontal="center" vertical="center" wrapText="1"/>
    </xf>
    <xf numFmtId="49" fontId="0" fillId="0" borderId="4" xfId="0" applyNumberFormat="1" applyBorder="1" applyAlignment="1">
      <alignment horizontal="center" vertical="center" wrapText="1"/>
    </xf>
    <xf numFmtId="0" fontId="0" fillId="0" borderId="5" xfId="0" applyBorder="1" applyAlignment="1">
      <alignment wrapText="1"/>
    </xf>
    <xf numFmtId="0" fontId="4" fillId="4" borderId="6" xfId="0" applyFont="1" applyFill="1" applyBorder="1" applyAlignment="1">
      <alignment horizontal="left"/>
    </xf>
    <xf numFmtId="49" fontId="0" fillId="0" borderId="7" xfId="0" applyNumberFormat="1" applyBorder="1" applyAlignment="1">
      <alignment horizontal="center" vertical="center" wrapText="1"/>
    </xf>
    <xf numFmtId="49" fontId="5" fillId="0" borderId="8" xfId="0" applyNumberFormat="1" applyFont="1" applyBorder="1" applyAlignment="1">
      <alignment horizontal="center"/>
    </xf>
    <xf numFmtId="0" fontId="6" fillId="5" borderId="9" xfId="0" applyFont="1" applyFill="1" applyBorder="1" applyAlignment="1">
      <alignment horizontal="left" wrapText="1"/>
    </xf>
    <xf numFmtId="49" fontId="7" fillId="0" borderId="10" xfId="0" applyNumberFormat="1" applyFont="1" applyBorder="1" applyAlignment="1">
      <alignment horizontal="center" vertical="center" wrapText="1"/>
    </xf>
    <xf numFmtId="0" fontId="0" fillId="0" borderId="11" xfId="0" applyBorder="1" applyAlignment="1">
      <alignment vertical="center" wrapText="1"/>
    </xf>
    <xf numFmtId="0" fontId="8" fillId="0" borderId="12" xfId="0" applyFont="1" applyBorder="1"/>
    <xf numFmtId="49" fontId="9" fillId="6" borderId="13" xfId="0" applyNumberFormat="1" applyFont="1" applyFill="1" applyBorder="1" applyAlignment="1">
      <alignment horizontal="center" vertical="center"/>
    </xf>
    <xf numFmtId="0" fontId="0" fillId="0" borderId="14" xfId="0" applyBorder="1" applyAlignment="1">
      <alignment horizontal="center" vertical="center" wrapText="1"/>
    </xf>
    <xf numFmtId="49" fontId="0" fillId="0" borderId="15" xfId="0" applyNumberFormat="1" applyBorder="1" applyAlignment="1">
      <alignment horizontal="center" vertical="center" wrapText="1"/>
    </xf>
    <xf numFmtId="49" fontId="0" fillId="7" borderId="16" xfId="0" applyNumberFormat="1" applyFill="1" applyBorder="1" applyAlignment="1">
      <alignment horizontal="center" vertical="center" wrapText="1"/>
    </xf>
    <xf numFmtId="165" fontId="10" fillId="0" borderId="17" xfId="0" applyNumberFormat="1" applyFont="1" applyBorder="1" applyAlignment="1">
      <alignment horizontal="right"/>
    </xf>
    <xf numFmtId="0" fontId="11" fillId="0" borderId="18" xfId="0" applyFont="1" applyBorder="1"/>
    <xf numFmtId="165" fontId="12" fillId="0" borderId="19" xfId="0" applyNumberFormat="1" applyFont="1" applyBorder="1" applyAlignment="1">
      <alignment horizontal="left" wrapText="1"/>
    </xf>
    <xf numFmtId="165" fontId="0" fillId="0" borderId="20" xfId="0" applyNumberFormat="1" applyBorder="1" applyAlignment="1">
      <alignment wrapText="1"/>
    </xf>
    <xf numFmtId="0" fontId="13" fillId="0" borderId="21" xfId="0" applyFont="1" applyBorder="1"/>
    <xf numFmtId="0" fontId="14" fillId="0" borderId="22" xfId="0" applyFont="1" applyBorder="1"/>
    <xf numFmtId="49" fontId="15" fillId="0" borderId="23" xfId="0" applyNumberFormat="1" applyFont="1" applyBorder="1" applyAlignment="1">
      <alignment horizontal="center" vertical="center" wrapText="1"/>
    </xf>
    <xf numFmtId="165" fontId="16" fillId="0" borderId="24" xfId="0" applyNumberFormat="1" applyFont="1" applyBorder="1" applyAlignment="1">
      <alignment horizontal="left" wrapText="1"/>
    </xf>
    <xf numFmtId="165" fontId="17" fillId="0" borderId="25" xfId="0" applyNumberFormat="1" applyFont="1" applyBorder="1" applyAlignment="1">
      <alignment horizontal="left"/>
    </xf>
    <xf numFmtId="164" fontId="18" fillId="0" borderId="26" xfId="0" applyNumberFormat="1" applyFont="1" applyBorder="1" applyAlignment="1">
      <alignment wrapText="1"/>
    </xf>
    <xf numFmtId="0" fontId="19" fillId="0" borderId="27" xfId="0" applyFont="1" applyBorder="1"/>
    <xf numFmtId="165" fontId="20" fillId="0" borderId="28" xfId="0" applyNumberFormat="1" applyFont="1" applyBorder="1" applyAlignment="1">
      <alignment wrapText="1"/>
    </xf>
    <xf numFmtId="0" fontId="21" fillId="8" borderId="29" xfId="0" applyFont="1" applyFill="1" applyBorder="1" applyAlignment="1">
      <alignment wrapText="1"/>
    </xf>
    <xf numFmtId="0" fontId="22" fillId="9" borderId="0" xfId="0" applyFont="1" applyFill="1" applyAlignment="1">
      <alignment horizontal="center" vertical="center"/>
    </xf>
    <xf numFmtId="0" fontId="23" fillId="10" borderId="0" xfId="0" applyFont="1" applyFill="1" applyAlignment="1">
      <alignment horizontal="center" vertical="center"/>
    </xf>
    <xf numFmtId="0" fontId="24" fillId="0" borderId="30" xfId="0" applyFont="1" applyBorder="1" applyAlignment="1">
      <alignment horizontal="left" wrapText="1"/>
    </xf>
    <xf numFmtId="0" fontId="25" fillId="11" borderId="31" xfId="0" applyFont="1" applyFill="1" applyBorder="1" applyAlignment="1">
      <alignment horizontal="center" vertical="center" wrapText="1"/>
    </xf>
    <xf numFmtId="0" fontId="26" fillId="12" borderId="32" xfId="0" applyFont="1" applyFill="1" applyBorder="1" applyAlignment="1">
      <alignment vertical="center"/>
    </xf>
    <xf numFmtId="49" fontId="27" fillId="0" borderId="33" xfId="0" applyNumberFormat="1" applyFont="1" applyBorder="1" applyAlignment="1">
      <alignment horizontal="left" wrapText="1"/>
    </xf>
    <xf numFmtId="0" fontId="28" fillId="0" borderId="34" xfId="0" applyFont="1" applyBorder="1"/>
    <xf numFmtId="0" fontId="29" fillId="0" borderId="35" xfId="0" applyFont="1" applyBorder="1" applyAlignment="1">
      <alignment wrapText="1"/>
    </xf>
    <xf numFmtId="0" fontId="0" fillId="13" borderId="36" xfId="0" applyFill="1" applyBorder="1" applyAlignment="1">
      <alignment vertical="center" wrapText="1"/>
    </xf>
    <xf numFmtId="0" fontId="30" fillId="14" borderId="37" xfId="0" applyFont="1" applyFill="1" applyBorder="1" applyAlignment="1">
      <alignment horizontal="center" vertical="center"/>
    </xf>
    <xf numFmtId="0" fontId="31" fillId="0" borderId="38" xfId="0" applyFont="1" applyBorder="1"/>
    <xf numFmtId="49" fontId="0" fillId="15" borderId="39" xfId="0" applyNumberFormat="1" applyFill="1" applyBorder="1" applyAlignment="1">
      <alignment horizontal="center" vertical="center" wrapText="1"/>
    </xf>
    <xf numFmtId="0" fontId="32" fillId="16" borderId="0" xfId="0" applyFont="1" applyFill="1" applyAlignment="1">
      <alignment wrapText="1"/>
    </xf>
    <xf numFmtId="0" fontId="33" fillId="17" borderId="40" xfId="0" applyFont="1" applyFill="1" applyBorder="1" applyAlignment="1">
      <alignment vertical="center"/>
    </xf>
    <xf numFmtId="0" fontId="34" fillId="18" borderId="41" xfId="0" applyFont="1" applyFill="1" applyBorder="1" applyAlignment="1">
      <alignment horizontal="center" vertical="center" wrapText="1"/>
    </xf>
    <xf numFmtId="0" fontId="35" fillId="0" borderId="42" xfId="0" applyFont="1" applyBorder="1" applyAlignment="1">
      <alignment wrapText="1"/>
    </xf>
    <xf numFmtId="0" fontId="36" fillId="19" borderId="43" xfId="0" applyFont="1" applyFill="1" applyBorder="1" applyAlignment="1">
      <alignment wrapText="1"/>
    </xf>
    <xf numFmtId="165" fontId="37" fillId="0" borderId="44" xfId="0" applyNumberFormat="1" applyFont="1" applyBorder="1" applyAlignment="1">
      <alignment horizontal="right" wrapText="1"/>
    </xf>
    <xf numFmtId="0" fontId="38" fillId="0" borderId="45" xfId="0" applyFont="1" applyBorder="1"/>
    <xf numFmtId="49" fontId="39" fillId="0" borderId="46" xfId="0" applyNumberFormat="1" applyFont="1" applyBorder="1" applyAlignment="1">
      <alignment vertical="center"/>
    </xf>
    <xf numFmtId="0" fontId="40" fillId="0" borderId="47" xfId="0" applyFont="1" applyBorder="1" applyAlignment="1">
      <alignment vertical="center" wrapText="1"/>
    </xf>
    <xf numFmtId="49" fontId="41" fillId="0" borderId="48" xfId="0" applyNumberFormat="1" applyFont="1" applyBorder="1" applyAlignment="1">
      <alignment wrapText="1"/>
    </xf>
    <xf numFmtId="165" fontId="42" fillId="20" borderId="49" xfId="0" applyNumberFormat="1" applyFont="1" applyFill="1" applyBorder="1" applyAlignment="1">
      <alignment horizontal="right" wrapText="1"/>
    </xf>
    <xf numFmtId="0" fontId="43" fillId="0" borderId="50" xfId="0" applyFont="1" applyBorder="1" applyAlignment="1">
      <alignment horizontal="left" wrapText="1"/>
    </xf>
    <xf numFmtId="0" fontId="44" fillId="21" borderId="51" xfId="0" applyFont="1" applyFill="1" applyBorder="1"/>
    <xf numFmtId="0" fontId="45" fillId="0" borderId="52" xfId="0" applyFont="1" applyBorder="1"/>
    <xf numFmtId="49" fontId="0" fillId="22" borderId="53" xfId="0" applyNumberFormat="1" applyFill="1" applyBorder="1" applyAlignment="1">
      <alignment horizontal="center" vertical="center" wrapText="1"/>
    </xf>
    <xf numFmtId="0" fontId="46" fillId="23" borderId="54" xfId="0" applyFont="1" applyFill="1" applyBorder="1" applyAlignment="1">
      <alignment horizontal="center" vertical="center"/>
    </xf>
    <xf numFmtId="49" fontId="0" fillId="0" borderId="55" xfId="0" applyNumberFormat="1" applyBorder="1" applyAlignment="1">
      <alignment wrapText="1"/>
    </xf>
    <xf numFmtId="0" fontId="47" fillId="24" borderId="56" xfId="0" applyFont="1" applyFill="1" applyBorder="1"/>
    <xf numFmtId="0" fontId="48" fillId="0" borderId="57" xfId="0" applyFont="1" applyBorder="1"/>
    <xf numFmtId="0" fontId="49" fillId="0" borderId="58" xfId="0" applyFont="1" applyBorder="1" applyAlignment="1">
      <alignment wrapText="1"/>
    </xf>
    <xf numFmtId="0" fontId="50" fillId="25" borderId="59" xfId="0" applyFont="1" applyFill="1" applyBorder="1" applyAlignment="1">
      <alignment vertical="center"/>
    </xf>
    <xf numFmtId="0" fontId="51" fillId="26" borderId="60" xfId="0" applyFont="1" applyFill="1" applyBorder="1" applyAlignment="1">
      <alignment vertical="center"/>
    </xf>
    <xf numFmtId="0" fontId="52" fillId="0" borderId="61" xfId="0" applyFont="1" applyBorder="1" applyAlignment="1">
      <alignment wrapText="1"/>
    </xf>
    <xf numFmtId="0" fontId="53" fillId="0" borderId="62" xfId="0" applyFont="1" applyBorder="1" applyAlignment="1">
      <alignment wrapText="1"/>
    </xf>
    <xf numFmtId="49" fontId="54" fillId="27" borderId="63" xfId="0" applyNumberFormat="1" applyFont="1" applyFill="1" applyBorder="1" applyAlignment="1">
      <alignment horizontal="left" wrapText="1"/>
    </xf>
    <xf numFmtId="49" fontId="55" fillId="0" borderId="64" xfId="0" applyNumberFormat="1" applyFont="1" applyBorder="1" applyAlignment="1">
      <alignment horizontal="center" vertical="center"/>
    </xf>
    <xf numFmtId="0" fontId="56" fillId="0" borderId="65" xfId="0" applyFont="1" applyBorder="1"/>
    <xf numFmtId="0" fontId="57" fillId="0" borderId="66" xfId="0" applyFont="1" applyBorder="1" applyAlignment="1">
      <alignment vertical="center" wrapText="1"/>
    </xf>
    <xf numFmtId="0" fontId="58" fillId="0" borderId="67" xfId="0" applyFont="1" applyBorder="1"/>
    <xf numFmtId="0" fontId="0" fillId="0" borderId="68" xfId="0" applyBorder="1" applyAlignment="1">
      <alignment wrapText="1"/>
    </xf>
    <xf numFmtId="165" fontId="59" fillId="0" borderId="69" xfId="0" applyNumberFormat="1" applyFont="1" applyBorder="1"/>
    <xf numFmtId="49" fontId="60" fillId="28" borderId="70" xfId="0" applyNumberFormat="1" applyFont="1" applyFill="1" applyBorder="1" applyAlignment="1">
      <alignment horizontal="center" vertical="center"/>
    </xf>
    <xf numFmtId="0" fontId="61" fillId="29" borderId="71" xfId="0" applyFont="1" applyFill="1" applyBorder="1" applyAlignment="1">
      <alignment vertical="center" wrapText="1"/>
    </xf>
    <xf numFmtId="0" fontId="62" fillId="0" borderId="72" xfId="0" applyFont="1" applyBorder="1"/>
    <xf numFmtId="0" fontId="0" fillId="30" borderId="73" xfId="0" applyFill="1" applyBorder="1" applyAlignment="1">
      <alignment vertical="center" wrapText="1"/>
    </xf>
    <xf numFmtId="165" fontId="63" fillId="0" borderId="74" xfId="0" applyNumberFormat="1" applyFont="1" applyBorder="1" applyAlignment="1">
      <alignment horizontal="left" wrapText="1"/>
    </xf>
    <xf numFmtId="0" fontId="64" fillId="31" borderId="75" xfId="0" applyFont="1" applyFill="1" applyBorder="1" applyAlignment="1">
      <alignment wrapText="1"/>
    </xf>
    <xf numFmtId="49" fontId="65" fillId="32" borderId="76" xfId="0" applyNumberFormat="1" applyFont="1" applyFill="1" applyBorder="1" applyAlignment="1">
      <alignment horizontal="left" wrapText="1"/>
    </xf>
    <xf numFmtId="0" fontId="66" fillId="0" borderId="77" xfId="0" applyFont="1" applyBorder="1" applyAlignment="1">
      <alignment horizontal="left" wrapText="1"/>
    </xf>
    <xf numFmtId="0" fontId="67" fillId="0" borderId="78" xfId="0" applyFont="1" applyBorder="1" applyAlignment="1">
      <alignment wrapText="1"/>
    </xf>
    <xf numFmtId="0" fontId="68" fillId="0" borderId="79" xfId="0" applyFont="1" applyBorder="1"/>
    <xf numFmtId="49" fontId="69" fillId="0" borderId="80" xfId="0" applyNumberFormat="1" applyFont="1" applyBorder="1" applyAlignment="1">
      <alignment horizontal="left" wrapText="1"/>
    </xf>
    <xf numFmtId="0" fontId="0" fillId="0" borderId="81" xfId="0" applyBorder="1" applyAlignment="1">
      <alignment vertical="center" wrapText="1"/>
    </xf>
    <xf numFmtId="0" fontId="70" fillId="33" borderId="82" xfId="0" applyFont="1" applyFill="1" applyBorder="1" applyAlignment="1">
      <alignment horizontal="left" wrapText="1"/>
    </xf>
    <xf numFmtId="0" fontId="71" fillId="34" borderId="83" xfId="0" applyFont="1" applyFill="1" applyBorder="1" applyAlignment="1">
      <alignment horizontal="left" wrapText="1"/>
    </xf>
    <xf numFmtId="3" fontId="0" fillId="35" borderId="84" xfId="0" applyNumberFormat="1" applyFill="1" applyBorder="1" applyAlignment="1">
      <alignment horizontal="center" vertical="center" wrapText="1"/>
    </xf>
    <xf numFmtId="49" fontId="0" fillId="0" borderId="85" xfId="0" applyNumberFormat="1" applyBorder="1" applyAlignment="1">
      <alignment vertical="center" wrapText="1"/>
    </xf>
    <xf numFmtId="0" fontId="72" fillId="36" borderId="86" xfId="0" applyFont="1" applyFill="1" applyBorder="1" applyAlignment="1">
      <alignment wrapText="1"/>
    </xf>
    <xf numFmtId="49" fontId="73" fillId="37" borderId="87" xfId="0" applyNumberFormat="1" applyFont="1" applyFill="1" applyBorder="1" applyAlignment="1">
      <alignment horizontal="center" vertical="center" wrapText="1"/>
    </xf>
    <xf numFmtId="0" fontId="0" fillId="0" borderId="88" xfId="0" applyBorder="1" applyAlignment="1">
      <alignment wrapText="1"/>
    </xf>
    <xf numFmtId="0" fontId="0" fillId="38" borderId="89" xfId="0" applyFill="1" applyBorder="1" applyAlignment="1">
      <alignment horizontal="left" vertical="center" wrapText="1"/>
    </xf>
    <xf numFmtId="0" fontId="74" fillId="0" borderId="90" xfId="0" applyFont="1" applyBorder="1" applyAlignment="1">
      <alignment horizontal="left" wrapText="1"/>
    </xf>
    <xf numFmtId="165" fontId="75" fillId="0" borderId="91" xfId="0" applyNumberFormat="1" applyFont="1" applyBorder="1"/>
    <xf numFmtId="0" fontId="76" fillId="39" borderId="92" xfId="0" applyFont="1" applyFill="1" applyBorder="1" applyAlignment="1">
      <alignment wrapText="1"/>
    </xf>
    <xf numFmtId="0" fontId="0" fillId="0" borderId="93" xfId="0" applyBorder="1" applyAlignment="1">
      <alignment horizontal="left" vertical="center" wrapText="1"/>
    </xf>
    <xf numFmtId="49" fontId="0" fillId="40" borderId="94" xfId="0" applyNumberFormat="1" applyFill="1" applyBorder="1" applyAlignment="1">
      <alignment horizontal="center" vertical="center" wrapText="1"/>
    </xf>
    <xf numFmtId="0" fontId="77" fillId="0" borderId="95" xfId="0" applyFont="1" applyBorder="1" applyAlignment="1">
      <alignment vertical="center"/>
    </xf>
    <xf numFmtId="0" fontId="78" fillId="0" borderId="96" xfId="0" applyFont="1" applyBorder="1" applyAlignment="1">
      <alignment vertical="center"/>
    </xf>
    <xf numFmtId="0" fontId="79" fillId="0" borderId="97" xfId="0" applyFont="1" applyBorder="1" applyAlignment="1">
      <alignment horizontal="right" wrapText="1"/>
    </xf>
    <xf numFmtId="0" fontId="80" fillId="41" borderId="98" xfId="0" applyFont="1" applyFill="1" applyBorder="1" applyAlignment="1">
      <alignment horizontal="center" vertical="center"/>
    </xf>
    <xf numFmtId="0" fontId="0" fillId="42" borderId="99" xfId="0" applyFill="1" applyBorder="1" applyAlignment="1">
      <alignment horizontal="left" vertical="center" wrapText="1"/>
    </xf>
    <xf numFmtId="49" fontId="81" fillId="43" borderId="100" xfId="0" applyNumberFormat="1" applyFont="1" applyFill="1" applyBorder="1" applyAlignment="1">
      <alignment horizontal="center" vertical="center"/>
    </xf>
    <xf numFmtId="0" fontId="82" fillId="0" borderId="101" xfId="0" applyFont="1" applyBorder="1"/>
    <xf numFmtId="0" fontId="83" fillId="0" borderId="102" xfId="0" applyFont="1" applyBorder="1" applyAlignment="1">
      <alignment horizontal="right" wrapText="1"/>
    </xf>
    <xf numFmtId="0" fontId="0" fillId="0" borderId="103" xfId="0" applyBorder="1" applyAlignment="1">
      <alignment horizontal="left" vertical="center" wrapText="1"/>
    </xf>
    <xf numFmtId="165" fontId="84" fillId="0" borderId="104" xfId="0" applyNumberFormat="1" applyFont="1" applyBorder="1"/>
    <xf numFmtId="164" fontId="85" fillId="0" borderId="105" xfId="0" applyNumberFormat="1" applyFont="1" applyBorder="1" applyAlignment="1">
      <alignment horizontal="left" wrapText="1"/>
    </xf>
    <xf numFmtId="49" fontId="86" fillId="44" borderId="106" xfId="0" applyNumberFormat="1" applyFont="1" applyFill="1" applyBorder="1" applyAlignment="1">
      <alignment horizontal="center" vertical="center"/>
    </xf>
    <xf numFmtId="0" fontId="87" fillId="0" borderId="107" xfId="0" applyFont="1" applyBorder="1"/>
    <xf numFmtId="0" fontId="0" fillId="0" borderId="108" xfId="0" applyBorder="1" applyAlignment="1">
      <alignment wrapText="1"/>
    </xf>
    <xf numFmtId="0" fontId="0" fillId="0" borderId="109" xfId="0" applyBorder="1" applyAlignment="1">
      <alignment vertical="center" wrapText="1"/>
    </xf>
    <xf numFmtId="49" fontId="88" fillId="45" borderId="110" xfId="0" applyNumberFormat="1" applyFont="1" applyFill="1" applyBorder="1" applyAlignment="1">
      <alignment horizontal="center" vertical="center"/>
    </xf>
    <xf numFmtId="165" fontId="89" fillId="0" borderId="111" xfId="0" applyNumberFormat="1" applyFont="1" applyBorder="1" applyAlignment="1">
      <alignment horizontal="left" wrapText="1"/>
    </xf>
    <xf numFmtId="0" fontId="90" fillId="0" borderId="112" xfId="0" applyFont="1" applyBorder="1"/>
    <xf numFmtId="0" fontId="91" fillId="0" borderId="113" xfId="0" applyFont="1" applyBorder="1"/>
    <xf numFmtId="165" fontId="92" fillId="0" borderId="114" xfId="0" applyNumberFormat="1" applyFont="1" applyBorder="1" applyAlignment="1">
      <alignment wrapText="1"/>
    </xf>
    <xf numFmtId="165" fontId="0" fillId="0" borderId="115" xfId="0" applyNumberFormat="1" applyBorder="1" applyAlignment="1">
      <alignment wrapText="1"/>
    </xf>
    <xf numFmtId="0" fontId="93" fillId="46" borderId="116" xfId="0" applyFont="1" applyFill="1" applyBorder="1" applyAlignment="1">
      <alignment horizontal="center" vertical="center"/>
    </xf>
    <xf numFmtId="0" fontId="94" fillId="0" borderId="117" xfId="0" applyFont="1" applyBorder="1" applyAlignment="1">
      <alignment wrapText="1"/>
    </xf>
    <xf numFmtId="165" fontId="95" fillId="0" borderId="118" xfId="0" applyNumberFormat="1" applyFont="1" applyBorder="1"/>
    <xf numFmtId="49" fontId="96" fillId="0" borderId="119" xfId="0" applyNumberFormat="1" applyFont="1" applyBorder="1" applyAlignment="1">
      <alignment horizontal="left" wrapText="1"/>
    </xf>
    <xf numFmtId="49" fontId="97" fillId="0" borderId="120" xfId="0" applyNumberFormat="1" applyFont="1" applyBorder="1"/>
    <xf numFmtId="0" fontId="98" fillId="47" borderId="121" xfId="0" applyFont="1" applyFill="1" applyBorder="1" applyAlignment="1">
      <alignment horizontal="center" vertical="center" wrapText="1"/>
    </xf>
    <xf numFmtId="0" fontId="99" fillId="0" borderId="122" xfId="0" applyFont="1" applyBorder="1" applyAlignment="1">
      <alignment horizontal="center" vertical="center"/>
    </xf>
    <xf numFmtId="49" fontId="100" fillId="0" borderId="123" xfId="0" applyNumberFormat="1" applyFont="1" applyBorder="1" applyAlignment="1">
      <alignment horizontal="left" wrapText="1"/>
    </xf>
    <xf numFmtId="49" fontId="101" fillId="48" borderId="124" xfId="0" applyNumberFormat="1" applyFont="1" applyFill="1" applyBorder="1" applyAlignment="1">
      <alignment horizontal="center"/>
    </xf>
    <xf numFmtId="0" fontId="102" fillId="0" borderId="125" xfId="0" applyFont="1" applyBorder="1"/>
    <xf numFmtId="0" fontId="0" fillId="49" borderId="126" xfId="0" applyFill="1" applyBorder="1" applyAlignment="1">
      <alignment horizontal="left" vertical="center" wrapText="1"/>
    </xf>
    <xf numFmtId="49" fontId="103" fillId="50" borderId="0" xfId="0" applyNumberFormat="1" applyFont="1" applyFill="1" applyAlignment="1">
      <alignment horizontal="center" vertical="center"/>
    </xf>
    <xf numFmtId="0" fontId="104" fillId="0" borderId="0" xfId="0" applyFont="1" applyAlignment="1">
      <alignment wrapText="1"/>
    </xf>
    <xf numFmtId="0" fontId="0" fillId="51" borderId="127" xfId="0" applyFill="1" applyBorder="1" applyAlignment="1">
      <alignment vertical="center" wrapText="1"/>
    </xf>
    <xf numFmtId="0" fontId="105" fillId="0" borderId="128" xfId="0" applyFont="1" applyBorder="1" applyAlignment="1">
      <alignment wrapText="1"/>
    </xf>
    <xf numFmtId="0" fontId="106" fillId="52" borderId="129" xfId="0" applyFont="1" applyFill="1" applyBorder="1" applyAlignment="1">
      <alignment vertical="center"/>
    </xf>
    <xf numFmtId="0" fontId="107" fillId="0" borderId="130" xfId="0" applyFont="1" applyBorder="1" applyAlignment="1">
      <alignment wrapText="1"/>
    </xf>
    <xf numFmtId="0" fontId="108" fillId="53" borderId="131" xfId="0" applyFont="1" applyFill="1" applyBorder="1" applyAlignment="1">
      <alignment vertical="center" wrapText="1"/>
    </xf>
    <xf numFmtId="165" fontId="109" fillId="0" borderId="132" xfId="0" applyNumberFormat="1" applyFont="1" applyBorder="1" applyAlignment="1">
      <alignment horizontal="left" wrapText="1"/>
    </xf>
    <xf numFmtId="0" fontId="110" fillId="54" borderId="133" xfId="0" applyFont="1" applyFill="1" applyBorder="1" applyAlignment="1">
      <alignment vertical="center"/>
    </xf>
    <xf numFmtId="165" fontId="111" fillId="0" borderId="134" xfId="0" applyNumberFormat="1" applyFont="1" applyBorder="1" applyAlignment="1">
      <alignment horizontal="right" wrapText="1"/>
    </xf>
    <xf numFmtId="0" fontId="112" fillId="55" borderId="135" xfId="0" applyFont="1" applyFill="1" applyBorder="1" applyAlignment="1">
      <alignment horizontal="center" vertical="center"/>
    </xf>
    <xf numFmtId="0" fontId="113" fillId="56" borderId="136" xfId="0" applyFont="1" applyFill="1" applyBorder="1" applyAlignment="1">
      <alignment horizontal="center" vertical="center" wrapText="1"/>
    </xf>
    <xf numFmtId="49" fontId="114" fillId="57" borderId="137" xfId="0" applyNumberFormat="1" applyFont="1" applyFill="1" applyBorder="1" applyAlignment="1">
      <alignment horizontal="center" vertical="center" wrapText="1"/>
    </xf>
    <xf numFmtId="49" fontId="115" fillId="58" borderId="138" xfId="0" applyNumberFormat="1" applyFont="1" applyFill="1" applyBorder="1" applyAlignment="1">
      <alignment horizontal="center" vertical="center" wrapText="1"/>
    </xf>
    <xf numFmtId="0" fontId="0" fillId="0" borderId="139" xfId="0" applyBorder="1" applyAlignment="1">
      <alignment wrapText="1"/>
    </xf>
    <xf numFmtId="0" fontId="0" fillId="59" borderId="140" xfId="0" applyFill="1" applyBorder="1" applyAlignment="1">
      <alignment horizontal="center" vertical="center" wrapText="1"/>
    </xf>
    <xf numFmtId="49" fontId="116" fillId="0" borderId="141" xfId="0" applyNumberFormat="1" applyFont="1" applyBorder="1" applyAlignment="1">
      <alignment wrapText="1"/>
    </xf>
    <xf numFmtId="0" fontId="117" fillId="0" borderId="0" xfId="0" applyFont="1"/>
    <xf numFmtId="0" fontId="118" fillId="0" borderId="142" xfId="0" applyFont="1" applyBorder="1" applyAlignment="1">
      <alignment vertical="center" wrapText="1"/>
    </xf>
    <xf numFmtId="49" fontId="119" fillId="0" borderId="143" xfId="0" applyNumberFormat="1" applyFont="1" applyBorder="1" applyAlignment="1">
      <alignment horizontal="center" vertical="center"/>
    </xf>
    <xf numFmtId="0" fontId="120" fillId="60" borderId="144" xfId="0" applyFont="1" applyFill="1" applyBorder="1" applyAlignment="1">
      <alignment horizontal="center" vertical="center"/>
    </xf>
    <xf numFmtId="49" fontId="121" fillId="61" borderId="145" xfId="0" applyNumberFormat="1" applyFont="1" applyFill="1" applyBorder="1" applyAlignment="1">
      <alignment horizontal="center" vertical="center"/>
    </xf>
    <xf numFmtId="0" fontId="122" fillId="0" borderId="146" xfId="0" applyFont="1" applyBorder="1" applyAlignment="1">
      <alignment horizontal="left" wrapText="1"/>
    </xf>
    <xf numFmtId="164" fontId="123" fillId="0" borderId="147" xfId="0" applyNumberFormat="1" applyFont="1" applyBorder="1" applyAlignment="1">
      <alignment horizontal="left" wrapText="1"/>
    </xf>
    <xf numFmtId="0" fontId="124" fillId="62" borderId="148" xfId="0" applyFont="1" applyFill="1" applyBorder="1" applyAlignment="1">
      <alignment wrapText="1"/>
    </xf>
    <xf numFmtId="49" fontId="125" fillId="0" borderId="149" xfId="0" applyNumberFormat="1" applyFont="1" applyBorder="1" applyAlignment="1">
      <alignment horizontal="left" wrapText="1"/>
    </xf>
    <xf numFmtId="0" fontId="0" fillId="63" borderId="150" xfId="0" applyFill="1" applyBorder="1" applyAlignment="1">
      <alignment vertical="center" wrapText="1"/>
    </xf>
    <xf numFmtId="0" fontId="126" fillId="0" borderId="151" xfId="0" applyFont="1" applyBorder="1"/>
    <xf numFmtId="0" fontId="127" fillId="0" borderId="152" xfId="0" applyFont="1" applyBorder="1" applyAlignment="1">
      <alignment horizontal="left" wrapText="1"/>
    </xf>
    <xf numFmtId="0" fontId="128" fillId="0" borderId="153" xfId="0" applyFont="1" applyBorder="1" applyAlignment="1">
      <alignment vertical="center"/>
    </xf>
    <xf numFmtId="0" fontId="129" fillId="0" borderId="154" xfId="0" applyFont="1" applyBorder="1"/>
    <xf numFmtId="0" fontId="130" fillId="0" borderId="0" xfId="0" applyFont="1"/>
    <xf numFmtId="49" fontId="0" fillId="64" borderId="155" xfId="0" applyNumberFormat="1" applyFill="1" applyBorder="1" applyAlignment="1">
      <alignment horizontal="center" vertical="center" wrapText="1"/>
    </xf>
    <xf numFmtId="165" fontId="131" fillId="0" borderId="156" xfId="0" applyNumberFormat="1" applyFont="1" applyBorder="1" applyAlignment="1">
      <alignment vertical="center"/>
    </xf>
    <xf numFmtId="0" fontId="0" fillId="0" borderId="157" xfId="0" applyBorder="1" applyAlignment="1">
      <alignment wrapText="1"/>
    </xf>
    <xf numFmtId="0" fontId="132" fillId="0" borderId="158" xfId="0" applyFont="1" applyBorder="1" applyAlignment="1">
      <alignment wrapText="1"/>
    </xf>
    <xf numFmtId="49" fontId="133" fillId="65" borderId="159" xfId="0" applyNumberFormat="1" applyFont="1" applyFill="1" applyBorder="1" applyAlignment="1">
      <alignment horizontal="center" vertical="center"/>
    </xf>
    <xf numFmtId="0" fontId="134" fillId="66" borderId="160" xfId="0" applyFont="1" applyFill="1" applyBorder="1" applyAlignment="1">
      <alignment vertical="center"/>
    </xf>
    <xf numFmtId="49" fontId="135" fillId="0" borderId="161" xfId="0" applyNumberFormat="1" applyFont="1" applyBorder="1"/>
    <xf numFmtId="165" fontId="136" fillId="67" borderId="162" xfId="0" applyNumberFormat="1" applyFont="1" applyFill="1" applyBorder="1" applyAlignment="1">
      <alignment horizontal="left" wrapText="1"/>
    </xf>
    <xf numFmtId="49" fontId="137" fillId="68" borderId="0" xfId="0" applyNumberFormat="1" applyFont="1" applyFill="1" applyAlignment="1">
      <alignment horizontal="center" vertical="center"/>
    </xf>
    <xf numFmtId="0" fontId="138" fillId="0" borderId="163" xfId="0" applyFont="1" applyBorder="1" applyAlignment="1">
      <alignment vertical="center" wrapText="1"/>
    </xf>
    <xf numFmtId="49" fontId="139" fillId="0" borderId="164" xfId="0" applyNumberFormat="1" applyFont="1" applyBorder="1" applyAlignment="1">
      <alignment horizontal="left" wrapText="1"/>
    </xf>
    <xf numFmtId="0" fontId="0" fillId="0" borderId="165" xfId="0" applyBorder="1" applyAlignment="1">
      <alignment wrapText="1"/>
    </xf>
    <xf numFmtId="0" fontId="140" fillId="0" borderId="166" xfId="0" applyFont="1" applyBorder="1" applyAlignment="1">
      <alignment horizontal="center"/>
    </xf>
    <xf numFmtId="0" fontId="141" fillId="69" borderId="167" xfId="0" applyFont="1" applyFill="1" applyBorder="1" applyAlignment="1">
      <alignment vertical="center"/>
    </xf>
    <xf numFmtId="0" fontId="142" fillId="0" borderId="168" xfId="0" applyFont="1" applyBorder="1" applyAlignment="1">
      <alignment vertical="center" wrapText="1"/>
    </xf>
    <xf numFmtId="0" fontId="143" fillId="0" borderId="169" xfId="0" applyFont="1" applyBorder="1" applyAlignment="1">
      <alignment horizontal="left"/>
    </xf>
    <xf numFmtId="0" fontId="0" fillId="70" borderId="170" xfId="0" applyFill="1" applyBorder="1" applyAlignment="1">
      <alignment wrapText="1"/>
    </xf>
    <xf numFmtId="164" fontId="144" fillId="71" borderId="171" xfId="0" applyNumberFormat="1" applyFont="1" applyFill="1" applyBorder="1" applyAlignment="1">
      <alignment horizontal="center" vertical="center" wrapText="1"/>
    </xf>
    <xf numFmtId="0" fontId="145" fillId="0" borderId="172" xfId="0" applyFont="1" applyBorder="1" applyAlignment="1">
      <alignment horizontal="center"/>
    </xf>
    <xf numFmtId="0" fontId="146" fillId="0" borderId="173" xfId="0" applyFont="1" applyBorder="1" applyAlignment="1">
      <alignment horizontal="center" vertical="center" wrapText="1"/>
    </xf>
    <xf numFmtId="0" fontId="147" fillId="72" borderId="174" xfId="0" applyFont="1" applyFill="1" applyBorder="1" applyAlignment="1">
      <alignment horizontal="center" vertical="center"/>
    </xf>
    <xf numFmtId="0" fontId="148" fillId="0" borderId="175" xfId="0" applyFont="1" applyBorder="1"/>
    <xf numFmtId="0" fontId="0" fillId="73" borderId="176" xfId="0" applyFill="1" applyBorder="1" applyAlignment="1">
      <alignment wrapText="1"/>
    </xf>
    <xf numFmtId="0" fontId="149" fillId="0" borderId="177" xfId="0" applyFont="1" applyBorder="1" applyAlignment="1">
      <alignment vertical="center"/>
    </xf>
    <xf numFmtId="0" fontId="150" fillId="0" borderId="178" xfId="0" applyFont="1" applyBorder="1"/>
    <xf numFmtId="0" fontId="0" fillId="74" borderId="179" xfId="0" applyFill="1" applyBorder="1" applyAlignment="1">
      <alignment horizontal="center" vertical="center" wrapText="1"/>
    </xf>
    <xf numFmtId="0" fontId="151" fillId="75" borderId="0" xfId="0" applyFont="1" applyFill="1" applyAlignment="1">
      <alignment horizontal="center" vertical="center" wrapText="1"/>
    </xf>
    <xf numFmtId="165" fontId="152" fillId="0" borderId="180" xfId="0" applyNumberFormat="1" applyFont="1" applyBorder="1" applyAlignment="1">
      <alignment horizontal="right" wrapText="1"/>
    </xf>
    <xf numFmtId="0" fontId="0" fillId="76" borderId="181" xfId="0" applyFill="1" applyBorder="1" applyAlignment="1">
      <alignment horizontal="center" vertical="center" wrapText="1"/>
    </xf>
    <xf numFmtId="0" fontId="153" fillId="0" borderId="182" xfId="0" applyFont="1" applyBorder="1"/>
    <xf numFmtId="0" fontId="154" fillId="0" borderId="183" xfId="0" applyFont="1" applyBorder="1" applyAlignment="1">
      <alignment horizontal="center" vertical="center"/>
    </xf>
    <xf numFmtId="0" fontId="155" fillId="0" borderId="184" xfId="0" applyFont="1" applyBorder="1"/>
    <xf numFmtId="0" fontId="156" fillId="0" borderId="185" xfId="0" applyFont="1" applyBorder="1" applyAlignment="1">
      <alignment vertical="center" wrapText="1"/>
    </xf>
    <xf numFmtId="0" fontId="157" fillId="0" borderId="186" xfId="0" applyFont="1" applyBorder="1"/>
    <xf numFmtId="165" fontId="158" fillId="0" borderId="0" xfId="0" applyNumberFormat="1" applyFont="1"/>
    <xf numFmtId="0" fontId="0" fillId="0" borderId="50" xfId="0" applyFont="1" applyBorder="1" applyAlignment="1">
      <alignment horizontal="left" wrapText="1"/>
    </xf>
    <xf numFmtId="0" fontId="0" fillId="0" borderId="61" xfId="0" applyFont="1" applyBorder="1" applyAlignment="1">
      <alignment wrapText="1"/>
    </xf>
    <xf numFmtId="0" fontId="159" fillId="34" borderId="83" xfId="0" applyFont="1" applyFill="1" applyBorder="1" applyAlignment="1">
      <alignment horizontal="left" wrapText="1"/>
    </xf>
    <xf numFmtId="0" fontId="159" fillId="31" borderId="75" xfId="0" applyFont="1" applyFill="1" applyBorder="1" applyAlignment="1">
      <alignment wrapText="1"/>
    </xf>
    <xf numFmtId="0" fontId="159" fillId="0" borderId="61" xfId="0" applyFont="1" applyBorder="1" applyAlignment="1">
      <alignment wrapText="1"/>
    </xf>
    <xf numFmtId="0" fontId="159" fillId="0" borderId="151" xfId="0" applyFont="1" applyBorder="1"/>
    <xf numFmtId="49" fontId="159" fillId="0" borderId="141" xfId="0" applyNumberFormat="1" applyFont="1" applyBorder="1" applyAlignment="1">
      <alignment wrapText="1"/>
    </xf>
    <xf numFmtId="165" fontId="159" fillId="0" borderId="28" xfId="0" applyNumberFormat="1" applyFont="1" applyBorder="1" applyAlignment="1">
      <alignment wrapText="1"/>
    </xf>
    <xf numFmtId="49" fontId="159" fillId="0" borderId="119" xfId="0" applyNumberFormat="1" applyFont="1" applyBorder="1" applyAlignment="1">
      <alignment horizontal="left" wrapText="1"/>
    </xf>
    <xf numFmtId="49" fontId="159" fillId="0" borderId="120" xfId="0" applyNumberFormat="1" applyFont="1" applyBorder="1"/>
    <xf numFmtId="0" fontId="159" fillId="0" borderId="72" xfId="0" applyFont="1" applyBorder="1"/>
    <xf numFmtId="0" fontId="159" fillId="0" borderId="67" xfId="0" applyFont="1" applyBorder="1"/>
    <xf numFmtId="0" fontId="159" fillId="0" borderId="50" xfId="0" applyFont="1" applyBorder="1" applyAlignment="1">
      <alignment horizontal="left" wrapText="1"/>
    </xf>
    <xf numFmtId="164" fontId="159" fillId="0" borderId="26" xfId="0" applyNumberFormat="1" applyFont="1" applyBorder="1" applyAlignment="1">
      <alignment wrapText="1"/>
    </xf>
    <xf numFmtId="165" fontId="159" fillId="0" borderId="132" xfId="0" applyNumberFormat="1" applyFont="1" applyBorder="1" applyAlignment="1">
      <alignment horizontal="left" wrapText="1"/>
    </xf>
    <xf numFmtId="0" fontId="159" fillId="0" borderId="184" xfId="0" applyFont="1" applyBorder="1"/>
    <xf numFmtId="0" fontId="159" fillId="0" borderId="130" xfId="0" applyFont="1" applyBorder="1" applyAlignment="1">
      <alignment wrapText="1"/>
    </xf>
    <xf numFmtId="0" fontId="159" fillId="0" borderId="22" xfId="0" applyFont="1" applyBorder="1"/>
    <xf numFmtId="0" fontId="159" fillId="0" borderId="0" xfId="0" applyFont="1" applyAlignment="1">
      <alignment wrapText="1"/>
    </xf>
    <xf numFmtId="49" fontId="0" fillId="0" borderId="119" xfId="0" applyNumberFormat="1" applyFont="1" applyBorder="1" applyAlignment="1">
      <alignment horizontal="left" wrapText="1"/>
    </xf>
    <xf numFmtId="0" fontId="0" fillId="0" borderId="0" xfId="0" applyAlignment="1">
      <alignment wrapText="1"/>
    </xf>
  </cellXfs>
  <cellStyles count="1">
    <cellStyle name="Normal"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638175</xdr:colOff>
      <xdr:row>27</xdr:row>
      <xdr:rowOff>85725</xdr:rowOff>
    </xdr:to>
    <xdr:sp macro="" textlink="">
      <xdr:nvSpPr>
        <xdr:cNvPr id="1077" name="Rectangle 5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2" name="AutoShape 53"/>
        <xdr:cNvSpPr>
          <a:spLocks noChangeArrowheads="1"/>
        </xdr:cNvSpPr>
      </xdr:nvSpPr>
      <xdr:spPr bwMode="auto">
        <a:xfrm>
          <a:off x="0" y="0"/>
          <a:ext cx="9525000" cy="4114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3" name="AutoShape 53"/>
        <xdr:cNvSpPr>
          <a:spLocks noChangeArrowheads="1"/>
        </xdr:cNvSpPr>
      </xdr:nvSpPr>
      <xdr:spPr bwMode="auto">
        <a:xfrm>
          <a:off x="0" y="0"/>
          <a:ext cx="9525000" cy="41148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4" name="AutoShape 53"/>
        <xdr:cNvSpPr>
          <a:spLocks noChangeArrowheads="1"/>
        </xdr:cNvSpPr>
      </xdr:nvSpPr>
      <xdr:spPr bwMode="auto">
        <a:xfrm>
          <a:off x="0" y="0"/>
          <a:ext cx="9525000" cy="4114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5" name="AutoShape 53"/>
        <xdr:cNvSpPr>
          <a:spLocks noChangeArrowheads="1"/>
        </xdr:cNvSpPr>
      </xdr:nvSpPr>
      <xdr:spPr bwMode="auto">
        <a:xfrm>
          <a:off x="0" y="0"/>
          <a:ext cx="9525000" cy="14382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6" name="AutoShape 53"/>
        <xdr:cNvSpPr>
          <a:spLocks noChangeArrowheads="1"/>
        </xdr:cNvSpPr>
      </xdr:nvSpPr>
      <xdr:spPr bwMode="auto">
        <a:xfrm>
          <a:off x="0" y="0"/>
          <a:ext cx="9525000" cy="952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7" name="AutoShape 53"/>
        <xdr:cNvSpPr>
          <a:spLocks noChangeArrowheads="1"/>
        </xdr:cNvSpPr>
      </xdr:nvSpPr>
      <xdr:spPr bwMode="auto">
        <a:xfrm>
          <a:off x="0" y="0"/>
          <a:ext cx="9525000" cy="45624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638175</xdr:colOff>
      <xdr:row>27</xdr:row>
      <xdr:rowOff>85725</xdr:rowOff>
    </xdr:to>
    <xdr:sp macro="" textlink="">
      <xdr:nvSpPr>
        <xdr:cNvPr id="8" name="AutoShape 53"/>
        <xdr:cNvSpPr>
          <a:spLocks noChangeArrowheads="1"/>
        </xdr:cNvSpPr>
      </xdr:nvSpPr>
      <xdr:spPr bwMode="auto">
        <a:xfrm>
          <a:off x="0" y="0"/>
          <a:ext cx="9525000" cy="9525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V823"/>
  <sheetViews>
    <sheetView workbookViewId="0">
      <pane xSplit="4" ySplit="2" topLeftCell="E3" activePane="bottomRight" state="frozen"/>
      <selection pane="topRight" activeCell="E1" sqref="E1"/>
      <selection pane="bottomLeft" activeCell="A3" sqref="A3"/>
      <selection pane="bottomRight" activeCell="Y150" sqref="Y150"/>
    </sheetView>
  </sheetViews>
  <sheetFormatPr defaultColWidth="9.140625" defaultRowHeight="15.75" customHeight="1" x14ac:dyDescent="0.2"/>
  <cols>
    <col min="1" max="1" width="9.85546875" style="79" customWidth="1"/>
    <col min="2" max="2" width="17.5703125" style="79" customWidth="1"/>
    <col min="3" max="3" width="9.5703125" style="79" customWidth="1"/>
    <col min="4" max="4" width="11.42578125" customWidth="1"/>
    <col min="5" max="5" width="14.42578125" style="65" customWidth="1"/>
    <col min="6" max="6" width="15.42578125" style="65" customWidth="1"/>
    <col min="7" max="7" width="11.85546875" style="65" customWidth="1"/>
    <col min="8" max="8" width="12.5703125" style="65" customWidth="1"/>
    <col min="9" max="9" width="15.42578125" style="65" customWidth="1"/>
    <col min="10" max="10" width="15.140625" style="65" customWidth="1"/>
    <col min="11" max="11" width="14.140625" style="65" customWidth="1"/>
    <col min="12" max="12" width="12.42578125" style="65" customWidth="1"/>
    <col min="13" max="13" width="44" style="65" customWidth="1"/>
    <col min="14" max="14" width="21.85546875" style="65" customWidth="1"/>
    <col min="15" max="15" width="9" style="65" customWidth="1"/>
    <col min="16" max="16" width="24.5703125" style="65" customWidth="1"/>
    <col min="17" max="17" width="15.28515625" style="65" customWidth="1"/>
    <col min="18" max="18" width="25.5703125" style="65" customWidth="1"/>
    <col min="19" max="19" width="30.5703125" style="65" customWidth="1"/>
    <col min="20" max="20" width="56.28515625" style="65" customWidth="1"/>
    <col min="21" max="21" width="23.28515625" style="65" customWidth="1"/>
    <col min="22" max="22" width="16.42578125" style="65" customWidth="1"/>
    <col min="23" max="23" width="21.140625" style="65" customWidth="1"/>
    <col min="24" max="24" width="13.7109375" style="65" customWidth="1"/>
    <col min="25" max="25" width="12.140625" style="65" customWidth="1"/>
    <col min="26" max="26" width="8.85546875" style="65" customWidth="1"/>
    <col min="27" max="27" width="12.85546875" style="65" customWidth="1"/>
    <col min="28" max="28" width="4.7109375" style="65" customWidth="1"/>
    <col min="29" max="29" width="7.42578125" style="65" customWidth="1"/>
    <col min="30" max="30" width="12" style="65" customWidth="1"/>
    <col min="31" max="31" width="11.7109375" style="27" customWidth="1"/>
    <col min="32" max="32" width="14.42578125" style="65" customWidth="1"/>
    <col min="33" max="33" width="16.140625" style="65" customWidth="1"/>
    <col min="34" max="34" width="8" style="65" customWidth="1"/>
    <col min="36" max="36" width="12.28515625" style="65" customWidth="1"/>
    <col min="37" max="37" width="8.7109375" style="65" customWidth="1"/>
    <col min="38" max="38" width="11.85546875" style="65" customWidth="1"/>
    <col min="39" max="39" width="17.85546875" style="65" customWidth="1"/>
    <col min="40" max="41" width="16.5703125" style="65" customWidth="1"/>
    <col min="42" max="42" width="11.5703125" style="65" customWidth="1"/>
    <col min="43" max="43" width="16.28515625" style="65" customWidth="1"/>
    <col min="44" max="44" width="8.140625" style="65" customWidth="1"/>
    <col min="45" max="45" width="17" style="65" customWidth="1"/>
    <col min="46" max="46" width="11.5703125" style="65" customWidth="1"/>
    <col min="47" max="47" width="9.140625" style="65" customWidth="1"/>
    <col min="48" max="48" width="8.42578125" style="65"/>
  </cols>
  <sheetData>
    <row r="1" spans="1:48" s="96" customFormat="1" ht="15" x14ac:dyDescent="0.2">
      <c r="A1" s="34">
        <v>1</v>
      </c>
      <c r="B1" s="34">
        <v>2</v>
      </c>
      <c r="C1" s="34" t="s">
        <v>0</v>
      </c>
      <c r="D1" s="34">
        <v>4</v>
      </c>
      <c r="E1" s="34">
        <v>5</v>
      </c>
      <c r="F1" s="34">
        <v>6</v>
      </c>
      <c r="G1" s="34">
        <v>7</v>
      </c>
      <c r="H1" s="34">
        <v>8</v>
      </c>
      <c r="I1" s="34">
        <v>9</v>
      </c>
      <c r="J1" s="34">
        <v>10</v>
      </c>
      <c r="K1" s="34">
        <v>11</v>
      </c>
      <c r="L1" s="34">
        <v>12</v>
      </c>
      <c r="M1" s="34">
        <v>13</v>
      </c>
      <c r="N1" s="34">
        <v>14</v>
      </c>
      <c r="O1" s="34">
        <v>15</v>
      </c>
      <c r="P1" s="34">
        <v>16</v>
      </c>
      <c r="Q1" s="34">
        <v>17</v>
      </c>
      <c r="R1" s="34">
        <v>18</v>
      </c>
      <c r="S1" s="34">
        <v>19</v>
      </c>
      <c r="T1" s="34">
        <v>20</v>
      </c>
      <c r="U1" s="34">
        <v>21</v>
      </c>
      <c r="V1" s="34">
        <v>22</v>
      </c>
      <c r="W1" s="34">
        <v>23</v>
      </c>
      <c r="X1" s="34">
        <v>24</v>
      </c>
      <c r="Y1" s="34">
        <v>25</v>
      </c>
      <c r="Z1" s="34">
        <v>26</v>
      </c>
      <c r="AA1" s="34">
        <v>27</v>
      </c>
      <c r="AB1" s="34">
        <v>28</v>
      </c>
      <c r="AC1" s="34">
        <v>29</v>
      </c>
      <c r="AD1" s="34">
        <v>30</v>
      </c>
      <c r="AE1" s="34">
        <v>31</v>
      </c>
      <c r="AF1" s="34">
        <v>32</v>
      </c>
      <c r="AG1" s="34">
        <v>33</v>
      </c>
      <c r="AH1" s="34">
        <v>34</v>
      </c>
      <c r="AI1" s="34"/>
      <c r="AJ1" s="34">
        <v>35</v>
      </c>
      <c r="AK1" s="34">
        <v>36</v>
      </c>
      <c r="AL1" s="34">
        <v>37</v>
      </c>
      <c r="AM1" s="34">
        <v>38</v>
      </c>
      <c r="AN1" s="34">
        <v>39</v>
      </c>
      <c r="AO1" s="34">
        <v>40</v>
      </c>
      <c r="AP1" s="34">
        <v>41</v>
      </c>
      <c r="AQ1" s="34">
        <v>42</v>
      </c>
      <c r="AR1" s="34">
        <v>43</v>
      </c>
      <c r="AS1" s="34">
        <v>44</v>
      </c>
      <c r="AT1" s="34">
        <v>45</v>
      </c>
      <c r="AU1" s="34">
        <v>46</v>
      </c>
      <c r="AV1" s="34">
        <v>47</v>
      </c>
    </row>
    <row r="2" spans="1:48" s="96" customFormat="1" ht="60" customHeight="1" x14ac:dyDescent="0.2">
      <c r="A2" s="34" t="s">
        <v>1</v>
      </c>
      <c r="B2" s="34" t="s">
        <v>2</v>
      </c>
      <c r="C2" s="34" t="s">
        <v>3</v>
      </c>
      <c r="D2" s="34" t="s">
        <v>4</v>
      </c>
      <c r="E2" s="34" t="s">
        <v>5</v>
      </c>
      <c r="F2" s="34" t="s">
        <v>6</v>
      </c>
      <c r="G2" s="34" t="s">
        <v>7</v>
      </c>
      <c r="H2" s="34" t="s">
        <v>8</v>
      </c>
      <c r="I2" s="34" t="s">
        <v>9</v>
      </c>
      <c r="J2" s="34" t="s">
        <v>10</v>
      </c>
      <c r="K2" s="34" t="s">
        <v>11</v>
      </c>
      <c r="L2" s="34" t="s">
        <v>12</v>
      </c>
      <c r="M2" s="34" t="s">
        <v>13</v>
      </c>
      <c r="N2" s="34" t="s">
        <v>14</v>
      </c>
      <c r="O2" s="34" t="s">
        <v>15</v>
      </c>
      <c r="P2" s="34" t="s">
        <v>16</v>
      </c>
      <c r="Q2" s="34" t="s">
        <v>17</v>
      </c>
      <c r="R2" s="34" t="s">
        <v>18</v>
      </c>
      <c r="S2" s="34" t="s">
        <v>19</v>
      </c>
      <c r="T2" s="34" t="s">
        <v>20</v>
      </c>
      <c r="U2" s="34" t="s">
        <v>21</v>
      </c>
      <c r="V2" s="34" t="s">
        <v>22</v>
      </c>
      <c r="W2" s="34" t="s">
        <v>23</v>
      </c>
      <c r="X2" s="34" t="s">
        <v>24</v>
      </c>
      <c r="Y2" s="34" t="s">
        <v>25</v>
      </c>
      <c r="Z2" s="34" t="s">
        <v>26</v>
      </c>
      <c r="AA2" s="34" t="s">
        <v>27</v>
      </c>
      <c r="AB2" s="34" t="s">
        <v>28</v>
      </c>
      <c r="AC2" s="34" t="s">
        <v>29</v>
      </c>
      <c r="AD2" s="34" t="s">
        <v>30</v>
      </c>
      <c r="AE2" s="180" t="s">
        <v>31</v>
      </c>
      <c r="AF2" s="34" t="s">
        <v>32</v>
      </c>
      <c r="AG2" s="34" t="s">
        <v>33</v>
      </c>
      <c r="AH2" s="34" t="s">
        <v>34</v>
      </c>
      <c r="AI2" s="34" t="s">
        <v>35</v>
      </c>
      <c r="AJ2" s="34" t="s">
        <v>36</v>
      </c>
      <c r="AK2" s="34" t="s">
        <v>37</v>
      </c>
      <c r="AL2" s="34" t="s">
        <v>38</v>
      </c>
      <c r="AM2" s="34" t="s">
        <v>39</v>
      </c>
      <c r="AN2" s="34" t="s">
        <v>40</v>
      </c>
      <c r="AO2" s="34" t="s">
        <v>41</v>
      </c>
      <c r="AP2" s="75" t="s">
        <v>42</v>
      </c>
      <c r="AQ2" s="34" t="s">
        <v>43</v>
      </c>
      <c r="AR2" s="137" t="s">
        <v>44</v>
      </c>
      <c r="AS2" s="34" t="s">
        <v>45</v>
      </c>
      <c r="AT2" s="34" t="s">
        <v>46</v>
      </c>
      <c r="AU2" s="34" t="s">
        <v>47</v>
      </c>
      <c r="AV2" s="34" t="s">
        <v>48</v>
      </c>
    </row>
    <row r="3" spans="1:48" s="136" customFormat="1" ht="25.5" hidden="1" x14ac:dyDescent="0.2">
      <c r="A3" s="87">
        <v>10001</v>
      </c>
      <c r="B3" s="80" t="s">
        <v>49</v>
      </c>
      <c r="C3" s="80" t="s">
        <v>50</v>
      </c>
      <c r="D3" s="87"/>
      <c r="E3" s="123" t="s">
        <v>51</v>
      </c>
      <c r="F3" s="140">
        <v>27640</v>
      </c>
      <c r="G3" s="123" t="s">
        <v>52</v>
      </c>
      <c r="H3" s="54" t="s">
        <v>53</v>
      </c>
      <c r="I3" s="123" t="s">
        <v>54</v>
      </c>
      <c r="J3" s="140">
        <v>38070</v>
      </c>
      <c r="K3" s="123" t="s">
        <v>52</v>
      </c>
      <c r="L3" s="123" t="s">
        <v>55</v>
      </c>
      <c r="M3" s="123" t="s">
        <v>56</v>
      </c>
      <c r="N3" s="123"/>
      <c r="O3" s="106"/>
      <c r="P3" s="54" t="s">
        <v>57</v>
      </c>
      <c r="Q3" s="123" t="s">
        <v>58</v>
      </c>
      <c r="R3" s="123" t="s">
        <v>59</v>
      </c>
      <c r="S3" s="123"/>
      <c r="T3" s="54" t="s">
        <v>60</v>
      </c>
      <c r="U3" s="54" t="s">
        <v>61</v>
      </c>
      <c r="V3" s="123"/>
      <c r="W3" s="123"/>
      <c r="X3" s="123"/>
      <c r="Y3" s="123" t="s">
        <v>62</v>
      </c>
      <c r="Z3" s="54"/>
      <c r="AA3" s="54"/>
      <c r="AB3" s="54">
        <v>6</v>
      </c>
      <c r="AC3" s="54" t="s">
        <v>63</v>
      </c>
      <c r="AD3" s="123" t="s">
        <v>64</v>
      </c>
      <c r="AE3" s="54"/>
      <c r="AF3" s="54" t="s">
        <v>65</v>
      </c>
      <c r="AG3" s="140">
        <v>39532</v>
      </c>
      <c r="AH3" s="65">
        <f t="shared" ref="AH3:AH66" si="0">IF((AG3=""),"",MONTH(AG3))</f>
        <v>3</v>
      </c>
      <c r="AI3" s="65"/>
      <c r="AJ3" s="140">
        <v>39532</v>
      </c>
      <c r="AK3" s="65">
        <f t="shared" ref="AK3:AK66" si="1">IF((AJ3=""),"",MONTH(AJ3))</f>
        <v>3</v>
      </c>
      <c r="AL3" s="54" t="s">
        <v>66</v>
      </c>
      <c r="AM3" s="138"/>
      <c r="AN3" s="138"/>
      <c r="AO3" s="140"/>
      <c r="AP3" s="65" t="str">
        <f t="shared" ref="AP3:AP28" si="2">IF((AO3=""),"",MONTH(AO3))</f>
        <v/>
      </c>
      <c r="AQ3" s="123"/>
      <c r="AR3" s="23"/>
      <c r="AS3" s="54" t="s">
        <v>67</v>
      </c>
      <c r="AT3" s="184"/>
      <c r="AU3" s="70">
        <f t="shared" ref="AU3:AU34" si="3">IF((F3=""),"",MONTH(F3))</f>
        <v>9</v>
      </c>
      <c r="AV3" s="70" t="s">
        <v>68</v>
      </c>
    </row>
    <row r="4" spans="1:48" s="136" customFormat="1" ht="25.5" hidden="1" x14ac:dyDescent="0.2">
      <c r="A4" s="86">
        <v>10002</v>
      </c>
      <c r="B4" s="3" t="s">
        <v>69</v>
      </c>
      <c r="C4" s="3" t="s">
        <v>70</v>
      </c>
      <c r="D4" s="86"/>
      <c r="E4" s="36" t="s">
        <v>51</v>
      </c>
      <c r="F4" s="48">
        <v>27341</v>
      </c>
      <c r="G4" s="36" t="s">
        <v>71</v>
      </c>
      <c r="H4" s="81" t="s">
        <v>72</v>
      </c>
      <c r="I4" s="36" t="s">
        <v>73</v>
      </c>
      <c r="J4" s="48">
        <v>38898</v>
      </c>
      <c r="K4" s="36" t="s">
        <v>52</v>
      </c>
      <c r="L4" s="36" t="s">
        <v>55</v>
      </c>
      <c r="M4" s="36" t="s">
        <v>56</v>
      </c>
      <c r="N4" s="36"/>
      <c r="O4" s="101"/>
      <c r="P4" s="81" t="s">
        <v>74</v>
      </c>
      <c r="Q4" s="36" t="s">
        <v>75</v>
      </c>
      <c r="R4" s="36" t="s">
        <v>76</v>
      </c>
      <c r="S4" s="36"/>
      <c r="T4" s="81" t="s">
        <v>77</v>
      </c>
      <c r="U4" s="81" t="s">
        <v>78</v>
      </c>
      <c r="V4" s="36"/>
      <c r="W4" s="36"/>
      <c r="X4" s="36"/>
      <c r="Y4" s="36" t="s">
        <v>79</v>
      </c>
      <c r="Z4" s="81"/>
      <c r="AA4" s="54"/>
      <c r="AB4" s="81" t="s">
        <v>80</v>
      </c>
      <c r="AC4" s="81" t="s">
        <v>63</v>
      </c>
      <c r="AD4" s="36" t="s">
        <v>81</v>
      </c>
      <c r="AE4" s="81"/>
      <c r="AF4" s="81" t="s">
        <v>65</v>
      </c>
      <c r="AG4" s="48">
        <v>39532</v>
      </c>
      <c r="AH4" s="134">
        <f t="shared" si="0"/>
        <v>3</v>
      </c>
      <c r="AI4" s="134"/>
      <c r="AJ4" s="48">
        <v>39532</v>
      </c>
      <c r="AK4" s="134">
        <f t="shared" si="1"/>
        <v>3</v>
      </c>
      <c r="AL4" s="54" t="s">
        <v>82</v>
      </c>
      <c r="AM4" s="138"/>
      <c r="AN4" s="138"/>
      <c r="AO4" s="140"/>
      <c r="AP4" s="65" t="str">
        <f t="shared" si="2"/>
        <v/>
      </c>
      <c r="AQ4" s="123"/>
      <c r="AR4" s="23"/>
      <c r="AS4" s="54" t="s">
        <v>67</v>
      </c>
      <c r="AT4" s="194"/>
      <c r="AU4" s="70">
        <f t="shared" si="3"/>
        <v>11</v>
      </c>
      <c r="AV4" s="70" t="s">
        <v>68</v>
      </c>
    </row>
    <row r="5" spans="1:48" ht="25.5" hidden="1" x14ac:dyDescent="0.2">
      <c r="A5" s="87">
        <v>10003</v>
      </c>
      <c r="B5" s="80" t="s">
        <v>83</v>
      </c>
      <c r="C5" s="80" t="s">
        <v>84</v>
      </c>
      <c r="D5" s="87"/>
      <c r="E5" s="123" t="s">
        <v>51</v>
      </c>
      <c r="F5" s="140">
        <v>26470</v>
      </c>
      <c r="G5" s="123" t="s">
        <v>52</v>
      </c>
      <c r="H5" s="54" t="s">
        <v>53</v>
      </c>
      <c r="I5" s="123" t="s">
        <v>85</v>
      </c>
      <c r="J5" s="140">
        <v>39529</v>
      </c>
      <c r="K5" s="123" t="s">
        <v>52</v>
      </c>
      <c r="L5" s="123" t="s">
        <v>86</v>
      </c>
      <c r="M5" s="123" t="s">
        <v>56</v>
      </c>
      <c r="N5" s="123"/>
      <c r="O5" s="106"/>
      <c r="P5" s="54" t="s">
        <v>87</v>
      </c>
      <c r="Q5" s="123" t="s">
        <v>88</v>
      </c>
      <c r="R5" s="123" t="s">
        <v>89</v>
      </c>
      <c r="S5" s="123"/>
      <c r="T5" s="54" t="s">
        <v>90</v>
      </c>
      <c r="U5" s="54" t="s">
        <v>90</v>
      </c>
      <c r="V5" s="123"/>
      <c r="W5" s="123"/>
      <c r="X5" s="123"/>
      <c r="Y5" s="123" t="s">
        <v>91</v>
      </c>
      <c r="Z5" s="54"/>
      <c r="AA5" s="54"/>
      <c r="AB5" s="54">
        <v>6</v>
      </c>
      <c r="AC5" s="54" t="s">
        <v>63</v>
      </c>
      <c r="AD5" s="123" t="s">
        <v>64</v>
      </c>
      <c r="AE5" s="54"/>
      <c r="AF5" s="54" t="s">
        <v>65</v>
      </c>
      <c r="AG5" s="140">
        <v>39532</v>
      </c>
      <c r="AH5" s="65">
        <f t="shared" si="0"/>
        <v>3</v>
      </c>
      <c r="AI5" s="65"/>
      <c r="AJ5" s="140">
        <v>39532</v>
      </c>
      <c r="AK5" s="65">
        <f t="shared" si="1"/>
        <v>3</v>
      </c>
      <c r="AL5" s="54" t="s">
        <v>66</v>
      </c>
      <c r="AM5" s="138"/>
      <c r="AN5" s="138"/>
      <c r="AO5" s="140"/>
      <c r="AP5" s="65" t="str">
        <f t="shared" si="2"/>
        <v/>
      </c>
      <c r="AQ5" s="123"/>
      <c r="AR5" s="23"/>
      <c r="AS5" s="54" t="s">
        <v>67</v>
      </c>
      <c r="AT5" s="136"/>
      <c r="AU5" s="70">
        <f t="shared" si="3"/>
        <v>6</v>
      </c>
      <c r="AV5" s="70" t="s">
        <v>68</v>
      </c>
    </row>
    <row r="6" spans="1:48" s="136" customFormat="1" ht="38.25" hidden="1" x14ac:dyDescent="0.2">
      <c r="A6" s="87">
        <v>10004</v>
      </c>
      <c r="B6" s="80" t="s">
        <v>92</v>
      </c>
      <c r="C6" s="80" t="s">
        <v>93</v>
      </c>
      <c r="D6" s="87"/>
      <c r="E6" s="123" t="s">
        <v>94</v>
      </c>
      <c r="F6" s="140">
        <v>29247</v>
      </c>
      <c r="G6" s="123" t="s">
        <v>52</v>
      </c>
      <c r="H6" s="54" t="s">
        <v>53</v>
      </c>
      <c r="I6" s="123" t="s">
        <v>95</v>
      </c>
      <c r="J6" s="140">
        <v>35599</v>
      </c>
      <c r="K6" s="123" t="s">
        <v>52</v>
      </c>
      <c r="L6" s="123" t="s">
        <v>86</v>
      </c>
      <c r="M6" s="123" t="s">
        <v>96</v>
      </c>
      <c r="N6" s="123"/>
      <c r="O6" s="106"/>
      <c r="P6" s="54" t="s">
        <v>97</v>
      </c>
      <c r="Q6" s="123" t="s">
        <v>98</v>
      </c>
      <c r="R6" s="123" t="s">
        <v>99</v>
      </c>
      <c r="S6" s="123"/>
      <c r="T6" s="54" t="s">
        <v>100</v>
      </c>
      <c r="U6" s="54" t="s">
        <v>101</v>
      </c>
      <c r="V6" s="123"/>
      <c r="W6" s="123"/>
      <c r="X6" s="123"/>
      <c r="Y6" s="123" t="s">
        <v>102</v>
      </c>
      <c r="Z6" s="54"/>
      <c r="AA6" s="54"/>
      <c r="AB6" s="54" t="s">
        <v>103</v>
      </c>
      <c r="AC6" s="54" t="s">
        <v>63</v>
      </c>
      <c r="AD6" s="123" t="s">
        <v>104</v>
      </c>
      <c r="AE6" s="54"/>
      <c r="AF6" s="54" t="s">
        <v>65</v>
      </c>
      <c r="AG6" s="140">
        <v>39532</v>
      </c>
      <c r="AH6" s="65">
        <f t="shared" si="0"/>
        <v>3</v>
      </c>
      <c r="AI6" s="65"/>
      <c r="AJ6" s="140">
        <v>39532</v>
      </c>
      <c r="AK6" s="65">
        <f t="shared" si="1"/>
        <v>3</v>
      </c>
      <c r="AL6" s="198" t="s">
        <v>66</v>
      </c>
      <c r="AM6" s="26" t="s">
        <v>106</v>
      </c>
      <c r="AN6" s="138">
        <v>41703</v>
      </c>
      <c r="AO6" s="140"/>
      <c r="AP6" s="65" t="str">
        <f t="shared" si="2"/>
        <v/>
      </c>
      <c r="AQ6" s="123"/>
      <c r="AR6" s="23"/>
      <c r="AS6" s="54" t="s">
        <v>107</v>
      </c>
      <c r="AT6" s="23"/>
      <c r="AU6" s="70">
        <f t="shared" si="3"/>
        <v>1</v>
      </c>
      <c r="AV6" s="70" t="s">
        <v>68</v>
      </c>
    </row>
    <row r="7" spans="1:48" ht="25.5" hidden="1" x14ac:dyDescent="0.2">
      <c r="A7" s="86">
        <v>10005</v>
      </c>
      <c r="B7" s="3" t="s">
        <v>108</v>
      </c>
      <c r="C7" s="3" t="s">
        <v>109</v>
      </c>
      <c r="D7" s="86"/>
      <c r="E7" s="36" t="s">
        <v>94</v>
      </c>
      <c r="F7" s="48">
        <v>28819</v>
      </c>
      <c r="G7" s="36" t="s">
        <v>52</v>
      </c>
      <c r="H7" s="81" t="s">
        <v>53</v>
      </c>
      <c r="I7" s="36" t="s">
        <v>110</v>
      </c>
      <c r="J7" s="48">
        <v>39319</v>
      </c>
      <c r="K7" s="36" t="s">
        <v>52</v>
      </c>
      <c r="L7" s="36" t="s">
        <v>86</v>
      </c>
      <c r="M7" s="36" t="s">
        <v>111</v>
      </c>
      <c r="N7" s="36"/>
      <c r="O7" s="101"/>
      <c r="P7" s="81" t="s">
        <v>112</v>
      </c>
      <c r="Q7" s="36" t="s">
        <v>113</v>
      </c>
      <c r="R7" s="36" t="s">
        <v>114</v>
      </c>
      <c r="S7" s="36"/>
      <c r="T7" s="81" t="s">
        <v>115</v>
      </c>
      <c r="U7" s="81" t="s">
        <v>116</v>
      </c>
      <c r="V7" s="36"/>
      <c r="W7" s="36"/>
      <c r="X7" s="36"/>
      <c r="Y7" s="36" t="s">
        <v>102</v>
      </c>
      <c r="Z7" s="81"/>
      <c r="AA7" s="54"/>
      <c r="AB7" s="81" t="s">
        <v>103</v>
      </c>
      <c r="AC7" s="81" t="s">
        <v>63</v>
      </c>
      <c r="AD7" s="36" t="s">
        <v>104</v>
      </c>
      <c r="AE7" s="81"/>
      <c r="AF7" s="81" t="s">
        <v>65</v>
      </c>
      <c r="AG7" s="48">
        <v>39532</v>
      </c>
      <c r="AH7" s="134">
        <f t="shared" si="0"/>
        <v>3</v>
      </c>
      <c r="AI7" s="134"/>
      <c r="AJ7" s="48">
        <v>39532</v>
      </c>
      <c r="AK7" s="134">
        <f t="shared" si="1"/>
        <v>3</v>
      </c>
      <c r="AL7" s="54" t="s">
        <v>82</v>
      </c>
      <c r="AM7" s="138">
        <v>41470</v>
      </c>
      <c r="AN7" s="138" t="s">
        <v>117</v>
      </c>
      <c r="AO7" s="140"/>
      <c r="AP7" s="65" t="str">
        <f t="shared" si="2"/>
        <v/>
      </c>
      <c r="AQ7" s="123"/>
      <c r="AR7" s="23"/>
      <c r="AS7" s="54" t="s">
        <v>107</v>
      </c>
      <c r="AT7" s="136"/>
      <c r="AU7" s="70">
        <f t="shared" si="3"/>
        <v>11</v>
      </c>
      <c r="AV7" s="70" t="s">
        <v>68</v>
      </c>
    </row>
    <row r="8" spans="1:48" s="90" customFormat="1" ht="38.25" hidden="1" x14ac:dyDescent="0.2">
      <c r="A8" s="86">
        <v>10006</v>
      </c>
      <c r="B8" s="3" t="s">
        <v>118</v>
      </c>
      <c r="C8" s="3" t="s">
        <v>119</v>
      </c>
      <c r="D8" s="86"/>
      <c r="E8" s="36" t="s">
        <v>51</v>
      </c>
      <c r="F8" s="48">
        <v>30623</v>
      </c>
      <c r="G8" s="36" t="s">
        <v>120</v>
      </c>
      <c r="H8" s="81" t="s">
        <v>121</v>
      </c>
      <c r="I8" s="36" t="s">
        <v>122</v>
      </c>
      <c r="J8" s="48">
        <v>39529</v>
      </c>
      <c r="K8" s="36" t="s">
        <v>52</v>
      </c>
      <c r="L8" s="36" t="s">
        <v>123</v>
      </c>
      <c r="M8" s="36" t="s">
        <v>124</v>
      </c>
      <c r="N8" s="36"/>
      <c r="O8" s="101"/>
      <c r="P8" s="81" t="s">
        <v>125</v>
      </c>
      <c r="Q8" s="36" t="s">
        <v>126</v>
      </c>
      <c r="R8" s="36" t="s">
        <v>127</v>
      </c>
      <c r="S8" s="36"/>
      <c r="T8" s="81" t="s">
        <v>128</v>
      </c>
      <c r="U8" s="81" t="s">
        <v>128</v>
      </c>
      <c r="V8" s="36"/>
      <c r="W8" s="36"/>
      <c r="X8" s="36"/>
      <c r="Y8" s="36" t="s">
        <v>102</v>
      </c>
      <c r="Z8" s="81"/>
      <c r="AA8" s="54"/>
      <c r="AB8" s="81" t="s">
        <v>103</v>
      </c>
      <c r="AC8" s="81" t="s">
        <v>63</v>
      </c>
      <c r="AD8" s="36" t="s">
        <v>129</v>
      </c>
      <c r="AE8" s="81"/>
      <c r="AF8" s="81" t="s">
        <v>65</v>
      </c>
      <c r="AG8" s="48">
        <v>39532</v>
      </c>
      <c r="AH8" s="134">
        <f t="shared" si="0"/>
        <v>3</v>
      </c>
      <c r="AI8" s="134"/>
      <c r="AJ8" s="48">
        <v>39532</v>
      </c>
      <c r="AK8" s="134">
        <f t="shared" si="1"/>
        <v>3</v>
      </c>
      <c r="AL8" s="10" t="s">
        <v>82</v>
      </c>
      <c r="AM8" s="170">
        <v>36892</v>
      </c>
      <c r="AN8" s="170"/>
      <c r="AO8" s="53">
        <v>41640</v>
      </c>
      <c r="AP8" s="155">
        <f t="shared" si="2"/>
        <v>1</v>
      </c>
      <c r="AQ8" s="67"/>
      <c r="AR8" s="116"/>
      <c r="AS8" s="10" t="s">
        <v>67</v>
      </c>
      <c r="AT8" s="134"/>
      <c r="AU8" s="172">
        <f t="shared" si="3"/>
        <v>11</v>
      </c>
      <c r="AV8" s="172" t="s">
        <v>68</v>
      </c>
    </row>
    <row r="9" spans="1:48" s="136" customFormat="1" ht="19.5" hidden="1" customHeight="1" x14ac:dyDescent="0.2">
      <c r="A9" s="86">
        <v>10007</v>
      </c>
      <c r="B9" s="3" t="s">
        <v>130</v>
      </c>
      <c r="C9" s="3" t="s">
        <v>131</v>
      </c>
      <c r="D9" s="86"/>
      <c r="E9" s="36" t="s">
        <v>94</v>
      </c>
      <c r="F9" s="48">
        <v>27076</v>
      </c>
      <c r="G9" s="36" t="s">
        <v>132</v>
      </c>
      <c r="H9" s="81" t="s">
        <v>133</v>
      </c>
      <c r="I9" s="36" t="s">
        <v>134</v>
      </c>
      <c r="J9" s="48">
        <v>37485</v>
      </c>
      <c r="K9" s="36" t="s">
        <v>52</v>
      </c>
      <c r="L9" s="36" t="s">
        <v>123</v>
      </c>
      <c r="M9" s="36" t="s">
        <v>135</v>
      </c>
      <c r="N9" s="36"/>
      <c r="O9" s="101"/>
      <c r="P9" s="81"/>
      <c r="Q9" s="36" t="s">
        <v>136</v>
      </c>
      <c r="R9" s="36" t="s">
        <v>137</v>
      </c>
      <c r="S9" s="36"/>
      <c r="T9" s="81" t="s">
        <v>138</v>
      </c>
      <c r="U9" s="81" t="s">
        <v>139</v>
      </c>
      <c r="V9" s="36"/>
      <c r="W9" s="36"/>
      <c r="X9" s="36"/>
      <c r="Y9" s="36"/>
      <c r="Z9" s="81"/>
      <c r="AA9" s="54"/>
      <c r="AB9" s="81"/>
      <c r="AC9" s="81"/>
      <c r="AD9" s="36"/>
      <c r="AE9" s="81"/>
      <c r="AF9" s="81"/>
      <c r="AG9" s="48"/>
      <c r="AH9" s="134" t="str">
        <f t="shared" si="0"/>
        <v/>
      </c>
      <c r="AI9" s="134"/>
      <c r="AJ9" s="48">
        <v>39532</v>
      </c>
      <c r="AK9" s="134">
        <f t="shared" si="1"/>
        <v>3</v>
      </c>
      <c r="AL9" s="94" t="s">
        <v>82</v>
      </c>
      <c r="AM9" s="138"/>
      <c r="AN9" s="138"/>
      <c r="AO9" s="190"/>
      <c r="AP9" s="136" t="str">
        <f t="shared" si="2"/>
        <v/>
      </c>
      <c r="AQ9" s="127"/>
      <c r="AR9" s="23"/>
      <c r="AS9" s="94"/>
      <c r="AT9" s="23"/>
      <c r="AU9" s="70">
        <f t="shared" si="3"/>
        <v>2</v>
      </c>
      <c r="AV9" s="70" t="s">
        <v>68</v>
      </c>
    </row>
    <row r="10" spans="1:48" ht="38.25" hidden="1" x14ac:dyDescent="0.2">
      <c r="A10" s="87">
        <v>10008</v>
      </c>
      <c r="B10" s="80" t="s">
        <v>140</v>
      </c>
      <c r="C10" s="80" t="s">
        <v>141</v>
      </c>
      <c r="D10" s="87"/>
      <c r="E10" s="123" t="s">
        <v>51</v>
      </c>
      <c r="F10" s="140">
        <v>30080</v>
      </c>
      <c r="G10" s="123" t="s">
        <v>52</v>
      </c>
      <c r="H10" s="54" t="s">
        <v>53</v>
      </c>
      <c r="I10" s="123" t="s">
        <v>142</v>
      </c>
      <c r="J10" s="140">
        <v>38439</v>
      </c>
      <c r="K10" s="123" t="s">
        <v>52</v>
      </c>
      <c r="L10" s="123" t="s">
        <v>86</v>
      </c>
      <c r="M10" s="123" t="s">
        <v>124</v>
      </c>
      <c r="N10" s="123"/>
      <c r="O10" s="106"/>
      <c r="P10" s="54" t="s">
        <v>143</v>
      </c>
      <c r="Q10" s="123"/>
      <c r="R10" s="123" t="s">
        <v>144</v>
      </c>
      <c r="S10" s="123"/>
      <c r="T10" s="54" t="s">
        <v>145</v>
      </c>
      <c r="U10" s="54" t="s">
        <v>146</v>
      </c>
      <c r="V10" s="123"/>
      <c r="W10" s="123"/>
      <c r="X10" s="123"/>
      <c r="Y10" s="123" t="s">
        <v>147</v>
      </c>
      <c r="Z10" s="54"/>
      <c r="AA10" s="54"/>
      <c r="AB10" s="54">
        <v>5</v>
      </c>
      <c r="AC10" s="54" t="s">
        <v>63</v>
      </c>
      <c r="AD10" s="123" t="s">
        <v>148</v>
      </c>
      <c r="AE10" s="54"/>
      <c r="AF10" s="54" t="s">
        <v>65</v>
      </c>
      <c r="AG10" s="140">
        <v>39532</v>
      </c>
      <c r="AH10" s="65">
        <f t="shared" si="0"/>
        <v>3</v>
      </c>
      <c r="AI10" s="65"/>
      <c r="AJ10" s="140">
        <v>39532</v>
      </c>
      <c r="AK10" s="65">
        <f t="shared" si="1"/>
        <v>3</v>
      </c>
      <c r="AL10" s="54" t="s">
        <v>66</v>
      </c>
      <c r="AM10" s="138"/>
      <c r="AN10" s="138"/>
      <c r="AO10" s="140"/>
      <c r="AP10" s="65" t="str">
        <f t="shared" si="2"/>
        <v/>
      </c>
      <c r="AQ10" s="123"/>
      <c r="AR10" s="23"/>
      <c r="AS10" s="54" t="s">
        <v>67</v>
      </c>
      <c r="AT10" s="136"/>
      <c r="AU10" s="70">
        <f t="shared" si="3"/>
        <v>5</v>
      </c>
      <c r="AV10" s="70" t="s">
        <v>68</v>
      </c>
    </row>
    <row r="11" spans="1:48" ht="25.5" hidden="1" x14ac:dyDescent="0.2">
      <c r="A11" s="87">
        <v>10009</v>
      </c>
      <c r="B11" s="80" t="s">
        <v>149</v>
      </c>
      <c r="C11" s="80" t="s">
        <v>150</v>
      </c>
      <c r="D11" s="87"/>
      <c r="E11" s="123" t="s">
        <v>51</v>
      </c>
      <c r="F11" s="140">
        <v>29747</v>
      </c>
      <c r="G11" s="123" t="s">
        <v>52</v>
      </c>
      <c r="H11" s="54" t="s">
        <v>53</v>
      </c>
      <c r="I11" s="123" t="s">
        <v>151</v>
      </c>
      <c r="J11" s="140">
        <v>35211</v>
      </c>
      <c r="K11" s="123" t="s">
        <v>52</v>
      </c>
      <c r="L11" s="123" t="s">
        <v>86</v>
      </c>
      <c r="M11" s="123" t="s">
        <v>124</v>
      </c>
      <c r="N11" s="123" t="s">
        <v>152</v>
      </c>
      <c r="O11" s="106"/>
      <c r="P11" s="54" t="s">
        <v>153</v>
      </c>
      <c r="Q11" s="123" t="s">
        <v>154</v>
      </c>
      <c r="R11" s="123" t="s">
        <v>155</v>
      </c>
      <c r="S11" s="123"/>
      <c r="T11" s="54" t="s">
        <v>156</v>
      </c>
      <c r="U11" s="54" t="s">
        <v>156</v>
      </c>
      <c r="V11" s="123"/>
      <c r="W11" s="123"/>
      <c r="X11" s="123"/>
      <c r="Y11" s="123" t="s">
        <v>157</v>
      </c>
      <c r="Z11" s="54"/>
      <c r="AA11" s="54"/>
      <c r="AB11" s="54">
        <v>5</v>
      </c>
      <c r="AC11" s="54" t="s">
        <v>63</v>
      </c>
      <c r="AD11" s="123" t="s">
        <v>158</v>
      </c>
      <c r="AE11" s="54"/>
      <c r="AF11" s="54" t="s">
        <v>65</v>
      </c>
      <c r="AG11" s="140">
        <v>39532</v>
      </c>
      <c r="AH11" s="65">
        <f t="shared" si="0"/>
        <v>3</v>
      </c>
      <c r="AI11" s="65"/>
      <c r="AJ11" s="140">
        <v>39532</v>
      </c>
      <c r="AK11" s="65">
        <f t="shared" si="1"/>
        <v>3</v>
      </c>
      <c r="AL11" s="54" t="s">
        <v>66</v>
      </c>
      <c r="AM11" s="1"/>
      <c r="AN11" s="138"/>
      <c r="AO11" s="140"/>
      <c r="AP11" s="65" t="str">
        <f t="shared" si="2"/>
        <v/>
      </c>
      <c r="AQ11" s="123"/>
      <c r="AR11" s="23"/>
      <c r="AS11" s="54" t="s">
        <v>67</v>
      </c>
      <c r="AT11" s="136"/>
      <c r="AU11" s="70">
        <f t="shared" si="3"/>
        <v>6</v>
      </c>
      <c r="AV11" s="70" t="s">
        <v>68</v>
      </c>
    </row>
    <row r="12" spans="1:48" s="136" customFormat="1" ht="38.25" hidden="1" x14ac:dyDescent="0.2">
      <c r="A12" s="87">
        <v>10010</v>
      </c>
      <c r="B12" s="80" t="s">
        <v>159</v>
      </c>
      <c r="C12" s="80" t="s">
        <v>160</v>
      </c>
      <c r="D12" s="87"/>
      <c r="E12" s="123" t="s">
        <v>51</v>
      </c>
      <c r="F12" s="140">
        <v>28445</v>
      </c>
      <c r="G12" s="123" t="s">
        <v>161</v>
      </c>
      <c r="H12" s="54" t="s">
        <v>162</v>
      </c>
      <c r="I12" s="123" t="s">
        <v>163</v>
      </c>
      <c r="J12" s="140">
        <v>39694</v>
      </c>
      <c r="K12" s="123" t="s">
        <v>52</v>
      </c>
      <c r="L12" s="123" t="s">
        <v>123</v>
      </c>
      <c r="M12" s="123" t="s">
        <v>124</v>
      </c>
      <c r="N12" s="123"/>
      <c r="O12" s="106"/>
      <c r="P12" s="54" t="s">
        <v>164</v>
      </c>
      <c r="Q12" s="123"/>
      <c r="R12" s="123" t="s">
        <v>165</v>
      </c>
      <c r="S12" s="123"/>
      <c r="T12" s="54" t="s">
        <v>166</v>
      </c>
      <c r="U12" s="54" t="s">
        <v>167</v>
      </c>
      <c r="V12" s="123"/>
      <c r="W12" s="123"/>
      <c r="X12" s="123"/>
      <c r="Y12" s="123" t="s">
        <v>102</v>
      </c>
      <c r="Z12" s="54"/>
      <c r="AA12" s="54"/>
      <c r="AB12" s="54" t="s">
        <v>103</v>
      </c>
      <c r="AC12" s="54" t="s">
        <v>63</v>
      </c>
      <c r="AD12" s="123" t="s">
        <v>168</v>
      </c>
      <c r="AE12" s="54"/>
      <c r="AF12" s="54" t="s">
        <v>65</v>
      </c>
      <c r="AG12" s="140">
        <v>39678</v>
      </c>
      <c r="AH12" s="65">
        <f t="shared" si="0"/>
        <v>8</v>
      </c>
      <c r="AI12" s="65"/>
      <c r="AJ12" s="140">
        <v>39678</v>
      </c>
      <c r="AK12" s="65">
        <f t="shared" si="1"/>
        <v>8</v>
      </c>
      <c r="AL12" s="54" t="s">
        <v>66</v>
      </c>
      <c r="AM12" s="138"/>
      <c r="AN12" s="138"/>
      <c r="AO12" s="140"/>
      <c r="AP12" s="65" t="str">
        <f t="shared" si="2"/>
        <v/>
      </c>
      <c r="AQ12" s="123"/>
      <c r="AR12" s="23"/>
      <c r="AS12" s="54" t="s">
        <v>107</v>
      </c>
      <c r="AT12" s="184"/>
      <c r="AU12" s="70">
        <f t="shared" si="3"/>
        <v>11</v>
      </c>
      <c r="AV12" s="70" t="s">
        <v>68</v>
      </c>
    </row>
    <row r="13" spans="1:48" s="136" customFormat="1" ht="19.5" hidden="1" customHeight="1" x14ac:dyDescent="0.2">
      <c r="A13" s="86">
        <v>10011</v>
      </c>
      <c r="B13" s="3" t="s">
        <v>169</v>
      </c>
      <c r="C13" s="3" t="s">
        <v>170</v>
      </c>
      <c r="D13" s="86"/>
      <c r="E13" s="36" t="s">
        <v>51</v>
      </c>
      <c r="F13" s="48">
        <v>30514</v>
      </c>
      <c r="G13" s="36" t="s">
        <v>171</v>
      </c>
      <c r="H13" s="81" t="s">
        <v>172</v>
      </c>
      <c r="I13" s="36" t="s">
        <v>173</v>
      </c>
      <c r="J13" s="48">
        <v>39443</v>
      </c>
      <c r="K13" s="36" t="s">
        <v>52</v>
      </c>
      <c r="L13" s="36" t="s">
        <v>86</v>
      </c>
      <c r="M13" s="36" t="s">
        <v>124</v>
      </c>
      <c r="N13" s="36"/>
      <c r="O13" s="101"/>
      <c r="P13" s="81" t="s">
        <v>174</v>
      </c>
      <c r="Q13" s="36"/>
      <c r="R13" s="36" t="s">
        <v>175</v>
      </c>
      <c r="S13" s="36"/>
      <c r="T13" s="81" t="s">
        <v>176</v>
      </c>
      <c r="U13" s="81" t="s">
        <v>177</v>
      </c>
      <c r="V13" s="36" t="s">
        <v>178</v>
      </c>
      <c r="W13" s="36" t="s">
        <v>160</v>
      </c>
      <c r="X13" s="36" t="s">
        <v>179</v>
      </c>
      <c r="Y13" s="36" t="s">
        <v>180</v>
      </c>
      <c r="Z13" s="81"/>
      <c r="AA13" s="54"/>
      <c r="AB13" s="81" t="s">
        <v>103</v>
      </c>
      <c r="AC13" s="81" t="s">
        <v>63</v>
      </c>
      <c r="AD13" s="36" t="s">
        <v>181</v>
      </c>
      <c r="AE13" s="81"/>
      <c r="AF13" s="81" t="s">
        <v>65</v>
      </c>
      <c r="AG13" s="48">
        <v>39753</v>
      </c>
      <c r="AH13" s="134">
        <f t="shared" si="0"/>
        <v>11</v>
      </c>
      <c r="AI13" s="134"/>
      <c r="AJ13" s="48">
        <v>39753</v>
      </c>
      <c r="AK13" s="134">
        <f t="shared" si="1"/>
        <v>11</v>
      </c>
      <c r="AL13" s="94" t="s">
        <v>82</v>
      </c>
      <c r="AM13" s="138"/>
      <c r="AN13" s="138"/>
      <c r="AO13" s="190">
        <v>41384</v>
      </c>
      <c r="AP13" s="136">
        <f t="shared" si="2"/>
        <v>4</v>
      </c>
      <c r="AQ13" s="127" t="s">
        <v>182</v>
      </c>
      <c r="AR13" s="23"/>
      <c r="AS13" s="94"/>
      <c r="AT13" s="158"/>
      <c r="AU13" s="70">
        <f t="shared" si="3"/>
        <v>7</v>
      </c>
      <c r="AV13" s="70" t="s">
        <v>68</v>
      </c>
    </row>
    <row r="14" spans="1:48" s="136" customFormat="1" ht="19.5" hidden="1" customHeight="1" x14ac:dyDescent="0.2">
      <c r="A14" s="86">
        <v>10012</v>
      </c>
      <c r="B14" s="3" t="s">
        <v>183</v>
      </c>
      <c r="C14" s="3" t="s">
        <v>70</v>
      </c>
      <c r="D14" s="86"/>
      <c r="E14" s="36" t="s">
        <v>51</v>
      </c>
      <c r="F14" s="48">
        <v>28737</v>
      </c>
      <c r="G14" s="36" t="s">
        <v>52</v>
      </c>
      <c r="H14" s="81" t="s">
        <v>53</v>
      </c>
      <c r="I14" s="36" t="s">
        <v>184</v>
      </c>
      <c r="J14" s="48">
        <v>35237</v>
      </c>
      <c r="K14" s="36" t="s">
        <v>52</v>
      </c>
      <c r="L14" s="36" t="s">
        <v>123</v>
      </c>
      <c r="M14" s="36" t="s">
        <v>124</v>
      </c>
      <c r="N14" s="36"/>
      <c r="O14" s="101"/>
      <c r="P14" s="81" t="s">
        <v>185</v>
      </c>
      <c r="Q14" s="36" t="s">
        <v>186</v>
      </c>
      <c r="R14" s="36" t="s">
        <v>187</v>
      </c>
      <c r="S14" s="36"/>
      <c r="T14" s="81" t="s">
        <v>188</v>
      </c>
      <c r="U14" s="81" t="s">
        <v>189</v>
      </c>
      <c r="V14" s="36"/>
      <c r="W14" s="36"/>
      <c r="X14" s="36"/>
      <c r="Y14" s="36" t="s">
        <v>102</v>
      </c>
      <c r="Z14" s="81"/>
      <c r="AA14" s="54"/>
      <c r="AB14" s="81" t="s">
        <v>103</v>
      </c>
      <c r="AC14" s="81" t="s">
        <v>63</v>
      </c>
      <c r="AD14" s="36"/>
      <c r="AE14" s="81"/>
      <c r="AF14" s="81"/>
      <c r="AG14" s="48"/>
      <c r="AH14" s="134" t="str">
        <f t="shared" si="0"/>
        <v/>
      </c>
      <c r="AI14" s="134"/>
      <c r="AJ14" s="48">
        <v>39904</v>
      </c>
      <c r="AK14" s="134">
        <f t="shared" si="1"/>
        <v>4</v>
      </c>
      <c r="AL14" s="94" t="s">
        <v>82</v>
      </c>
      <c r="AM14" s="138"/>
      <c r="AN14" s="138"/>
      <c r="AO14" s="190">
        <v>40618</v>
      </c>
      <c r="AP14" s="136">
        <f t="shared" si="2"/>
        <v>3</v>
      </c>
      <c r="AQ14" s="127"/>
      <c r="AR14" s="23"/>
      <c r="AS14" s="94"/>
      <c r="AT14" s="158"/>
      <c r="AU14" s="70">
        <f t="shared" si="3"/>
        <v>9</v>
      </c>
      <c r="AV14" s="70" t="s">
        <v>68</v>
      </c>
    </row>
    <row r="15" spans="1:48" s="136" customFormat="1" ht="25.5" hidden="1" x14ac:dyDescent="0.2">
      <c r="A15" s="87">
        <v>10013</v>
      </c>
      <c r="B15" s="80" t="s">
        <v>190</v>
      </c>
      <c r="C15" s="80" t="s">
        <v>191</v>
      </c>
      <c r="D15" s="87"/>
      <c r="E15" s="123" t="s">
        <v>94</v>
      </c>
      <c r="F15" s="140">
        <v>27234</v>
      </c>
      <c r="G15" s="123" t="s">
        <v>52</v>
      </c>
      <c r="H15" s="54" t="s">
        <v>53</v>
      </c>
      <c r="I15" s="123" t="s">
        <v>192</v>
      </c>
      <c r="J15" s="140">
        <v>38631</v>
      </c>
      <c r="K15" s="123" t="s">
        <v>52</v>
      </c>
      <c r="L15" s="123" t="s">
        <v>123</v>
      </c>
      <c r="M15" s="123" t="s">
        <v>193</v>
      </c>
      <c r="N15" s="123"/>
      <c r="O15" s="106"/>
      <c r="P15" s="54" t="s">
        <v>194</v>
      </c>
      <c r="Q15" s="123" t="s">
        <v>195</v>
      </c>
      <c r="R15" s="123" t="s">
        <v>196</v>
      </c>
      <c r="S15" s="123"/>
      <c r="T15" s="54" t="s">
        <v>197</v>
      </c>
      <c r="U15" s="54" t="s">
        <v>197</v>
      </c>
      <c r="V15" s="123"/>
      <c r="W15" s="123"/>
      <c r="X15" s="123"/>
      <c r="Y15" s="123" t="s">
        <v>180</v>
      </c>
      <c r="Z15" s="54"/>
      <c r="AA15" s="54"/>
      <c r="AB15" s="54" t="s">
        <v>103</v>
      </c>
      <c r="AC15" s="54" t="s">
        <v>63</v>
      </c>
      <c r="AD15" s="123" t="s">
        <v>198</v>
      </c>
      <c r="AE15" s="54"/>
      <c r="AF15" s="54" t="s">
        <v>65</v>
      </c>
      <c r="AG15" s="140">
        <v>39986</v>
      </c>
      <c r="AH15" s="65">
        <f t="shared" si="0"/>
        <v>6</v>
      </c>
      <c r="AI15" s="65"/>
      <c r="AJ15" s="140">
        <v>39986</v>
      </c>
      <c r="AK15" s="65">
        <f t="shared" si="1"/>
        <v>6</v>
      </c>
      <c r="AL15" s="54" t="s">
        <v>66</v>
      </c>
      <c r="AM15" s="138"/>
      <c r="AN15" s="138"/>
      <c r="AO15" s="140"/>
      <c r="AP15" s="65" t="str">
        <f t="shared" si="2"/>
        <v/>
      </c>
      <c r="AQ15" s="123"/>
      <c r="AR15" s="23"/>
      <c r="AS15" s="54" t="s">
        <v>107</v>
      </c>
      <c r="AT15" s="194"/>
      <c r="AU15" s="70">
        <f t="shared" si="3"/>
        <v>7</v>
      </c>
      <c r="AV15" s="70" t="s">
        <v>68</v>
      </c>
    </row>
    <row r="16" spans="1:48" ht="19.5" hidden="1" customHeight="1" x14ac:dyDescent="0.2">
      <c r="A16" s="86">
        <v>10014</v>
      </c>
      <c r="B16" s="3" t="s">
        <v>199</v>
      </c>
      <c r="C16" s="3" t="s">
        <v>200</v>
      </c>
      <c r="D16" s="86"/>
      <c r="E16" s="36" t="s">
        <v>94</v>
      </c>
      <c r="F16" s="48">
        <v>22146</v>
      </c>
      <c r="G16" s="36" t="s">
        <v>161</v>
      </c>
      <c r="H16" s="81" t="s">
        <v>162</v>
      </c>
      <c r="I16" s="36" t="s">
        <v>201</v>
      </c>
      <c r="J16" s="48">
        <v>37494</v>
      </c>
      <c r="K16" s="36" t="s">
        <v>52</v>
      </c>
      <c r="L16" s="36" t="s">
        <v>123</v>
      </c>
      <c r="M16" s="36" t="s">
        <v>111</v>
      </c>
      <c r="N16" s="36"/>
      <c r="O16" s="101"/>
      <c r="P16" s="81" t="s">
        <v>202</v>
      </c>
      <c r="Q16" s="36"/>
      <c r="R16" s="36" t="s">
        <v>203</v>
      </c>
      <c r="S16" s="36"/>
      <c r="T16" s="81" t="s">
        <v>204</v>
      </c>
      <c r="U16" s="81" t="s">
        <v>205</v>
      </c>
      <c r="V16" s="36"/>
      <c r="W16" s="36"/>
      <c r="X16" s="36"/>
      <c r="Y16" s="36" t="s">
        <v>206</v>
      </c>
      <c r="Z16" s="81"/>
      <c r="AA16" s="54"/>
      <c r="AB16" s="81">
        <v>3</v>
      </c>
      <c r="AC16" s="81" t="s">
        <v>63</v>
      </c>
      <c r="AD16" s="36" t="s">
        <v>207</v>
      </c>
      <c r="AE16" s="81"/>
      <c r="AF16" s="81" t="s">
        <v>65</v>
      </c>
      <c r="AG16" s="48"/>
      <c r="AH16" s="134" t="str">
        <f t="shared" si="0"/>
        <v/>
      </c>
      <c r="AI16" s="134"/>
      <c r="AJ16" s="48">
        <v>40017</v>
      </c>
      <c r="AK16" s="134">
        <f t="shared" si="1"/>
        <v>7</v>
      </c>
      <c r="AL16" s="94" t="s">
        <v>82</v>
      </c>
      <c r="AM16" s="138"/>
      <c r="AN16" s="138"/>
      <c r="AO16" s="190">
        <v>40633</v>
      </c>
      <c r="AP16" s="136">
        <f t="shared" si="2"/>
        <v>3</v>
      </c>
      <c r="AQ16" s="127"/>
      <c r="AR16" s="23"/>
      <c r="AS16" s="94"/>
      <c r="AT16" s="136"/>
      <c r="AU16" s="70">
        <f t="shared" si="3"/>
        <v>8</v>
      </c>
      <c r="AV16" s="70" t="s">
        <v>68</v>
      </c>
    </row>
    <row r="17" spans="1:48" s="136" customFormat="1" ht="19.5" hidden="1" customHeight="1" x14ac:dyDescent="0.2">
      <c r="A17" s="86">
        <v>10015</v>
      </c>
      <c r="B17" s="3" t="s">
        <v>208</v>
      </c>
      <c r="C17" s="3" t="s">
        <v>209</v>
      </c>
      <c r="D17" s="86"/>
      <c r="E17" s="36" t="s">
        <v>51</v>
      </c>
      <c r="F17" s="48">
        <v>29215</v>
      </c>
      <c r="G17" s="36"/>
      <c r="H17" s="81" t="s">
        <v>0</v>
      </c>
      <c r="I17" s="36" t="s">
        <v>210</v>
      </c>
      <c r="J17" s="48">
        <v>39636</v>
      </c>
      <c r="K17" s="36" t="s">
        <v>52</v>
      </c>
      <c r="L17" s="36" t="s">
        <v>123</v>
      </c>
      <c r="M17" s="36" t="s">
        <v>211</v>
      </c>
      <c r="N17" s="36"/>
      <c r="O17" s="101"/>
      <c r="P17" s="81"/>
      <c r="Q17" s="36" t="s">
        <v>212</v>
      </c>
      <c r="R17" s="36" t="s">
        <v>213</v>
      </c>
      <c r="S17" s="36"/>
      <c r="T17" s="81" t="s">
        <v>214</v>
      </c>
      <c r="U17" s="81" t="s">
        <v>214</v>
      </c>
      <c r="V17" s="36"/>
      <c r="W17" s="36"/>
      <c r="X17" s="36"/>
      <c r="Y17" s="36"/>
      <c r="Z17" s="81"/>
      <c r="AA17" s="54"/>
      <c r="AB17" s="81"/>
      <c r="AC17" s="81"/>
      <c r="AD17" s="36"/>
      <c r="AE17" s="81"/>
      <c r="AF17" s="81" t="s">
        <v>65</v>
      </c>
      <c r="AG17" s="48"/>
      <c r="AH17" s="134" t="str">
        <f t="shared" si="0"/>
        <v/>
      </c>
      <c r="AI17" s="134"/>
      <c r="AJ17" s="48">
        <v>40017</v>
      </c>
      <c r="AK17" s="134">
        <f t="shared" si="1"/>
        <v>7</v>
      </c>
      <c r="AL17" s="94" t="s">
        <v>82</v>
      </c>
      <c r="AM17" s="138"/>
      <c r="AN17" s="138"/>
      <c r="AO17" s="190"/>
      <c r="AP17" s="136" t="str">
        <f t="shared" si="2"/>
        <v/>
      </c>
      <c r="AQ17" s="127"/>
      <c r="AR17" s="23"/>
      <c r="AS17" s="94"/>
      <c r="AT17" s="184"/>
      <c r="AU17" s="70">
        <f t="shared" si="3"/>
        <v>12</v>
      </c>
      <c r="AV17" s="70" t="s">
        <v>68</v>
      </c>
    </row>
    <row r="18" spans="1:48" s="136" customFormat="1" ht="25.5" hidden="1" x14ac:dyDescent="0.2">
      <c r="A18" s="87">
        <v>10016</v>
      </c>
      <c r="B18" s="80" t="s">
        <v>215</v>
      </c>
      <c r="C18" s="80" t="s">
        <v>191</v>
      </c>
      <c r="D18" s="87"/>
      <c r="E18" s="123" t="s">
        <v>94</v>
      </c>
      <c r="F18" s="140">
        <v>28826</v>
      </c>
      <c r="G18" s="123" t="s">
        <v>52</v>
      </c>
      <c r="H18" s="54" t="s">
        <v>53</v>
      </c>
      <c r="I18" s="123" t="s">
        <v>216</v>
      </c>
      <c r="J18" s="140">
        <v>36819</v>
      </c>
      <c r="K18" s="123" t="s">
        <v>52</v>
      </c>
      <c r="L18" s="123" t="s">
        <v>123</v>
      </c>
      <c r="M18" s="123" t="s">
        <v>217</v>
      </c>
      <c r="N18" s="123"/>
      <c r="O18" s="106"/>
      <c r="P18" s="54" t="s">
        <v>218</v>
      </c>
      <c r="Q18" s="123"/>
      <c r="R18" s="123" t="s">
        <v>219</v>
      </c>
      <c r="S18" s="123"/>
      <c r="T18" s="54" t="s">
        <v>220</v>
      </c>
      <c r="U18" s="54" t="s">
        <v>220</v>
      </c>
      <c r="V18" s="123"/>
      <c r="W18" s="123"/>
      <c r="X18" s="123"/>
      <c r="Y18" s="123" t="s">
        <v>102</v>
      </c>
      <c r="Z18" s="54"/>
      <c r="AA18" s="54"/>
      <c r="AB18" s="54" t="s">
        <v>103</v>
      </c>
      <c r="AC18" s="54" t="s">
        <v>63</v>
      </c>
      <c r="AD18" s="123" t="s">
        <v>221</v>
      </c>
      <c r="AE18" s="54"/>
      <c r="AF18" s="54" t="s">
        <v>65</v>
      </c>
      <c r="AG18" s="140">
        <v>40035</v>
      </c>
      <c r="AH18" s="65">
        <f t="shared" si="0"/>
        <v>8</v>
      </c>
      <c r="AI18" s="65"/>
      <c r="AJ18" s="140">
        <v>40035</v>
      </c>
      <c r="AK18" s="65">
        <f t="shared" si="1"/>
        <v>8</v>
      </c>
      <c r="AL18" s="54" t="s">
        <v>66</v>
      </c>
      <c r="AM18" s="138"/>
      <c r="AN18" s="138"/>
      <c r="AO18" s="140"/>
      <c r="AP18" s="65" t="str">
        <f t="shared" si="2"/>
        <v/>
      </c>
      <c r="AQ18" s="123"/>
      <c r="AR18" s="23"/>
      <c r="AS18" s="54" t="s">
        <v>107</v>
      </c>
      <c r="AT18" s="194"/>
      <c r="AU18" s="70">
        <f t="shared" si="3"/>
        <v>12</v>
      </c>
      <c r="AV18" s="70" t="s">
        <v>68</v>
      </c>
    </row>
    <row r="19" spans="1:48" ht="19.5" hidden="1" customHeight="1" x14ac:dyDescent="0.2">
      <c r="A19" s="86">
        <v>10017</v>
      </c>
      <c r="B19" s="3" t="s">
        <v>222</v>
      </c>
      <c r="C19" s="3" t="s">
        <v>223</v>
      </c>
      <c r="D19" s="86"/>
      <c r="E19" s="36" t="s">
        <v>51</v>
      </c>
      <c r="F19" s="48">
        <v>30356</v>
      </c>
      <c r="G19" s="36" t="s">
        <v>161</v>
      </c>
      <c r="H19" s="81" t="s">
        <v>162</v>
      </c>
      <c r="I19" s="36" t="s">
        <v>224</v>
      </c>
      <c r="J19" s="48">
        <v>39442</v>
      </c>
      <c r="K19" s="36" t="s">
        <v>161</v>
      </c>
      <c r="L19" s="36" t="s">
        <v>123</v>
      </c>
      <c r="M19" s="36" t="s">
        <v>96</v>
      </c>
      <c r="N19" s="36"/>
      <c r="O19" s="101"/>
      <c r="P19" s="81" t="s">
        <v>225</v>
      </c>
      <c r="Q19" s="36" t="s">
        <v>226</v>
      </c>
      <c r="R19" s="36" t="s">
        <v>227</v>
      </c>
      <c r="S19" s="36"/>
      <c r="T19" s="81" t="s">
        <v>228</v>
      </c>
      <c r="U19" s="81" t="s">
        <v>229</v>
      </c>
      <c r="V19" s="36"/>
      <c r="W19" s="36"/>
      <c r="X19" s="36"/>
      <c r="Y19" s="36" t="s">
        <v>180</v>
      </c>
      <c r="Z19" s="81"/>
      <c r="AA19" s="54"/>
      <c r="AB19" s="81" t="s">
        <v>103</v>
      </c>
      <c r="AC19" s="81" t="s">
        <v>63</v>
      </c>
      <c r="AD19" s="36" t="s">
        <v>230</v>
      </c>
      <c r="AE19" s="81"/>
      <c r="AF19" s="81" t="s">
        <v>231</v>
      </c>
      <c r="AG19" s="48"/>
      <c r="AH19" s="134" t="str">
        <f t="shared" si="0"/>
        <v/>
      </c>
      <c r="AI19" s="134"/>
      <c r="AJ19" s="48">
        <v>40030</v>
      </c>
      <c r="AK19" s="134">
        <f t="shared" si="1"/>
        <v>8</v>
      </c>
      <c r="AL19" s="94" t="s">
        <v>82</v>
      </c>
      <c r="AM19" s="138"/>
      <c r="AN19" s="138"/>
      <c r="AO19" s="190">
        <v>40822</v>
      </c>
      <c r="AP19" s="136">
        <f t="shared" si="2"/>
        <v>10</v>
      </c>
      <c r="AQ19" s="127"/>
      <c r="AR19" s="23"/>
      <c r="AS19" s="94"/>
      <c r="AT19" s="136"/>
      <c r="AU19" s="70">
        <f t="shared" si="3"/>
        <v>2</v>
      </c>
      <c r="AV19" s="70" t="s">
        <v>68</v>
      </c>
    </row>
    <row r="20" spans="1:48" s="136" customFormat="1" ht="19.5" hidden="1" customHeight="1" x14ac:dyDescent="0.2">
      <c r="A20" s="86">
        <v>10018</v>
      </c>
      <c r="B20" s="3" t="s">
        <v>169</v>
      </c>
      <c r="C20" s="3" t="s">
        <v>232</v>
      </c>
      <c r="D20" s="86"/>
      <c r="E20" s="36" t="s">
        <v>94</v>
      </c>
      <c r="F20" s="48">
        <v>28433</v>
      </c>
      <c r="G20" s="36" t="s">
        <v>52</v>
      </c>
      <c r="H20" s="81" t="s">
        <v>53</v>
      </c>
      <c r="I20" s="36" t="s">
        <v>233</v>
      </c>
      <c r="J20" s="48">
        <v>39608</v>
      </c>
      <c r="K20" s="36" t="s">
        <v>52</v>
      </c>
      <c r="L20" s="36" t="s">
        <v>123</v>
      </c>
      <c r="M20" s="36" t="s">
        <v>96</v>
      </c>
      <c r="N20" s="36"/>
      <c r="O20" s="101"/>
      <c r="P20" s="81"/>
      <c r="Q20" s="36"/>
      <c r="R20" s="36" t="s">
        <v>234</v>
      </c>
      <c r="S20" s="36"/>
      <c r="T20" s="81" t="s">
        <v>235</v>
      </c>
      <c r="U20" s="81" t="s">
        <v>235</v>
      </c>
      <c r="V20" s="36"/>
      <c r="W20" s="36"/>
      <c r="X20" s="36"/>
      <c r="Y20" s="36"/>
      <c r="Z20" s="81"/>
      <c r="AA20" s="54"/>
      <c r="AB20" s="81"/>
      <c r="AC20" s="81" t="s">
        <v>236</v>
      </c>
      <c r="AD20" s="36"/>
      <c r="AE20" s="81"/>
      <c r="AF20" s="81" t="s">
        <v>231</v>
      </c>
      <c r="AG20" s="48"/>
      <c r="AH20" s="134" t="str">
        <f t="shared" si="0"/>
        <v/>
      </c>
      <c r="AI20" s="134"/>
      <c r="AJ20" s="48"/>
      <c r="AK20" s="134" t="str">
        <f t="shared" si="1"/>
        <v/>
      </c>
      <c r="AL20" s="94" t="s">
        <v>82</v>
      </c>
      <c r="AM20" s="138"/>
      <c r="AN20" s="138"/>
      <c r="AO20" s="190"/>
      <c r="AP20" s="136" t="str">
        <f t="shared" si="2"/>
        <v/>
      </c>
      <c r="AQ20" s="127"/>
      <c r="AR20" s="23"/>
      <c r="AS20" s="94"/>
      <c r="AT20" s="184"/>
      <c r="AU20" s="70">
        <f t="shared" si="3"/>
        <v>11</v>
      </c>
      <c r="AV20" s="70" t="s">
        <v>68</v>
      </c>
    </row>
    <row r="21" spans="1:48" s="136" customFormat="1" ht="38.25" hidden="1" x14ac:dyDescent="0.2">
      <c r="A21" s="87">
        <v>10019</v>
      </c>
      <c r="B21" s="80" t="s">
        <v>237</v>
      </c>
      <c r="C21" s="80" t="s">
        <v>238</v>
      </c>
      <c r="D21" s="87"/>
      <c r="E21" s="123" t="s">
        <v>94</v>
      </c>
      <c r="F21" s="140">
        <v>26687</v>
      </c>
      <c r="G21" s="123" t="s">
        <v>231</v>
      </c>
      <c r="H21" s="54" t="s">
        <v>239</v>
      </c>
      <c r="I21" s="123" t="s">
        <v>240</v>
      </c>
      <c r="J21" s="140">
        <v>39113</v>
      </c>
      <c r="K21" s="123" t="s">
        <v>241</v>
      </c>
      <c r="L21" s="123" t="s">
        <v>86</v>
      </c>
      <c r="M21" s="123" t="s">
        <v>242</v>
      </c>
      <c r="N21" s="123"/>
      <c r="O21" s="106"/>
      <c r="P21" s="54" t="s">
        <v>243</v>
      </c>
      <c r="Q21" s="123" t="s">
        <v>244</v>
      </c>
      <c r="R21" s="123" t="s">
        <v>245</v>
      </c>
      <c r="S21" s="123"/>
      <c r="T21" s="54" t="s">
        <v>246</v>
      </c>
      <c r="U21" s="54" t="s">
        <v>247</v>
      </c>
      <c r="V21" s="123"/>
      <c r="W21" s="123"/>
      <c r="X21" s="123"/>
      <c r="Y21" s="123" t="s">
        <v>157</v>
      </c>
      <c r="Z21" s="54"/>
      <c r="AA21" s="54"/>
      <c r="AB21" s="54">
        <v>5</v>
      </c>
      <c r="AC21" s="54" t="s">
        <v>63</v>
      </c>
      <c r="AD21" s="123" t="s">
        <v>248</v>
      </c>
      <c r="AE21" s="54"/>
      <c r="AF21" s="54" t="s">
        <v>231</v>
      </c>
      <c r="AG21" s="140">
        <v>40163</v>
      </c>
      <c r="AH21" s="65">
        <f t="shared" si="0"/>
        <v>12</v>
      </c>
      <c r="AI21" s="65"/>
      <c r="AJ21" s="140">
        <v>40163</v>
      </c>
      <c r="AK21" s="65">
        <f t="shared" si="1"/>
        <v>12</v>
      </c>
      <c r="AL21" s="54" t="s">
        <v>66</v>
      </c>
      <c r="AM21" s="138"/>
      <c r="AN21" s="138"/>
      <c r="AO21" s="140"/>
      <c r="AP21" s="65" t="str">
        <f t="shared" si="2"/>
        <v/>
      </c>
      <c r="AQ21" s="123"/>
      <c r="AR21" s="23"/>
      <c r="AS21" s="54" t="s">
        <v>67</v>
      </c>
      <c r="AT21" s="158"/>
      <c r="AU21" s="70">
        <f t="shared" si="3"/>
        <v>1</v>
      </c>
      <c r="AV21" s="70" t="s">
        <v>68</v>
      </c>
    </row>
    <row r="22" spans="1:48" s="136" customFormat="1" ht="51" hidden="1" x14ac:dyDescent="0.2">
      <c r="A22" s="87">
        <v>10020</v>
      </c>
      <c r="B22" s="80" t="s">
        <v>249</v>
      </c>
      <c r="C22" s="80" t="s">
        <v>250</v>
      </c>
      <c r="D22" s="87"/>
      <c r="E22" s="123" t="s">
        <v>94</v>
      </c>
      <c r="F22" s="140">
        <v>29153</v>
      </c>
      <c r="G22" s="123" t="s">
        <v>52</v>
      </c>
      <c r="H22" s="54" t="s">
        <v>53</v>
      </c>
      <c r="I22" s="123" t="s">
        <v>251</v>
      </c>
      <c r="J22" s="140"/>
      <c r="K22" s="123" t="s">
        <v>52</v>
      </c>
      <c r="L22" s="123"/>
      <c r="M22" s="123"/>
      <c r="N22" s="123"/>
      <c r="O22" s="106"/>
      <c r="P22" s="54"/>
      <c r="Q22" s="123"/>
      <c r="R22" s="123" t="s">
        <v>252</v>
      </c>
      <c r="S22" s="123"/>
      <c r="T22" s="54" t="s">
        <v>253</v>
      </c>
      <c r="U22" s="54" t="s">
        <v>254</v>
      </c>
      <c r="V22" s="123"/>
      <c r="W22" s="123"/>
      <c r="X22" s="123"/>
      <c r="Y22" s="123" t="s">
        <v>79</v>
      </c>
      <c r="Z22" s="54"/>
      <c r="AA22" s="54"/>
      <c r="AB22" s="54"/>
      <c r="AC22" s="54"/>
      <c r="AD22" s="123" t="s">
        <v>81</v>
      </c>
      <c r="AE22" s="54"/>
      <c r="AF22" s="54" t="s">
        <v>65</v>
      </c>
      <c r="AG22" s="140"/>
      <c r="AH22" s="65" t="str">
        <f t="shared" si="0"/>
        <v/>
      </c>
      <c r="AI22" s="65"/>
      <c r="AJ22" s="140">
        <v>39814</v>
      </c>
      <c r="AK22" s="65">
        <f t="shared" si="1"/>
        <v>1</v>
      </c>
      <c r="AL22" s="54" t="s">
        <v>66</v>
      </c>
      <c r="AM22" s="138"/>
      <c r="AN22" s="138"/>
      <c r="AO22" s="140"/>
      <c r="AP22" s="65" t="str">
        <f t="shared" si="2"/>
        <v/>
      </c>
      <c r="AQ22" s="123"/>
      <c r="AR22" s="23"/>
      <c r="AS22" s="54" t="s">
        <v>67</v>
      </c>
      <c r="AT22" s="158"/>
      <c r="AU22" s="70">
        <f t="shared" si="3"/>
        <v>10</v>
      </c>
      <c r="AV22" s="70" t="s">
        <v>68</v>
      </c>
    </row>
    <row r="23" spans="1:48" s="136" customFormat="1" ht="38.25" hidden="1" x14ac:dyDescent="0.2">
      <c r="A23" s="87">
        <v>10021</v>
      </c>
      <c r="B23" s="80" t="s">
        <v>255</v>
      </c>
      <c r="C23" s="80" t="s">
        <v>256</v>
      </c>
      <c r="D23" s="87"/>
      <c r="E23" s="123" t="s">
        <v>94</v>
      </c>
      <c r="F23" s="140">
        <v>27281</v>
      </c>
      <c r="G23" s="123" t="s">
        <v>52</v>
      </c>
      <c r="H23" s="54" t="s">
        <v>53</v>
      </c>
      <c r="I23" s="123" t="s">
        <v>257</v>
      </c>
      <c r="J23" s="140">
        <v>39244</v>
      </c>
      <c r="K23" s="123" t="s">
        <v>52</v>
      </c>
      <c r="L23" s="123" t="s">
        <v>86</v>
      </c>
      <c r="M23" s="123" t="s">
        <v>258</v>
      </c>
      <c r="N23" s="123" t="s">
        <v>259</v>
      </c>
      <c r="O23" s="106"/>
      <c r="P23" s="54" t="s">
        <v>260</v>
      </c>
      <c r="Q23" s="123" t="s">
        <v>261</v>
      </c>
      <c r="R23" s="123" t="s">
        <v>262</v>
      </c>
      <c r="S23" s="123"/>
      <c r="T23" s="54" t="s">
        <v>263</v>
      </c>
      <c r="U23" s="54" t="s">
        <v>264</v>
      </c>
      <c r="V23" s="123"/>
      <c r="W23" s="123"/>
      <c r="X23" s="123"/>
      <c r="Y23" s="123" t="s">
        <v>91</v>
      </c>
      <c r="Z23" s="54"/>
      <c r="AA23" s="54"/>
      <c r="AB23" s="54">
        <v>6</v>
      </c>
      <c r="AC23" s="54" t="s">
        <v>63</v>
      </c>
      <c r="AD23" s="123" t="s">
        <v>64</v>
      </c>
      <c r="AE23" s="54"/>
      <c r="AF23" s="54" t="s">
        <v>65</v>
      </c>
      <c r="AG23" s="140">
        <v>40989</v>
      </c>
      <c r="AH23" s="65">
        <f t="shared" si="0"/>
        <v>3</v>
      </c>
      <c r="AI23" s="65"/>
      <c r="AJ23" s="140">
        <v>40989</v>
      </c>
      <c r="AK23" s="65">
        <f t="shared" si="1"/>
        <v>3</v>
      </c>
      <c r="AL23" s="54" t="s">
        <v>66</v>
      </c>
      <c r="AM23" s="138"/>
      <c r="AN23" s="138"/>
      <c r="AO23" s="140"/>
      <c r="AP23" s="65" t="str">
        <f t="shared" si="2"/>
        <v/>
      </c>
      <c r="AQ23" s="123"/>
      <c r="AR23" s="23"/>
      <c r="AS23" s="54" t="s">
        <v>67</v>
      </c>
      <c r="AT23" s="194"/>
      <c r="AU23" s="70">
        <f t="shared" si="3"/>
        <v>9</v>
      </c>
      <c r="AV23" s="70" t="s">
        <v>68</v>
      </c>
    </row>
    <row r="24" spans="1:48" s="136" customFormat="1" ht="19.5" hidden="1" customHeight="1" x14ac:dyDescent="0.2">
      <c r="A24" s="86">
        <v>10030</v>
      </c>
      <c r="B24" s="3" t="s">
        <v>265</v>
      </c>
      <c r="C24" s="3" t="s">
        <v>266</v>
      </c>
      <c r="D24" s="86"/>
      <c r="E24" s="36" t="s">
        <v>94</v>
      </c>
      <c r="F24" s="48">
        <v>31232</v>
      </c>
      <c r="G24" s="36"/>
      <c r="H24" s="81" t="s">
        <v>0</v>
      </c>
      <c r="I24" s="36" t="s">
        <v>267</v>
      </c>
      <c r="J24" s="48">
        <v>37944</v>
      </c>
      <c r="K24" s="36" t="s">
        <v>268</v>
      </c>
      <c r="L24" s="36" t="s">
        <v>123</v>
      </c>
      <c r="M24" s="36"/>
      <c r="N24" s="36"/>
      <c r="O24" s="101"/>
      <c r="P24" s="81"/>
      <c r="Q24" s="36"/>
      <c r="R24" s="36"/>
      <c r="S24" s="36"/>
      <c r="T24" s="81" t="s">
        <v>0</v>
      </c>
      <c r="U24" s="81" t="s">
        <v>0</v>
      </c>
      <c r="V24" s="36"/>
      <c r="W24" s="36"/>
      <c r="X24" s="36"/>
      <c r="Y24" s="36" t="s">
        <v>269</v>
      </c>
      <c r="Z24" s="81"/>
      <c r="AA24" s="54"/>
      <c r="AB24" s="81"/>
      <c r="AC24" s="81"/>
      <c r="AD24" s="36"/>
      <c r="AE24" s="81"/>
      <c r="AF24" s="81"/>
      <c r="AG24" s="48"/>
      <c r="AH24" s="134" t="str">
        <f t="shared" si="0"/>
        <v/>
      </c>
      <c r="AI24" s="134"/>
      <c r="AJ24" s="48"/>
      <c r="AK24" s="134" t="str">
        <f t="shared" si="1"/>
        <v/>
      </c>
      <c r="AL24" s="94" t="s">
        <v>82</v>
      </c>
      <c r="AM24" s="138"/>
      <c r="AN24" s="138"/>
      <c r="AO24" s="190"/>
      <c r="AP24" s="136" t="str">
        <f t="shared" si="2"/>
        <v/>
      </c>
      <c r="AQ24" s="127"/>
      <c r="AR24" s="23"/>
      <c r="AS24" s="94"/>
      <c r="AT24" s="23"/>
      <c r="AU24" s="70">
        <f t="shared" si="3"/>
        <v>7</v>
      </c>
      <c r="AV24" s="70" t="s">
        <v>68</v>
      </c>
    </row>
    <row r="25" spans="1:48" ht="19.5" hidden="1" customHeight="1" x14ac:dyDescent="0.2">
      <c r="A25" s="86">
        <v>20001</v>
      </c>
      <c r="B25" s="3" t="s">
        <v>270</v>
      </c>
      <c r="C25" s="3" t="s">
        <v>271</v>
      </c>
      <c r="D25" s="86"/>
      <c r="E25" s="36" t="s">
        <v>94</v>
      </c>
      <c r="F25" s="48">
        <v>28885</v>
      </c>
      <c r="G25" s="36" t="s">
        <v>272</v>
      </c>
      <c r="H25" s="81" t="s">
        <v>273</v>
      </c>
      <c r="I25" s="36" t="s">
        <v>274</v>
      </c>
      <c r="J25" s="48">
        <v>39445</v>
      </c>
      <c r="K25" s="36" t="s">
        <v>52</v>
      </c>
      <c r="L25" s="36" t="s">
        <v>123</v>
      </c>
      <c r="M25" s="36" t="s">
        <v>275</v>
      </c>
      <c r="N25" s="36" t="s">
        <v>276</v>
      </c>
      <c r="O25" s="101"/>
      <c r="P25" s="81" t="s">
        <v>277</v>
      </c>
      <c r="Q25" s="36" t="s">
        <v>278</v>
      </c>
      <c r="R25" s="36" t="s">
        <v>279</v>
      </c>
      <c r="S25" s="36"/>
      <c r="T25" s="81" t="s">
        <v>280</v>
      </c>
      <c r="U25" s="81" t="s">
        <v>281</v>
      </c>
      <c r="V25" s="36" t="s">
        <v>282</v>
      </c>
      <c r="W25" s="36" t="s">
        <v>283</v>
      </c>
      <c r="X25" s="36"/>
      <c r="Y25" s="36" t="s">
        <v>284</v>
      </c>
      <c r="Z25" s="81"/>
      <c r="AA25" s="54"/>
      <c r="AB25" s="81" t="s">
        <v>285</v>
      </c>
      <c r="AC25" s="81" t="s">
        <v>236</v>
      </c>
      <c r="AD25" s="36" t="s">
        <v>181</v>
      </c>
      <c r="AE25" s="81"/>
      <c r="AF25" s="81" t="s">
        <v>65</v>
      </c>
      <c r="AG25" s="48">
        <v>39532</v>
      </c>
      <c r="AH25" s="134">
        <f t="shared" si="0"/>
        <v>3</v>
      </c>
      <c r="AI25" s="134"/>
      <c r="AJ25" s="48">
        <v>39532</v>
      </c>
      <c r="AK25" s="134">
        <f t="shared" si="1"/>
        <v>3</v>
      </c>
      <c r="AL25" s="94" t="s">
        <v>82</v>
      </c>
      <c r="AM25" s="138"/>
      <c r="AN25" s="138"/>
      <c r="AO25" s="190">
        <v>41384</v>
      </c>
      <c r="AP25" s="136">
        <f t="shared" si="2"/>
        <v>4</v>
      </c>
      <c r="AQ25" s="127"/>
      <c r="AR25" s="23"/>
      <c r="AS25" s="94"/>
      <c r="AT25" s="136"/>
      <c r="AU25" s="70">
        <f t="shared" si="3"/>
        <v>1</v>
      </c>
      <c r="AV25" s="70" t="s">
        <v>68</v>
      </c>
    </row>
    <row r="26" spans="1:48" ht="38.25" hidden="1" x14ac:dyDescent="0.2">
      <c r="A26" s="86">
        <v>20002</v>
      </c>
      <c r="B26" s="3" t="s">
        <v>286</v>
      </c>
      <c r="C26" s="3" t="s">
        <v>287</v>
      </c>
      <c r="D26" s="86"/>
      <c r="E26" s="36" t="s">
        <v>94</v>
      </c>
      <c r="F26" s="48">
        <v>29443</v>
      </c>
      <c r="G26" s="36" t="s">
        <v>52</v>
      </c>
      <c r="H26" s="81" t="s">
        <v>53</v>
      </c>
      <c r="I26" s="36" t="s">
        <v>288</v>
      </c>
      <c r="J26" s="48">
        <v>36274</v>
      </c>
      <c r="K26" s="36" t="s">
        <v>52</v>
      </c>
      <c r="L26" s="36" t="s">
        <v>123</v>
      </c>
      <c r="M26" s="36" t="s">
        <v>289</v>
      </c>
      <c r="N26" s="36"/>
      <c r="O26" s="101"/>
      <c r="P26" s="81" t="s">
        <v>290</v>
      </c>
      <c r="Q26" s="36" t="s">
        <v>291</v>
      </c>
      <c r="R26" s="36" t="s">
        <v>292</v>
      </c>
      <c r="S26" s="36"/>
      <c r="T26" s="81" t="s">
        <v>293</v>
      </c>
      <c r="U26" s="81" t="s">
        <v>293</v>
      </c>
      <c r="V26" s="36"/>
      <c r="W26" s="36"/>
      <c r="X26" s="36"/>
      <c r="Y26" s="36" t="s">
        <v>294</v>
      </c>
      <c r="Z26" s="81"/>
      <c r="AA26" s="54"/>
      <c r="AB26" s="81"/>
      <c r="AC26" s="81"/>
      <c r="AD26" s="36"/>
      <c r="AE26" s="81"/>
      <c r="AF26" s="81"/>
      <c r="AG26" s="48"/>
      <c r="AH26" s="134" t="str">
        <f t="shared" si="0"/>
        <v/>
      </c>
      <c r="AI26" s="134"/>
      <c r="AJ26" s="48">
        <v>39532</v>
      </c>
      <c r="AK26" s="134">
        <f t="shared" si="1"/>
        <v>3</v>
      </c>
      <c r="AL26" s="94" t="s">
        <v>82</v>
      </c>
      <c r="AM26" s="138"/>
      <c r="AN26" s="138"/>
      <c r="AO26" s="190">
        <v>40633</v>
      </c>
      <c r="AP26" s="136">
        <f t="shared" si="2"/>
        <v>3</v>
      </c>
      <c r="AQ26" s="127"/>
      <c r="AR26" s="23"/>
      <c r="AS26" s="94"/>
      <c r="AT26" s="136"/>
      <c r="AU26" s="70">
        <f t="shared" si="3"/>
        <v>8</v>
      </c>
      <c r="AV26" s="70" t="s">
        <v>68</v>
      </c>
    </row>
    <row r="27" spans="1:48" s="136" customFormat="1" ht="19.5" hidden="1" customHeight="1" x14ac:dyDescent="0.2">
      <c r="A27" s="86">
        <v>20003</v>
      </c>
      <c r="B27" s="3" t="s">
        <v>295</v>
      </c>
      <c r="C27" s="3" t="s">
        <v>296</v>
      </c>
      <c r="D27" s="86"/>
      <c r="E27" s="36" t="s">
        <v>51</v>
      </c>
      <c r="F27" s="48">
        <v>30086</v>
      </c>
      <c r="G27" s="36" t="s">
        <v>52</v>
      </c>
      <c r="H27" s="81" t="s">
        <v>53</v>
      </c>
      <c r="I27" s="36" t="s">
        <v>297</v>
      </c>
      <c r="J27" s="48">
        <v>39790</v>
      </c>
      <c r="K27" s="36" t="s">
        <v>52</v>
      </c>
      <c r="L27" s="36" t="s">
        <v>123</v>
      </c>
      <c r="M27" s="36" t="s">
        <v>124</v>
      </c>
      <c r="N27" s="36"/>
      <c r="O27" s="101"/>
      <c r="P27" s="81" t="s">
        <v>298</v>
      </c>
      <c r="Q27" s="36"/>
      <c r="R27" s="36" t="s">
        <v>299</v>
      </c>
      <c r="S27" s="36"/>
      <c r="T27" s="81" t="s">
        <v>300</v>
      </c>
      <c r="U27" s="81" t="s">
        <v>301</v>
      </c>
      <c r="V27" s="36"/>
      <c r="W27" s="36"/>
      <c r="X27" s="36"/>
      <c r="Y27" s="36" t="s">
        <v>206</v>
      </c>
      <c r="Z27" s="81"/>
      <c r="AA27" s="54"/>
      <c r="AB27" s="81">
        <v>3</v>
      </c>
      <c r="AC27" s="81" t="s">
        <v>63</v>
      </c>
      <c r="AD27" s="36" t="s">
        <v>207</v>
      </c>
      <c r="AE27" s="81"/>
      <c r="AF27" s="81" t="s">
        <v>65</v>
      </c>
      <c r="AG27" s="48"/>
      <c r="AH27" s="134" t="str">
        <f t="shared" si="0"/>
        <v/>
      </c>
      <c r="AI27" s="134"/>
      <c r="AJ27" s="48">
        <v>40283</v>
      </c>
      <c r="AK27" s="134">
        <f t="shared" si="1"/>
        <v>4</v>
      </c>
      <c r="AL27" s="94" t="s">
        <v>82</v>
      </c>
      <c r="AM27" s="138"/>
      <c r="AN27" s="138"/>
      <c r="AO27" s="190">
        <v>40633</v>
      </c>
      <c r="AP27" s="136">
        <f t="shared" si="2"/>
        <v>3</v>
      </c>
      <c r="AQ27" s="127"/>
      <c r="AR27" s="23"/>
      <c r="AS27" s="94"/>
      <c r="AT27" s="184"/>
      <c r="AU27" s="70">
        <f t="shared" si="3"/>
        <v>5</v>
      </c>
      <c r="AV27" s="70" t="s">
        <v>68</v>
      </c>
    </row>
    <row r="28" spans="1:48" s="136" customFormat="1" ht="19.5" hidden="1" customHeight="1" x14ac:dyDescent="0.2">
      <c r="A28" s="87">
        <v>20004</v>
      </c>
      <c r="B28" s="80" t="s">
        <v>302</v>
      </c>
      <c r="C28" s="80" t="s">
        <v>232</v>
      </c>
      <c r="D28" s="87"/>
      <c r="E28" s="123" t="s">
        <v>94</v>
      </c>
      <c r="F28" s="140">
        <v>30124</v>
      </c>
      <c r="G28" s="123" t="s">
        <v>303</v>
      </c>
      <c r="H28" s="54" t="s">
        <v>304</v>
      </c>
      <c r="I28" s="123" t="s">
        <v>305</v>
      </c>
      <c r="J28" s="140">
        <v>39857</v>
      </c>
      <c r="K28" s="123" t="s">
        <v>52</v>
      </c>
      <c r="L28" s="123" t="s">
        <v>123</v>
      </c>
      <c r="M28" s="123" t="s">
        <v>306</v>
      </c>
      <c r="N28" s="123" t="s">
        <v>307</v>
      </c>
      <c r="O28" s="106"/>
      <c r="P28" s="54" t="s">
        <v>308</v>
      </c>
      <c r="Q28" s="123" t="s">
        <v>309</v>
      </c>
      <c r="R28" s="123" t="s">
        <v>310</v>
      </c>
      <c r="S28" s="123"/>
      <c r="T28" s="54" t="s">
        <v>311</v>
      </c>
      <c r="U28" s="54" t="s">
        <v>311</v>
      </c>
      <c r="V28" s="123"/>
      <c r="W28" s="123"/>
      <c r="X28" s="123"/>
      <c r="Y28" s="123" t="s">
        <v>312</v>
      </c>
      <c r="Z28" s="54"/>
      <c r="AA28" s="54"/>
      <c r="AB28" s="54" t="s">
        <v>285</v>
      </c>
      <c r="AC28" s="54" t="s">
        <v>236</v>
      </c>
      <c r="AD28" s="123" t="s">
        <v>198</v>
      </c>
      <c r="AE28" s="54" t="s">
        <v>313</v>
      </c>
      <c r="AF28" s="54" t="s">
        <v>65</v>
      </c>
      <c r="AG28" s="140">
        <v>39522</v>
      </c>
      <c r="AH28" s="65">
        <f t="shared" si="0"/>
        <v>3</v>
      </c>
      <c r="AI28" s="65"/>
      <c r="AJ28" s="140">
        <v>39522</v>
      </c>
      <c r="AK28" s="65">
        <f t="shared" si="1"/>
        <v>3</v>
      </c>
      <c r="AL28" s="54" t="s">
        <v>66</v>
      </c>
      <c r="AM28" s="138"/>
      <c r="AN28" s="138"/>
      <c r="AO28" s="140"/>
      <c r="AP28" s="65" t="str">
        <f t="shared" si="2"/>
        <v/>
      </c>
      <c r="AQ28" s="123"/>
      <c r="AR28" s="23"/>
      <c r="AS28" s="54" t="s">
        <v>107</v>
      </c>
      <c r="AT28" s="158"/>
      <c r="AU28" s="70">
        <f t="shared" si="3"/>
        <v>6</v>
      </c>
      <c r="AV28" s="70" t="s">
        <v>68</v>
      </c>
    </row>
    <row r="29" spans="1:48" s="136" customFormat="1" ht="25.5" hidden="1" x14ac:dyDescent="0.2">
      <c r="A29" s="86">
        <v>20005</v>
      </c>
      <c r="B29" s="3" t="s">
        <v>314</v>
      </c>
      <c r="C29" s="3" t="s">
        <v>315</v>
      </c>
      <c r="D29" s="86"/>
      <c r="E29" s="36" t="s">
        <v>94</v>
      </c>
      <c r="F29" s="48">
        <v>28186</v>
      </c>
      <c r="G29" s="36"/>
      <c r="H29" s="81" t="s">
        <v>316</v>
      </c>
      <c r="I29" s="36" t="s">
        <v>317</v>
      </c>
      <c r="J29" s="48">
        <v>34103</v>
      </c>
      <c r="K29" s="36" t="s">
        <v>52</v>
      </c>
      <c r="L29" s="36" t="s">
        <v>318</v>
      </c>
      <c r="M29" s="36" t="s">
        <v>319</v>
      </c>
      <c r="N29" s="36" t="s">
        <v>320</v>
      </c>
      <c r="O29" s="101"/>
      <c r="P29" s="159">
        <v>0</v>
      </c>
      <c r="Q29" s="36"/>
      <c r="R29" s="36" t="s">
        <v>321</v>
      </c>
      <c r="S29" s="36"/>
      <c r="T29" s="81"/>
      <c r="U29" s="81" t="s">
        <v>322</v>
      </c>
      <c r="V29" s="36"/>
      <c r="W29" s="36"/>
      <c r="X29" s="36"/>
      <c r="Y29" s="36"/>
      <c r="Z29" s="81"/>
      <c r="AA29" s="54"/>
      <c r="AB29" s="81"/>
      <c r="AC29" s="81"/>
      <c r="AD29" s="36"/>
      <c r="AE29" s="81"/>
      <c r="AF29" s="81" t="s">
        <v>65</v>
      </c>
      <c r="AG29" s="48"/>
      <c r="AH29" s="134" t="str">
        <f t="shared" si="0"/>
        <v/>
      </c>
      <c r="AI29" s="134"/>
      <c r="AJ29" s="48"/>
      <c r="AK29" s="134" t="str">
        <f t="shared" si="1"/>
        <v/>
      </c>
      <c r="AL29" s="54" t="s">
        <v>82</v>
      </c>
      <c r="AM29" s="54"/>
      <c r="AN29" s="54"/>
      <c r="AO29" s="140"/>
      <c r="AQ29" s="123"/>
      <c r="AR29" s="23"/>
      <c r="AS29" s="54"/>
      <c r="AT29" s="194"/>
      <c r="AU29" s="70">
        <f t="shared" si="3"/>
        <v>3</v>
      </c>
      <c r="AV29" s="70" t="s">
        <v>68</v>
      </c>
    </row>
    <row r="30" spans="1:48" ht="25.5" hidden="1" x14ac:dyDescent="0.2">
      <c r="A30" s="86">
        <v>20005</v>
      </c>
      <c r="B30" s="3" t="s">
        <v>314</v>
      </c>
      <c r="C30" s="3" t="s">
        <v>315</v>
      </c>
      <c r="D30" s="86"/>
      <c r="E30" s="36" t="s">
        <v>94</v>
      </c>
      <c r="F30" s="48">
        <v>28159</v>
      </c>
      <c r="G30" s="36" t="s">
        <v>316</v>
      </c>
      <c r="H30" s="81" t="s">
        <v>323</v>
      </c>
      <c r="I30" s="36" t="s">
        <v>317</v>
      </c>
      <c r="J30" s="48">
        <v>34103</v>
      </c>
      <c r="K30" s="36" t="s">
        <v>52</v>
      </c>
      <c r="L30" s="36" t="s">
        <v>123</v>
      </c>
      <c r="M30" s="36" t="s">
        <v>319</v>
      </c>
      <c r="N30" s="36"/>
      <c r="O30" s="101"/>
      <c r="P30" s="81"/>
      <c r="Q30" s="36" t="s">
        <v>324</v>
      </c>
      <c r="R30" s="36" t="s">
        <v>321</v>
      </c>
      <c r="S30" s="36"/>
      <c r="T30" s="81" t="s">
        <v>325</v>
      </c>
      <c r="U30" s="81" t="s">
        <v>325</v>
      </c>
      <c r="V30" s="36"/>
      <c r="W30" s="36"/>
      <c r="X30" s="36"/>
      <c r="Y30" s="36" t="s">
        <v>326</v>
      </c>
      <c r="Z30" s="81"/>
      <c r="AA30" s="54"/>
      <c r="AB30" s="81"/>
      <c r="AC30" s="81"/>
      <c r="AD30" s="36"/>
      <c r="AE30" s="81"/>
      <c r="AF30" s="81"/>
      <c r="AG30" s="48"/>
      <c r="AH30" s="134" t="str">
        <f t="shared" si="0"/>
        <v/>
      </c>
      <c r="AI30" s="134"/>
      <c r="AJ30" s="48">
        <v>39532</v>
      </c>
      <c r="AK30" s="134">
        <f t="shared" si="1"/>
        <v>3</v>
      </c>
      <c r="AL30" s="94" t="s">
        <v>82</v>
      </c>
      <c r="AM30" s="138"/>
      <c r="AN30" s="138"/>
      <c r="AO30" s="190"/>
      <c r="AP30" s="136" t="s">
        <v>0</v>
      </c>
      <c r="AQ30" s="127"/>
      <c r="AR30" s="23"/>
      <c r="AS30" s="94"/>
      <c r="AT30" s="136"/>
      <c r="AU30" s="70">
        <f t="shared" si="3"/>
        <v>2</v>
      </c>
      <c r="AV30" s="70" t="s">
        <v>68</v>
      </c>
    </row>
    <row r="31" spans="1:48" ht="25.5" hidden="1" x14ac:dyDescent="0.2">
      <c r="A31" s="86">
        <v>20006</v>
      </c>
      <c r="B31" s="3" t="s">
        <v>327</v>
      </c>
      <c r="C31" s="3" t="s">
        <v>328</v>
      </c>
      <c r="D31" s="86"/>
      <c r="E31" s="36" t="s">
        <v>51</v>
      </c>
      <c r="F31" s="48">
        <v>31277</v>
      </c>
      <c r="G31" s="36" t="s">
        <v>52</v>
      </c>
      <c r="H31" s="81" t="s">
        <v>53</v>
      </c>
      <c r="I31" s="36" t="s">
        <v>329</v>
      </c>
      <c r="J31" s="48">
        <v>37078</v>
      </c>
      <c r="K31" s="36" t="s">
        <v>52</v>
      </c>
      <c r="L31" s="36" t="s">
        <v>123</v>
      </c>
      <c r="M31" s="36" t="s">
        <v>330</v>
      </c>
      <c r="N31" s="36"/>
      <c r="O31" s="101"/>
      <c r="P31" s="81" t="s">
        <v>331</v>
      </c>
      <c r="Q31" s="36" t="s">
        <v>332</v>
      </c>
      <c r="R31" s="36" t="s">
        <v>333</v>
      </c>
      <c r="S31" s="36"/>
      <c r="T31" s="81" t="s">
        <v>334</v>
      </c>
      <c r="U31" s="81" t="s">
        <v>335</v>
      </c>
      <c r="V31" s="36"/>
      <c r="W31" s="36"/>
      <c r="X31" s="36"/>
      <c r="Y31" s="36" t="s">
        <v>294</v>
      </c>
      <c r="Z31" s="81"/>
      <c r="AA31" s="54"/>
      <c r="AB31" s="81" t="s">
        <v>285</v>
      </c>
      <c r="AC31" s="81" t="s">
        <v>236</v>
      </c>
      <c r="AD31" s="36"/>
      <c r="AE31" s="81"/>
      <c r="AF31" s="81" t="s">
        <v>65</v>
      </c>
      <c r="AG31" s="48"/>
      <c r="AH31" s="134" t="str">
        <f t="shared" si="0"/>
        <v/>
      </c>
      <c r="AI31" s="134"/>
      <c r="AJ31" s="48">
        <v>39527</v>
      </c>
      <c r="AK31" s="134">
        <f t="shared" si="1"/>
        <v>3</v>
      </c>
      <c r="AL31" s="94" t="s">
        <v>82</v>
      </c>
      <c r="AM31" s="138"/>
      <c r="AN31" s="138"/>
      <c r="AO31" s="190"/>
      <c r="AP31" s="136" t="str">
        <f t="shared" ref="AP31:AP50" si="4">IF((AO31=""),"",MONTH(AO31))</f>
        <v/>
      </c>
      <c r="AQ31" s="127"/>
      <c r="AR31" s="23"/>
      <c r="AS31" s="94"/>
      <c r="AT31" s="136"/>
      <c r="AU31" s="70">
        <f t="shared" si="3"/>
        <v>8</v>
      </c>
      <c r="AV31" s="70" t="s">
        <v>68</v>
      </c>
    </row>
    <row r="32" spans="1:48" s="136" customFormat="1" ht="19.5" hidden="1" customHeight="1" x14ac:dyDescent="0.2">
      <c r="A32" s="87">
        <v>20007</v>
      </c>
      <c r="B32" s="80" t="s">
        <v>336</v>
      </c>
      <c r="C32" s="80" t="s">
        <v>337</v>
      </c>
      <c r="D32" s="87"/>
      <c r="E32" s="123" t="s">
        <v>51</v>
      </c>
      <c r="F32" s="140">
        <v>31290</v>
      </c>
      <c r="G32" s="123" t="s">
        <v>338</v>
      </c>
      <c r="H32" s="54" t="s">
        <v>339</v>
      </c>
      <c r="I32" s="123" t="s">
        <v>340</v>
      </c>
      <c r="J32" s="140">
        <v>40820</v>
      </c>
      <c r="K32" s="123" t="s">
        <v>52</v>
      </c>
      <c r="L32" s="123" t="s">
        <v>341</v>
      </c>
      <c r="M32" s="123" t="s">
        <v>342</v>
      </c>
      <c r="N32" s="123"/>
      <c r="O32" s="106"/>
      <c r="P32" s="54" t="s">
        <v>343</v>
      </c>
      <c r="Q32" s="123" t="s">
        <v>344</v>
      </c>
      <c r="R32" s="123" t="s">
        <v>345</v>
      </c>
      <c r="S32" s="123"/>
      <c r="T32" s="54" t="s">
        <v>346</v>
      </c>
      <c r="U32" s="54" t="s">
        <v>346</v>
      </c>
      <c r="V32" s="123"/>
      <c r="W32" s="123"/>
      <c r="X32" s="123"/>
      <c r="Y32" s="123" t="s">
        <v>180</v>
      </c>
      <c r="Z32" s="54"/>
      <c r="AA32" s="54"/>
      <c r="AB32" s="54" t="s">
        <v>103</v>
      </c>
      <c r="AC32" s="54" t="s">
        <v>63</v>
      </c>
      <c r="AD32" s="123" t="s">
        <v>207</v>
      </c>
      <c r="AE32" s="54"/>
      <c r="AF32" s="54" t="s">
        <v>65</v>
      </c>
      <c r="AG32" s="140">
        <v>40026</v>
      </c>
      <c r="AH32" s="65">
        <f t="shared" si="0"/>
        <v>8</v>
      </c>
      <c r="AI32" s="65"/>
      <c r="AJ32" s="140">
        <v>40026</v>
      </c>
      <c r="AK32" s="65">
        <f t="shared" si="1"/>
        <v>8</v>
      </c>
      <c r="AL32" s="54" t="s">
        <v>66</v>
      </c>
      <c r="AM32" s="138"/>
      <c r="AN32" s="138"/>
      <c r="AO32" s="140"/>
      <c r="AP32" s="65" t="str">
        <f t="shared" si="4"/>
        <v/>
      </c>
      <c r="AQ32" s="123"/>
      <c r="AR32" s="23"/>
      <c r="AS32" s="54" t="s">
        <v>347</v>
      </c>
      <c r="AT32" s="184"/>
      <c r="AU32" s="70">
        <f t="shared" si="3"/>
        <v>8</v>
      </c>
      <c r="AV32" s="70" t="s">
        <v>68</v>
      </c>
    </row>
    <row r="33" spans="1:48" s="136" customFormat="1" ht="25.5" hidden="1" x14ac:dyDescent="0.2">
      <c r="A33" s="86">
        <v>20008</v>
      </c>
      <c r="B33" s="3" t="s">
        <v>348</v>
      </c>
      <c r="C33" s="3" t="s">
        <v>349</v>
      </c>
      <c r="D33" s="86"/>
      <c r="E33" s="36" t="s">
        <v>94</v>
      </c>
      <c r="F33" s="48">
        <v>31585</v>
      </c>
      <c r="G33" s="36" t="s">
        <v>171</v>
      </c>
      <c r="H33" s="81" t="s">
        <v>350</v>
      </c>
      <c r="I33" s="36" t="s">
        <v>351</v>
      </c>
      <c r="J33" s="48">
        <v>41283</v>
      </c>
      <c r="K33" s="36" t="s">
        <v>52</v>
      </c>
      <c r="L33" s="36" t="s">
        <v>352</v>
      </c>
      <c r="M33" s="36" t="s">
        <v>353</v>
      </c>
      <c r="N33" s="36" t="s">
        <v>354</v>
      </c>
      <c r="O33" s="101"/>
      <c r="P33" s="81" t="s">
        <v>355</v>
      </c>
      <c r="Q33" s="36" t="s">
        <v>356</v>
      </c>
      <c r="R33" s="36" t="s">
        <v>357</v>
      </c>
      <c r="S33" s="36"/>
      <c r="T33" s="81" t="s">
        <v>358</v>
      </c>
      <c r="U33" s="81" t="s">
        <v>359</v>
      </c>
      <c r="V33" s="36"/>
      <c r="W33" s="36"/>
      <c r="X33" s="36"/>
      <c r="Y33" s="36" t="s">
        <v>360</v>
      </c>
      <c r="Z33" s="81"/>
      <c r="AA33" s="81"/>
      <c r="AB33" s="81" t="s">
        <v>361</v>
      </c>
      <c r="AC33" s="81" t="s">
        <v>362</v>
      </c>
      <c r="AD33" s="36" t="s">
        <v>198</v>
      </c>
      <c r="AE33" s="81" t="s">
        <v>313</v>
      </c>
      <c r="AF33" s="81" t="s">
        <v>65</v>
      </c>
      <c r="AG33" s="48">
        <v>39532</v>
      </c>
      <c r="AH33" s="134">
        <f t="shared" si="0"/>
        <v>3</v>
      </c>
      <c r="AI33" s="134"/>
      <c r="AJ33" s="48">
        <v>39532</v>
      </c>
      <c r="AK33" s="134">
        <f t="shared" si="1"/>
        <v>3</v>
      </c>
      <c r="AL33" s="81" t="s">
        <v>82</v>
      </c>
      <c r="AM33" s="25"/>
      <c r="AN33" s="25"/>
      <c r="AO33" s="48">
        <v>41639</v>
      </c>
      <c r="AP33" s="134">
        <f t="shared" si="4"/>
        <v>12</v>
      </c>
      <c r="AQ33" s="36"/>
      <c r="AR33" s="116"/>
      <c r="AS33" s="81" t="s">
        <v>107</v>
      </c>
      <c r="AT33" s="49"/>
      <c r="AU33" s="172">
        <f t="shared" si="3"/>
        <v>6</v>
      </c>
      <c r="AV33" s="172" t="s">
        <v>68</v>
      </c>
    </row>
    <row r="34" spans="1:48" ht="12.75" hidden="1" x14ac:dyDescent="0.2">
      <c r="A34" s="87">
        <v>20009</v>
      </c>
      <c r="B34" s="80" t="s">
        <v>363</v>
      </c>
      <c r="C34" s="80" t="s">
        <v>364</v>
      </c>
      <c r="D34" s="87"/>
      <c r="E34" s="123" t="s">
        <v>94</v>
      </c>
      <c r="F34" s="140">
        <v>29614</v>
      </c>
      <c r="G34" s="123" t="s">
        <v>365</v>
      </c>
      <c r="H34" s="54" t="s">
        <v>366</v>
      </c>
      <c r="I34" s="123" t="s">
        <v>367</v>
      </c>
      <c r="J34" s="140">
        <v>36138</v>
      </c>
      <c r="K34" s="123" t="s">
        <v>365</v>
      </c>
      <c r="L34" s="123" t="s">
        <v>86</v>
      </c>
      <c r="M34" s="123" t="s">
        <v>96</v>
      </c>
      <c r="N34" s="123" t="s">
        <v>368</v>
      </c>
      <c r="O34" s="106"/>
      <c r="P34" s="54" t="s">
        <v>369</v>
      </c>
      <c r="Q34" s="123" t="s">
        <v>370</v>
      </c>
      <c r="R34" s="123" t="s">
        <v>371</v>
      </c>
      <c r="S34" s="123"/>
      <c r="T34" s="54" t="s">
        <v>372</v>
      </c>
      <c r="U34" s="54" t="s">
        <v>373</v>
      </c>
      <c r="V34" s="123"/>
      <c r="W34" s="123"/>
      <c r="X34" s="123"/>
      <c r="Y34" s="123" t="s">
        <v>374</v>
      </c>
      <c r="Z34" s="54"/>
      <c r="AA34" s="54"/>
      <c r="AB34" s="54">
        <v>3</v>
      </c>
      <c r="AC34" s="54" t="s">
        <v>63</v>
      </c>
      <c r="AD34" s="123" t="s">
        <v>375</v>
      </c>
      <c r="AE34" s="54" t="s">
        <v>376</v>
      </c>
      <c r="AF34" s="54" t="s">
        <v>65</v>
      </c>
      <c r="AG34" s="140">
        <v>39532</v>
      </c>
      <c r="AH34" s="65">
        <f t="shared" si="0"/>
        <v>3</v>
      </c>
      <c r="AI34" s="65"/>
      <c r="AJ34" s="140">
        <v>39532</v>
      </c>
      <c r="AK34" s="65">
        <f t="shared" si="1"/>
        <v>3</v>
      </c>
      <c r="AL34" s="54" t="s">
        <v>66</v>
      </c>
      <c r="AM34" s="138"/>
      <c r="AN34" s="138"/>
      <c r="AO34" s="140"/>
      <c r="AP34" s="65" t="str">
        <f t="shared" si="4"/>
        <v/>
      </c>
      <c r="AQ34" s="123"/>
      <c r="AR34" s="23"/>
      <c r="AS34" s="54" t="s">
        <v>107</v>
      </c>
      <c r="AT34" s="136"/>
      <c r="AU34" s="70">
        <f t="shared" si="3"/>
        <v>1</v>
      </c>
      <c r="AV34" s="70" t="s">
        <v>68</v>
      </c>
    </row>
    <row r="35" spans="1:48" s="136" customFormat="1" ht="38.25" hidden="1" x14ac:dyDescent="0.2">
      <c r="A35" s="86">
        <v>20010</v>
      </c>
      <c r="B35" s="3" t="s">
        <v>377</v>
      </c>
      <c r="C35" s="3" t="s">
        <v>378</v>
      </c>
      <c r="D35" s="86"/>
      <c r="E35" s="36" t="s">
        <v>94</v>
      </c>
      <c r="F35" s="48">
        <v>31660</v>
      </c>
      <c r="G35" s="36" t="s">
        <v>379</v>
      </c>
      <c r="H35" s="81" t="s">
        <v>380</v>
      </c>
      <c r="I35" s="36" t="s">
        <v>381</v>
      </c>
      <c r="J35" s="48">
        <v>39786</v>
      </c>
      <c r="K35" s="36" t="s">
        <v>52</v>
      </c>
      <c r="L35" s="36" t="s">
        <v>123</v>
      </c>
      <c r="M35" s="36" t="s">
        <v>382</v>
      </c>
      <c r="N35" s="36"/>
      <c r="O35" s="101"/>
      <c r="P35" s="81" t="s">
        <v>383</v>
      </c>
      <c r="Q35" s="36" t="s">
        <v>384</v>
      </c>
      <c r="R35" s="36" t="s">
        <v>385</v>
      </c>
      <c r="S35" s="36"/>
      <c r="T35" s="81" t="s">
        <v>386</v>
      </c>
      <c r="U35" s="81" t="s">
        <v>386</v>
      </c>
      <c r="V35" s="36"/>
      <c r="W35" s="36"/>
      <c r="X35" s="36"/>
      <c r="Y35" s="36"/>
      <c r="Z35" s="81"/>
      <c r="AA35" s="54"/>
      <c r="AB35" s="81"/>
      <c r="AC35" s="81"/>
      <c r="AD35" s="36"/>
      <c r="AE35" s="81"/>
      <c r="AF35" s="81"/>
      <c r="AG35" s="48"/>
      <c r="AH35" s="134" t="str">
        <f t="shared" si="0"/>
        <v/>
      </c>
      <c r="AI35" s="134"/>
      <c r="AJ35" s="48"/>
      <c r="AK35" s="134" t="str">
        <f t="shared" si="1"/>
        <v/>
      </c>
      <c r="AL35" s="94" t="s">
        <v>82</v>
      </c>
      <c r="AM35" s="138"/>
      <c r="AN35" s="138"/>
      <c r="AO35" s="190"/>
      <c r="AP35" s="136" t="str">
        <f t="shared" si="4"/>
        <v/>
      </c>
      <c r="AQ35" s="127"/>
      <c r="AR35" s="23"/>
      <c r="AS35" s="94"/>
      <c r="AT35" s="23"/>
      <c r="AU35" s="70">
        <f t="shared" ref="AU35:AU66" si="5">IF((F35=""),"",MONTH(F35))</f>
        <v>9</v>
      </c>
      <c r="AV35" s="70" t="s">
        <v>68</v>
      </c>
    </row>
    <row r="36" spans="1:48" ht="19.5" hidden="1" customHeight="1" x14ac:dyDescent="0.2">
      <c r="A36" s="87">
        <v>20011</v>
      </c>
      <c r="B36" s="80" t="s">
        <v>387</v>
      </c>
      <c r="C36" s="80" t="s">
        <v>388</v>
      </c>
      <c r="D36" s="87"/>
      <c r="E36" s="123" t="s">
        <v>51</v>
      </c>
      <c r="F36" s="140">
        <v>29972</v>
      </c>
      <c r="G36" s="123" t="s">
        <v>52</v>
      </c>
      <c r="H36" s="54" t="s">
        <v>53</v>
      </c>
      <c r="I36" s="123" t="s">
        <v>389</v>
      </c>
      <c r="J36" s="140">
        <v>38204</v>
      </c>
      <c r="K36" s="123" t="s">
        <v>52</v>
      </c>
      <c r="L36" s="123" t="s">
        <v>86</v>
      </c>
      <c r="M36" s="123" t="s">
        <v>390</v>
      </c>
      <c r="N36" s="123"/>
      <c r="O36" s="106"/>
      <c r="P36" s="54" t="s">
        <v>391</v>
      </c>
      <c r="Q36" s="123"/>
      <c r="R36" s="123" t="s">
        <v>392</v>
      </c>
      <c r="S36" s="123"/>
      <c r="T36" s="54" t="s">
        <v>393</v>
      </c>
      <c r="U36" s="54" t="s">
        <v>394</v>
      </c>
      <c r="V36" s="123"/>
      <c r="W36" s="123"/>
      <c r="X36" s="123"/>
      <c r="Y36" s="123" t="s">
        <v>312</v>
      </c>
      <c r="Z36" s="54"/>
      <c r="AA36" s="54"/>
      <c r="AB36" s="54" t="s">
        <v>285</v>
      </c>
      <c r="AC36" s="54" t="s">
        <v>236</v>
      </c>
      <c r="AD36" s="123" t="s">
        <v>168</v>
      </c>
      <c r="AE36" s="54"/>
      <c r="AF36" s="54" t="s">
        <v>65</v>
      </c>
      <c r="AG36" s="140">
        <v>39532</v>
      </c>
      <c r="AH36" s="65">
        <f t="shared" si="0"/>
        <v>3</v>
      </c>
      <c r="AI36" s="65"/>
      <c r="AJ36" s="140">
        <v>39532</v>
      </c>
      <c r="AK36" s="65">
        <f t="shared" si="1"/>
        <v>3</v>
      </c>
      <c r="AL36" s="54" t="s">
        <v>66</v>
      </c>
      <c r="AM36" s="138"/>
      <c r="AN36" s="138"/>
      <c r="AO36" s="140"/>
      <c r="AP36" s="65" t="str">
        <f t="shared" si="4"/>
        <v/>
      </c>
      <c r="AQ36" s="123"/>
      <c r="AR36" s="23"/>
      <c r="AS36" s="54" t="s">
        <v>107</v>
      </c>
      <c r="AT36" s="136"/>
      <c r="AU36" s="70">
        <f t="shared" si="5"/>
        <v>1</v>
      </c>
      <c r="AV36" s="70" t="s">
        <v>68</v>
      </c>
    </row>
    <row r="37" spans="1:48" ht="19.5" hidden="1" customHeight="1" x14ac:dyDescent="0.2">
      <c r="A37" s="87">
        <v>20012</v>
      </c>
      <c r="B37" s="80" t="s">
        <v>395</v>
      </c>
      <c r="C37" s="80" t="s">
        <v>396</v>
      </c>
      <c r="D37" s="87"/>
      <c r="E37" s="123" t="s">
        <v>94</v>
      </c>
      <c r="F37" s="140">
        <v>30618</v>
      </c>
      <c r="G37" s="123" t="s">
        <v>397</v>
      </c>
      <c r="H37" s="54" t="s">
        <v>398</v>
      </c>
      <c r="I37" s="123" t="s">
        <v>399</v>
      </c>
      <c r="J37" s="140">
        <v>36289</v>
      </c>
      <c r="K37" s="123" t="s">
        <v>397</v>
      </c>
      <c r="L37" s="123" t="s">
        <v>123</v>
      </c>
      <c r="M37" s="123" t="s">
        <v>382</v>
      </c>
      <c r="N37" s="123" t="s">
        <v>368</v>
      </c>
      <c r="O37" s="106"/>
      <c r="P37" s="54" t="s">
        <v>400</v>
      </c>
      <c r="Q37" s="123" t="s">
        <v>401</v>
      </c>
      <c r="R37" s="123" t="s">
        <v>402</v>
      </c>
      <c r="S37" s="123"/>
      <c r="T37" s="54" t="s">
        <v>403</v>
      </c>
      <c r="U37" s="54" t="s">
        <v>0</v>
      </c>
      <c r="V37" s="123"/>
      <c r="W37" s="123"/>
      <c r="X37" s="123"/>
      <c r="Y37" s="123" t="s">
        <v>180</v>
      </c>
      <c r="Z37" s="54"/>
      <c r="AA37" s="54"/>
      <c r="AB37" s="54" t="s">
        <v>103</v>
      </c>
      <c r="AC37" s="54" t="s">
        <v>63</v>
      </c>
      <c r="AD37" s="123" t="s">
        <v>404</v>
      </c>
      <c r="AE37" s="54"/>
      <c r="AF37" s="54" t="s">
        <v>65</v>
      </c>
      <c r="AG37" s="140">
        <v>39532</v>
      </c>
      <c r="AH37" s="65">
        <f t="shared" si="0"/>
        <v>3</v>
      </c>
      <c r="AI37" s="65"/>
      <c r="AJ37" s="140">
        <v>39532</v>
      </c>
      <c r="AK37" s="65">
        <f t="shared" si="1"/>
        <v>3</v>
      </c>
      <c r="AL37" s="54" t="s">
        <v>66</v>
      </c>
      <c r="AM37" s="138">
        <v>41454</v>
      </c>
      <c r="AN37" s="138">
        <v>41641</v>
      </c>
      <c r="AO37" s="140"/>
      <c r="AP37" s="65" t="str">
        <f t="shared" si="4"/>
        <v/>
      </c>
      <c r="AQ37" s="123"/>
      <c r="AR37" s="23"/>
      <c r="AS37" s="54" t="s">
        <v>347</v>
      </c>
      <c r="AT37" s="136"/>
      <c r="AU37" s="70">
        <f t="shared" si="5"/>
        <v>10</v>
      </c>
      <c r="AV37" s="70" t="s">
        <v>68</v>
      </c>
    </row>
    <row r="38" spans="1:48" s="136" customFormat="1" ht="19.5" hidden="1" customHeight="1" x14ac:dyDescent="0.2">
      <c r="A38" s="87">
        <v>20013</v>
      </c>
      <c r="B38" s="80" t="s">
        <v>405</v>
      </c>
      <c r="C38" s="80" t="s">
        <v>232</v>
      </c>
      <c r="D38" s="87"/>
      <c r="E38" s="123" t="s">
        <v>94</v>
      </c>
      <c r="F38" s="140">
        <v>30555</v>
      </c>
      <c r="G38" s="123" t="s">
        <v>52</v>
      </c>
      <c r="H38" s="54" t="s">
        <v>53</v>
      </c>
      <c r="I38" s="123" t="s">
        <v>406</v>
      </c>
      <c r="J38" s="140">
        <v>39695</v>
      </c>
      <c r="K38" s="123" t="s">
        <v>52</v>
      </c>
      <c r="L38" s="123" t="s">
        <v>123</v>
      </c>
      <c r="M38" s="123" t="s">
        <v>124</v>
      </c>
      <c r="N38" s="123"/>
      <c r="O38" s="106"/>
      <c r="P38" s="54" t="s">
        <v>407</v>
      </c>
      <c r="Q38" s="123" t="s">
        <v>408</v>
      </c>
      <c r="R38" s="123" t="s">
        <v>409</v>
      </c>
      <c r="S38" s="123"/>
      <c r="T38" s="54" t="s">
        <v>410</v>
      </c>
      <c r="U38" s="54" t="s">
        <v>410</v>
      </c>
      <c r="V38" s="123"/>
      <c r="W38" s="123"/>
      <c r="X38" s="123"/>
      <c r="Y38" s="123" t="s">
        <v>180</v>
      </c>
      <c r="Z38" s="54"/>
      <c r="AA38" s="54"/>
      <c r="AB38" s="54" t="s">
        <v>103</v>
      </c>
      <c r="AC38" s="54" t="s">
        <v>63</v>
      </c>
      <c r="AD38" s="123" t="s">
        <v>158</v>
      </c>
      <c r="AE38" s="54"/>
      <c r="AF38" s="54" t="s">
        <v>65</v>
      </c>
      <c r="AG38" s="140">
        <v>39532</v>
      </c>
      <c r="AH38" s="65">
        <f t="shared" si="0"/>
        <v>3</v>
      </c>
      <c r="AI38" s="65"/>
      <c r="AJ38" s="140">
        <v>39532</v>
      </c>
      <c r="AK38" s="65">
        <f t="shared" si="1"/>
        <v>3</v>
      </c>
      <c r="AL38" s="54" t="s">
        <v>66</v>
      </c>
      <c r="AM38" s="138">
        <v>41167</v>
      </c>
      <c r="AN38" s="138">
        <v>41397</v>
      </c>
      <c r="AO38" s="140"/>
      <c r="AP38" s="65" t="str">
        <f t="shared" si="4"/>
        <v/>
      </c>
      <c r="AQ38" s="123"/>
      <c r="AR38" s="23"/>
      <c r="AS38" s="54" t="s">
        <v>107</v>
      </c>
      <c r="AT38" s="184"/>
      <c r="AU38" s="70">
        <f t="shared" si="5"/>
        <v>8</v>
      </c>
      <c r="AV38" s="70" t="s">
        <v>68</v>
      </c>
    </row>
    <row r="39" spans="1:48" s="136" customFormat="1" ht="19.5" hidden="1" customHeight="1" x14ac:dyDescent="0.2">
      <c r="A39" s="86">
        <v>20014</v>
      </c>
      <c r="B39" s="3" t="s">
        <v>411</v>
      </c>
      <c r="C39" s="3" t="s">
        <v>232</v>
      </c>
      <c r="D39" s="86"/>
      <c r="E39" s="36" t="s">
        <v>94</v>
      </c>
      <c r="F39" s="48">
        <v>29443</v>
      </c>
      <c r="G39" s="36" t="s">
        <v>412</v>
      </c>
      <c r="H39" s="81" t="s">
        <v>413</v>
      </c>
      <c r="I39" s="36" t="s">
        <v>414</v>
      </c>
      <c r="J39" s="48">
        <v>35108</v>
      </c>
      <c r="K39" s="36" t="s">
        <v>415</v>
      </c>
      <c r="L39" s="36" t="s">
        <v>341</v>
      </c>
      <c r="M39" s="36" t="s">
        <v>416</v>
      </c>
      <c r="N39" s="36" t="s">
        <v>417</v>
      </c>
      <c r="O39" s="101"/>
      <c r="P39" s="81" t="s">
        <v>418</v>
      </c>
      <c r="Q39" s="36" t="s">
        <v>419</v>
      </c>
      <c r="R39" s="36" t="s">
        <v>420</v>
      </c>
      <c r="S39" s="36"/>
      <c r="T39" s="81" t="s">
        <v>421</v>
      </c>
      <c r="U39" s="81" t="s">
        <v>422</v>
      </c>
      <c r="V39" s="36"/>
      <c r="W39" s="36"/>
      <c r="X39" s="36"/>
      <c r="Y39" s="36"/>
      <c r="Z39" s="81"/>
      <c r="AA39" s="54"/>
      <c r="AB39" s="81"/>
      <c r="AC39" s="81"/>
      <c r="AD39" s="36" t="s">
        <v>221</v>
      </c>
      <c r="AE39" s="81"/>
      <c r="AF39" s="81" t="s">
        <v>65</v>
      </c>
      <c r="AG39" s="48"/>
      <c r="AH39" s="134" t="str">
        <f t="shared" si="0"/>
        <v/>
      </c>
      <c r="AI39" s="134"/>
      <c r="AJ39" s="48">
        <v>39527</v>
      </c>
      <c r="AK39" s="134">
        <f t="shared" si="1"/>
        <v>3</v>
      </c>
      <c r="AL39" s="94" t="s">
        <v>82</v>
      </c>
      <c r="AM39" s="138"/>
      <c r="AN39" s="138"/>
      <c r="AO39" s="190"/>
      <c r="AP39" s="136" t="str">
        <f t="shared" si="4"/>
        <v/>
      </c>
      <c r="AQ39" s="127"/>
      <c r="AR39" s="23"/>
      <c r="AS39" s="54" t="s">
        <v>107</v>
      </c>
      <c r="AT39" s="158"/>
      <c r="AU39" s="70">
        <f t="shared" si="5"/>
        <v>8</v>
      </c>
      <c r="AV39" s="70" t="s">
        <v>68</v>
      </c>
    </row>
    <row r="40" spans="1:48" s="136" customFormat="1" ht="19.5" hidden="1" customHeight="1" x14ac:dyDescent="0.2">
      <c r="A40" s="86">
        <v>20015</v>
      </c>
      <c r="B40" s="3" t="s">
        <v>423</v>
      </c>
      <c r="C40" s="3" t="s">
        <v>424</v>
      </c>
      <c r="D40" s="86"/>
      <c r="E40" s="36" t="s">
        <v>94</v>
      </c>
      <c r="F40" s="48">
        <v>31408</v>
      </c>
      <c r="G40" s="36" t="s">
        <v>132</v>
      </c>
      <c r="H40" s="81" t="s">
        <v>133</v>
      </c>
      <c r="I40" s="36" t="s">
        <v>425</v>
      </c>
      <c r="J40" s="48">
        <v>36983</v>
      </c>
      <c r="K40" s="36" t="s">
        <v>132</v>
      </c>
      <c r="L40" s="36" t="s">
        <v>86</v>
      </c>
      <c r="M40" s="36" t="s">
        <v>124</v>
      </c>
      <c r="N40" s="36"/>
      <c r="O40" s="101"/>
      <c r="P40" s="81" t="s">
        <v>426</v>
      </c>
      <c r="Q40" s="36" t="s">
        <v>427</v>
      </c>
      <c r="R40" s="36" t="s">
        <v>428</v>
      </c>
      <c r="S40" s="36"/>
      <c r="T40" s="81" t="s">
        <v>429</v>
      </c>
      <c r="U40" s="81" t="s">
        <v>430</v>
      </c>
      <c r="V40" s="36"/>
      <c r="W40" s="36"/>
      <c r="X40" s="36"/>
      <c r="Y40" s="36" t="s">
        <v>374</v>
      </c>
      <c r="Z40" s="81"/>
      <c r="AA40" s="54"/>
      <c r="AB40" s="81">
        <v>3</v>
      </c>
      <c r="AC40" s="81" t="s">
        <v>63</v>
      </c>
      <c r="AD40" s="36"/>
      <c r="AE40" s="81"/>
      <c r="AF40" s="81" t="s">
        <v>65</v>
      </c>
      <c r="AG40" s="48"/>
      <c r="AH40" s="134" t="str">
        <f t="shared" si="0"/>
        <v/>
      </c>
      <c r="AI40" s="134"/>
      <c r="AJ40" s="48">
        <v>39532</v>
      </c>
      <c r="AK40" s="134">
        <f t="shared" si="1"/>
        <v>3</v>
      </c>
      <c r="AL40" s="94" t="s">
        <v>82</v>
      </c>
      <c r="AM40" s="138"/>
      <c r="AN40" s="138"/>
      <c r="AO40" s="190">
        <v>40909</v>
      </c>
      <c r="AP40" s="136">
        <f t="shared" si="4"/>
        <v>1</v>
      </c>
      <c r="AQ40" s="127"/>
      <c r="AR40" s="23"/>
      <c r="AS40" s="94"/>
      <c r="AT40" s="194"/>
      <c r="AU40" s="70">
        <f t="shared" si="5"/>
        <v>12</v>
      </c>
      <c r="AV40" s="70" t="s">
        <v>68</v>
      </c>
    </row>
    <row r="41" spans="1:48" ht="19.5" hidden="1" customHeight="1" x14ac:dyDescent="0.2">
      <c r="A41" s="86">
        <v>20016</v>
      </c>
      <c r="B41" s="3" t="s">
        <v>431</v>
      </c>
      <c r="C41" s="3" t="s">
        <v>160</v>
      </c>
      <c r="D41" s="86"/>
      <c r="E41" s="36" t="s">
        <v>94</v>
      </c>
      <c r="F41" s="48">
        <v>28964</v>
      </c>
      <c r="G41" s="36" t="s">
        <v>132</v>
      </c>
      <c r="H41" s="81" t="s">
        <v>133</v>
      </c>
      <c r="I41" s="36" t="s">
        <v>432</v>
      </c>
      <c r="J41" s="48">
        <v>39506</v>
      </c>
      <c r="K41" s="36" t="s">
        <v>52</v>
      </c>
      <c r="L41" s="36" t="s">
        <v>123</v>
      </c>
      <c r="M41" s="36" t="s">
        <v>433</v>
      </c>
      <c r="N41" s="36"/>
      <c r="O41" s="101"/>
      <c r="P41" s="81" t="s">
        <v>434</v>
      </c>
      <c r="Q41" s="36" t="s">
        <v>435</v>
      </c>
      <c r="R41" s="36" t="s">
        <v>436</v>
      </c>
      <c r="S41" s="36"/>
      <c r="T41" s="81" t="s">
        <v>437</v>
      </c>
      <c r="U41" s="81" t="s">
        <v>438</v>
      </c>
      <c r="V41" s="36"/>
      <c r="W41" s="36"/>
      <c r="X41" s="36"/>
      <c r="Y41" s="36"/>
      <c r="Z41" s="81"/>
      <c r="AA41" s="54"/>
      <c r="AB41" s="81"/>
      <c r="AC41" s="81"/>
      <c r="AD41" s="36" t="s">
        <v>221</v>
      </c>
      <c r="AE41" s="81"/>
      <c r="AF41" s="81" t="s">
        <v>65</v>
      </c>
      <c r="AG41" s="48"/>
      <c r="AH41" s="134" t="str">
        <f t="shared" si="0"/>
        <v/>
      </c>
      <c r="AI41" s="134"/>
      <c r="AJ41" s="48">
        <v>39539</v>
      </c>
      <c r="AK41" s="134">
        <f t="shared" si="1"/>
        <v>4</v>
      </c>
      <c r="AL41" s="94" t="s">
        <v>82</v>
      </c>
      <c r="AM41" s="138"/>
      <c r="AN41" s="138"/>
      <c r="AO41" s="190"/>
      <c r="AP41" s="136" t="str">
        <f t="shared" si="4"/>
        <v/>
      </c>
      <c r="AQ41" s="127"/>
      <c r="AR41" s="23"/>
      <c r="AS41" s="54" t="s">
        <v>107</v>
      </c>
      <c r="AT41" s="136"/>
      <c r="AU41" s="70">
        <f t="shared" si="5"/>
        <v>4</v>
      </c>
      <c r="AV41" s="70" t="s">
        <v>68</v>
      </c>
    </row>
    <row r="42" spans="1:48" ht="19.5" hidden="1" customHeight="1" x14ac:dyDescent="0.2">
      <c r="A42" s="86">
        <v>20017</v>
      </c>
      <c r="B42" s="3" t="s">
        <v>439</v>
      </c>
      <c r="C42" s="3" t="s">
        <v>131</v>
      </c>
      <c r="D42" s="86"/>
      <c r="E42" s="36" t="s">
        <v>94</v>
      </c>
      <c r="F42" s="48">
        <v>28668</v>
      </c>
      <c r="G42" s="36" t="s">
        <v>379</v>
      </c>
      <c r="H42" s="81" t="s">
        <v>380</v>
      </c>
      <c r="I42" s="36" t="s">
        <v>440</v>
      </c>
      <c r="J42" s="48">
        <v>35143</v>
      </c>
      <c r="K42" s="36" t="s">
        <v>379</v>
      </c>
      <c r="L42" s="36" t="s">
        <v>123</v>
      </c>
      <c r="M42" s="36" t="s">
        <v>441</v>
      </c>
      <c r="N42" s="36"/>
      <c r="O42" s="101"/>
      <c r="P42" s="81" t="s">
        <v>442</v>
      </c>
      <c r="Q42" s="36"/>
      <c r="R42" s="36" t="s">
        <v>443</v>
      </c>
      <c r="S42" s="36"/>
      <c r="T42" s="81" t="s">
        <v>444</v>
      </c>
      <c r="U42" s="81" t="s">
        <v>445</v>
      </c>
      <c r="V42" s="36"/>
      <c r="W42" s="36"/>
      <c r="X42" s="36"/>
      <c r="Y42" s="36"/>
      <c r="Z42" s="81"/>
      <c r="AA42" s="54"/>
      <c r="AB42" s="81"/>
      <c r="AC42" s="81"/>
      <c r="AD42" s="36" t="s">
        <v>221</v>
      </c>
      <c r="AE42" s="81"/>
      <c r="AF42" s="81" t="s">
        <v>65</v>
      </c>
      <c r="AG42" s="48"/>
      <c r="AH42" s="134" t="str">
        <f t="shared" si="0"/>
        <v/>
      </c>
      <c r="AI42" s="134"/>
      <c r="AJ42" s="48">
        <v>39548</v>
      </c>
      <c r="AK42" s="134">
        <f t="shared" si="1"/>
        <v>4</v>
      </c>
      <c r="AL42" s="94" t="s">
        <v>82</v>
      </c>
      <c r="AM42" s="138"/>
      <c r="AN42" s="138"/>
      <c r="AO42" s="190"/>
      <c r="AP42" s="136" t="str">
        <f t="shared" si="4"/>
        <v/>
      </c>
      <c r="AQ42" s="127"/>
      <c r="AR42" s="23"/>
      <c r="AS42" s="54" t="s">
        <v>107</v>
      </c>
      <c r="AT42" s="136"/>
      <c r="AU42" s="70">
        <f t="shared" si="5"/>
        <v>6</v>
      </c>
      <c r="AV42" s="70" t="s">
        <v>68</v>
      </c>
    </row>
    <row r="43" spans="1:48" ht="38.25" hidden="1" x14ac:dyDescent="0.2">
      <c r="A43" s="86">
        <v>20018</v>
      </c>
      <c r="B43" s="3" t="s">
        <v>446</v>
      </c>
      <c r="C43" s="3" t="s">
        <v>70</v>
      </c>
      <c r="D43" s="86"/>
      <c r="E43" s="36" t="s">
        <v>94</v>
      </c>
      <c r="F43" s="48">
        <v>31076</v>
      </c>
      <c r="G43" s="36" t="s">
        <v>365</v>
      </c>
      <c r="H43" s="81" t="s">
        <v>366</v>
      </c>
      <c r="I43" s="36" t="s">
        <v>447</v>
      </c>
      <c r="J43" s="48">
        <v>37202</v>
      </c>
      <c r="K43" s="36" t="s">
        <v>365</v>
      </c>
      <c r="L43" s="36" t="s">
        <v>123</v>
      </c>
      <c r="M43" s="36" t="s">
        <v>448</v>
      </c>
      <c r="N43" s="36"/>
      <c r="O43" s="101"/>
      <c r="P43" s="81"/>
      <c r="Q43" s="36" t="s">
        <v>449</v>
      </c>
      <c r="R43" s="36" t="s">
        <v>450</v>
      </c>
      <c r="S43" s="36"/>
      <c r="T43" s="81" t="s">
        <v>451</v>
      </c>
      <c r="U43" s="81" t="s">
        <v>452</v>
      </c>
      <c r="V43" s="36"/>
      <c r="W43" s="36"/>
      <c r="X43" s="36"/>
      <c r="Y43" s="36" t="s">
        <v>294</v>
      </c>
      <c r="Z43" s="81"/>
      <c r="AA43" s="54"/>
      <c r="AB43" s="81">
        <v>1</v>
      </c>
      <c r="AC43" s="81" t="s">
        <v>236</v>
      </c>
      <c r="AD43" s="36" t="s">
        <v>453</v>
      </c>
      <c r="AE43" s="81"/>
      <c r="AF43" s="81" t="s">
        <v>65</v>
      </c>
      <c r="AG43" s="48"/>
      <c r="AH43" s="134" t="str">
        <f t="shared" si="0"/>
        <v/>
      </c>
      <c r="AI43" s="134"/>
      <c r="AJ43" s="48">
        <v>39532</v>
      </c>
      <c r="AK43" s="134">
        <f t="shared" si="1"/>
        <v>3</v>
      </c>
      <c r="AL43" s="94" t="s">
        <v>82</v>
      </c>
      <c r="AM43" s="138"/>
      <c r="AN43" s="138"/>
      <c r="AO43" s="190">
        <v>40026</v>
      </c>
      <c r="AP43" s="136">
        <f t="shared" si="4"/>
        <v>8</v>
      </c>
      <c r="AQ43" s="127"/>
      <c r="AR43" s="23"/>
      <c r="AS43" s="94"/>
      <c r="AT43" s="136"/>
      <c r="AU43" s="70">
        <f t="shared" si="5"/>
        <v>1</v>
      </c>
      <c r="AV43" s="70" t="s">
        <v>68</v>
      </c>
    </row>
    <row r="44" spans="1:48" s="136" customFormat="1" ht="38.25" hidden="1" x14ac:dyDescent="0.2">
      <c r="A44" s="86">
        <v>20019</v>
      </c>
      <c r="B44" s="3" t="s">
        <v>454</v>
      </c>
      <c r="C44" s="3" t="s">
        <v>455</v>
      </c>
      <c r="D44" s="86"/>
      <c r="E44" s="36" t="s">
        <v>94</v>
      </c>
      <c r="F44" s="48">
        <v>30227</v>
      </c>
      <c r="G44" s="36" t="s">
        <v>132</v>
      </c>
      <c r="H44" s="81" t="s">
        <v>133</v>
      </c>
      <c r="I44" s="36" t="s">
        <v>456</v>
      </c>
      <c r="J44" s="48">
        <v>35347</v>
      </c>
      <c r="K44" s="36" t="s">
        <v>132</v>
      </c>
      <c r="L44" s="36" t="s">
        <v>341</v>
      </c>
      <c r="M44" s="36" t="s">
        <v>457</v>
      </c>
      <c r="N44" s="36" t="s">
        <v>458</v>
      </c>
      <c r="O44" s="101"/>
      <c r="P44" s="81" t="s">
        <v>459</v>
      </c>
      <c r="Q44" s="36" t="s">
        <v>460</v>
      </c>
      <c r="R44" s="36" t="s">
        <v>461</v>
      </c>
      <c r="S44" s="36"/>
      <c r="T44" s="81" t="s">
        <v>462</v>
      </c>
      <c r="U44" s="81" t="s">
        <v>463</v>
      </c>
      <c r="V44" s="36"/>
      <c r="W44" s="36"/>
      <c r="X44" s="36"/>
      <c r="Y44" s="36" t="s">
        <v>294</v>
      </c>
      <c r="Z44" s="81"/>
      <c r="AA44" s="54"/>
      <c r="AB44" s="81" t="s">
        <v>285</v>
      </c>
      <c r="AC44" s="81" t="s">
        <v>236</v>
      </c>
      <c r="AD44" s="36" t="s">
        <v>464</v>
      </c>
      <c r="AE44" s="81"/>
      <c r="AF44" s="81" t="s">
        <v>65</v>
      </c>
      <c r="AG44" s="48"/>
      <c r="AH44" s="134" t="str">
        <f t="shared" si="0"/>
        <v/>
      </c>
      <c r="AI44" s="134"/>
      <c r="AJ44" s="48">
        <v>39630</v>
      </c>
      <c r="AK44" s="134">
        <f t="shared" si="1"/>
        <v>7</v>
      </c>
      <c r="AL44" s="94" t="s">
        <v>82</v>
      </c>
      <c r="AM44" s="138"/>
      <c r="AN44" s="138"/>
      <c r="AO44" s="190">
        <v>40546</v>
      </c>
      <c r="AP44" s="136">
        <f t="shared" si="4"/>
        <v>1</v>
      </c>
      <c r="AQ44" s="127"/>
      <c r="AR44" s="23"/>
      <c r="AS44" s="94"/>
      <c r="AT44" s="23"/>
      <c r="AU44" s="70">
        <f t="shared" si="5"/>
        <v>10</v>
      </c>
      <c r="AV44" s="70" t="s">
        <v>68</v>
      </c>
    </row>
    <row r="45" spans="1:48" ht="19.5" hidden="1" customHeight="1" x14ac:dyDescent="0.2">
      <c r="A45" s="86">
        <v>20020</v>
      </c>
      <c r="B45" s="3" t="s">
        <v>465</v>
      </c>
      <c r="C45" s="3" t="s">
        <v>466</v>
      </c>
      <c r="D45" s="86"/>
      <c r="E45" s="36" t="s">
        <v>94</v>
      </c>
      <c r="F45" s="48">
        <v>30697</v>
      </c>
      <c r="G45" s="36" t="s">
        <v>52</v>
      </c>
      <c r="H45" s="81" t="s">
        <v>53</v>
      </c>
      <c r="I45" s="36" t="s">
        <v>467</v>
      </c>
      <c r="J45" s="48">
        <v>36368</v>
      </c>
      <c r="K45" s="36" t="s">
        <v>52</v>
      </c>
      <c r="L45" s="36" t="s">
        <v>123</v>
      </c>
      <c r="M45" s="36" t="s">
        <v>468</v>
      </c>
      <c r="N45" s="36" t="s">
        <v>469</v>
      </c>
      <c r="O45" s="101"/>
      <c r="P45" s="81" t="s">
        <v>470</v>
      </c>
      <c r="Q45" s="36" t="s">
        <v>471</v>
      </c>
      <c r="R45" s="36" t="s">
        <v>472</v>
      </c>
      <c r="S45" s="36"/>
      <c r="T45" s="81" t="s">
        <v>473</v>
      </c>
      <c r="U45" s="81" t="s">
        <v>474</v>
      </c>
      <c r="V45" s="36"/>
      <c r="W45" s="36"/>
      <c r="X45" s="36"/>
      <c r="Y45" s="36" t="s">
        <v>284</v>
      </c>
      <c r="Z45" s="81"/>
      <c r="AA45" s="54"/>
      <c r="AB45" s="81" t="s">
        <v>285</v>
      </c>
      <c r="AC45" s="81" t="s">
        <v>236</v>
      </c>
      <c r="AD45" s="123" t="s">
        <v>375</v>
      </c>
      <c r="AE45" s="81" t="s">
        <v>475</v>
      </c>
      <c r="AF45" s="81" t="s">
        <v>65</v>
      </c>
      <c r="AG45" s="48">
        <v>39630</v>
      </c>
      <c r="AH45" s="134">
        <f t="shared" si="0"/>
        <v>7</v>
      </c>
      <c r="AI45" s="134"/>
      <c r="AJ45" s="48">
        <v>39630</v>
      </c>
      <c r="AK45" s="134">
        <f t="shared" si="1"/>
        <v>7</v>
      </c>
      <c r="AL45" s="94" t="s">
        <v>82</v>
      </c>
      <c r="AM45" s="138"/>
      <c r="AN45" s="138"/>
      <c r="AO45" s="190">
        <v>41344</v>
      </c>
      <c r="AP45" s="136">
        <f t="shared" si="4"/>
        <v>3</v>
      </c>
      <c r="AQ45" s="127"/>
      <c r="AR45" s="23"/>
      <c r="AS45" s="94"/>
      <c r="AT45" s="136"/>
      <c r="AU45" s="70">
        <f t="shared" si="5"/>
        <v>1</v>
      </c>
      <c r="AV45" s="70" t="s">
        <v>68</v>
      </c>
    </row>
    <row r="46" spans="1:48" s="136" customFormat="1" ht="25.5" hidden="1" x14ac:dyDescent="0.2">
      <c r="A46" s="87">
        <v>20021</v>
      </c>
      <c r="B46" s="80" t="s">
        <v>476</v>
      </c>
      <c r="C46" s="80" t="s">
        <v>477</v>
      </c>
      <c r="D46" s="87"/>
      <c r="E46" s="123" t="s">
        <v>51</v>
      </c>
      <c r="F46" s="140">
        <v>30709</v>
      </c>
      <c r="G46" s="123" t="s">
        <v>365</v>
      </c>
      <c r="H46" s="54" t="s">
        <v>366</v>
      </c>
      <c r="I46" s="123" t="s">
        <v>478</v>
      </c>
      <c r="J46" s="140">
        <v>37286</v>
      </c>
      <c r="K46" s="123" t="s">
        <v>365</v>
      </c>
      <c r="L46" s="123" t="s">
        <v>123</v>
      </c>
      <c r="M46" s="123" t="s">
        <v>124</v>
      </c>
      <c r="N46" s="123" t="s">
        <v>152</v>
      </c>
      <c r="O46" s="106"/>
      <c r="P46" s="54" t="s">
        <v>479</v>
      </c>
      <c r="Q46" s="123" t="s">
        <v>480</v>
      </c>
      <c r="R46" s="123" t="s">
        <v>481</v>
      </c>
      <c r="S46" s="123"/>
      <c r="T46" s="54" t="s">
        <v>482</v>
      </c>
      <c r="U46" s="54" t="s">
        <v>483</v>
      </c>
      <c r="V46" s="123"/>
      <c r="W46" s="123"/>
      <c r="X46" s="123"/>
      <c r="Y46" s="123" t="s">
        <v>206</v>
      </c>
      <c r="Z46" s="54"/>
      <c r="AA46" s="54"/>
      <c r="AB46" s="54">
        <v>3</v>
      </c>
      <c r="AC46" s="54" t="s">
        <v>362</v>
      </c>
      <c r="AD46" s="123" t="s">
        <v>198</v>
      </c>
      <c r="AE46" s="54" t="s">
        <v>484</v>
      </c>
      <c r="AF46" s="54" t="s">
        <v>65</v>
      </c>
      <c r="AG46" s="140">
        <v>39630</v>
      </c>
      <c r="AH46" s="65">
        <f t="shared" si="0"/>
        <v>7</v>
      </c>
      <c r="AI46" s="65"/>
      <c r="AJ46" s="140">
        <v>39630</v>
      </c>
      <c r="AK46" s="65">
        <f t="shared" si="1"/>
        <v>7</v>
      </c>
      <c r="AL46" s="54" t="s">
        <v>66</v>
      </c>
      <c r="AM46" s="138"/>
      <c r="AN46" s="138"/>
      <c r="AO46" s="140"/>
      <c r="AP46" s="65" t="str">
        <f t="shared" si="4"/>
        <v/>
      </c>
      <c r="AQ46" s="123"/>
      <c r="AR46" s="23"/>
      <c r="AS46" s="54" t="s">
        <v>107</v>
      </c>
      <c r="AT46" s="23"/>
      <c r="AU46" s="70">
        <f t="shared" si="5"/>
        <v>1</v>
      </c>
      <c r="AV46" s="70" t="s">
        <v>68</v>
      </c>
    </row>
    <row r="47" spans="1:48" ht="19.5" hidden="1" customHeight="1" x14ac:dyDescent="0.2">
      <c r="A47" s="87">
        <v>20022</v>
      </c>
      <c r="B47" s="80" t="s">
        <v>485</v>
      </c>
      <c r="C47" s="80" t="s">
        <v>486</v>
      </c>
      <c r="D47" s="87"/>
      <c r="E47" s="123" t="s">
        <v>51</v>
      </c>
      <c r="F47" s="140">
        <v>31231</v>
      </c>
      <c r="G47" s="123" t="s">
        <v>171</v>
      </c>
      <c r="H47" s="54" t="s">
        <v>350</v>
      </c>
      <c r="I47" s="123" t="s">
        <v>487</v>
      </c>
      <c r="J47" s="140">
        <v>38356</v>
      </c>
      <c r="K47" s="123" t="s">
        <v>52</v>
      </c>
      <c r="L47" s="123" t="s">
        <v>352</v>
      </c>
      <c r="M47" s="123" t="s">
        <v>488</v>
      </c>
      <c r="N47" s="123" t="s">
        <v>489</v>
      </c>
      <c r="O47" s="106"/>
      <c r="P47" s="54" t="s">
        <v>490</v>
      </c>
      <c r="Q47" s="123" t="s">
        <v>491</v>
      </c>
      <c r="R47" s="123" t="s">
        <v>492</v>
      </c>
      <c r="S47" s="123"/>
      <c r="T47" s="54" t="s">
        <v>493</v>
      </c>
      <c r="U47" s="54" t="s">
        <v>494</v>
      </c>
      <c r="V47" s="123"/>
      <c r="W47" s="123"/>
      <c r="X47" s="123"/>
      <c r="Y47" s="123" t="s">
        <v>312</v>
      </c>
      <c r="Z47" s="54"/>
      <c r="AA47" s="54"/>
      <c r="AB47" s="54" t="s">
        <v>285</v>
      </c>
      <c r="AC47" s="54" t="s">
        <v>236</v>
      </c>
      <c r="AD47" s="123" t="s">
        <v>375</v>
      </c>
      <c r="AE47" s="54" t="s">
        <v>475</v>
      </c>
      <c r="AF47" s="54" t="s">
        <v>65</v>
      </c>
      <c r="AG47" s="140">
        <v>39630</v>
      </c>
      <c r="AH47" s="65">
        <f t="shared" si="0"/>
        <v>7</v>
      </c>
      <c r="AI47" s="65"/>
      <c r="AJ47" s="140">
        <v>39630</v>
      </c>
      <c r="AK47" s="65">
        <f t="shared" si="1"/>
        <v>7</v>
      </c>
      <c r="AL47" s="54" t="s">
        <v>66</v>
      </c>
      <c r="AM47" s="138"/>
      <c r="AN47" s="138"/>
      <c r="AO47" s="140"/>
      <c r="AP47" s="65" t="str">
        <f t="shared" si="4"/>
        <v/>
      </c>
      <c r="AQ47" s="123"/>
      <c r="AR47" s="23"/>
      <c r="AS47" s="54" t="s">
        <v>107</v>
      </c>
      <c r="AT47" s="136"/>
      <c r="AU47" s="70">
        <f t="shared" si="5"/>
        <v>7</v>
      </c>
      <c r="AV47" s="70" t="s">
        <v>68</v>
      </c>
    </row>
    <row r="48" spans="1:48" s="136" customFormat="1" ht="19.5" hidden="1" customHeight="1" x14ac:dyDescent="0.2">
      <c r="A48" s="86">
        <v>20023</v>
      </c>
      <c r="B48" s="3" t="s">
        <v>495</v>
      </c>
      <c r="C48" s="3" t="s">
        <v>496</v>
      </c>
      <c r="D48" s="86"/>
      <c r="E48" s="36" t="s">
        <v>94</v>
      </c>
      <c r="F48" s="48">
        <v>31264</v>
      </c>
      <c r="G48" s="36" t="s">
        <v>52</v>
      </c>
      <c r="H48" s="81" t="s">
        <v>53</v>
      </c>
      <c r="I48" s="36" t="s">
        <v>497</v>
      </c>
      <c r="J48" s="48">
        <v>36693</v>
      </c>
      <c r="K48" s="36" t="s">
        <v>52</v>
      </c>
      <c r="L48" s="36" t="s">
        <v>341</v>
      </c>
      <c r="M48" s="36" t="s">
        <v>498</v>
      </c>
      <c r="N48" s="36" t="s">
        <v>499</v>
      </c>
      <c r="O48" s="101"/>
      <c r="P48" s="81" t="s">
        <v>500</v>
      </c>
      <c r="Q48" s="36" t="s">
        <v>501</v>
      </c>
      <c r="R48" s="36" t="s">
        <v>502</v>
      </c>
      <c r="S48" s="36"/>
      <c r="T48" s="81" t="s">
        <v>503</v>
      </c>
      <c r="U48" s="81" t="s">
        <v>504</v>
      </c>
      <c r="V48" s="36"/>
      <c r="W48" s="36"/>
      <c r="X48" s="36"/>
      <c r="Y48" s="36" t="s">
        <v>284</v>
      </c>
      <c r="Z48" s="81"/>
      <c r="AA48" s="54"/>
      <c r="AB48" s="81" t="s">
        <v>285</v>
      </c>
      <c r="AC48" s="81" t="s">
        <v>236</v>
      </c>
      <c r="AD48" s="36"/>
      <c r="AE48" s="81"/>
      <c r="AF48" s="81" t="s">
        <v>65</v>
      </c>
      <c r="AG48" s="48"/>
      <c r="AH48" s="134" t="str">
        <f t="shared" si="0"/>
        <v/>
      </c>
      <c r="AI48" s="134"/>
      <c r="AJ48" s="48">
        <v>39630</v>
      </c>
      <c r="AK48" s="134">
        <f t="shared" si="1"/>
        <v>7</v>
      </c>
      <c r="AL48" s="94" t="s">
        <v>82</v>
      </c>
      <c r="AM48" s="138"/>
      <c r="AN48" s="138"/>
      <c r="AO48" s="190">
        <v>40940</v>
      </c>
      <c r="AP48" s="136">
        <f t="shared" si="4"/>
        <v>2</v>
      </c>
      <c r="AQ48" s="127"/>
      <c r="AR48" s="23"/>
      <c r="AS48" s="94"/>
      <c r="AT48" s="184"/>
      <c r="AU48" s="70">
        <f t="shared" si="5"/>
        <v>8</v>
      </c>
      <c r="AV48" s="70" t="s">
        <v>68</v>
      </c>
    </row>
    <row r="49" spans="1:48" s="136" customFormat="1" ht="19.5" hidden="1" customHeight="1" x14ac:dyDescent="0.2">
      <c r="A49" s="87">
        <v>20024</v>
      </c>
      <c r="B49" s="80" t="s">
        <v>505</v>
      </c>
      <c r="C49" s="80" t="s">
        <v>250</v>
      </c>
      <c r="D49" s="87"/>
      <c r="E49" s="123" t="s">
        <v>94</v>
      </c>
      <c r="F49" s="140">
        <v>30310</v>
      </c>
      <c r="G49" s="123" t="s">
        <v>52</v>
      </c>
      <c r="H49" s="54" t="s">
        <v>53</v>
      </c>
      <c r="I49" s="123" t="s">
        <v>506</v>
      </c>
      <c r="J49" s="140">
        <v>36321</v>
      </c>
      <c r="K49" s="123" t="s">
        <v>52</v>
      </c>
      <c r="L49" s="123" t="s">
        <v>123</v>
      </c>
      <c r="M49" s="123" t="s">
        <v>124</v>
      </c>
      <c r="N49" s="123"/>
      <c r="O49" s="106"/>
      <c r="P49" s="54" t="s">
        <v>507</v>
      </c>
      <c r="Q49" s="123" t="s">
        <v>508</v>
      </c>
      <c r="R49" s="123" t="s">
        <v>509</v>
      </c>
      <c r="S49" s="123"/>
      <c r="T49" s="54" t="s">
        <v>510</v>
      </c>
      <c r="U49" s="54" t="s">
        <v>511</v>
      </c>
      <c r="V49" s="123"/>
      <c r="W49" s="123"/>
      <c r="X49" s="123"/>
      <c r="Y49" s="123" t="s">
        <v>180</v>
      </c>
      <c r="Z49" s="54"/>
      <c r="AA49" s="54"/>
      <c r="AB49" s="54" t="s">
        <v>103</v>
      </c>
      <c r="AC49" s="54" t="s">
        <v>63</v>
      </c>
      <c r="AD49" s="123" t="s">
        <v>512</v>
      </c>
      <c r="AE49" s="54"/>
      <c r="AF49" s="54" t="s">
        <v>65</v>
      </c>
      <c r="AG49" s="140">
        <v>39650</v>
      </c>
      <c r="AH49" s="65">
        <f t="shared" si="0"/>
        <v>7</v>
      </c>
      <c r="AI49" s="65"/>
      <c r="AJ49" s="140">
        <v>39650</v>
      </c>
      <c r="AK49" s="65">
        <f t="shared" si="1"/>
        <v>7</v>
      </c>
      <c r="AL49" s="54" t="s">
        <v>66</v>
      </c>
      <c r="AM49" s="138"/>
      <c r="AN49" s="138"/>
      <c r="AO49" s="140"/>
      <c r="AP49" s="65" t="str">
        <f t="shared" si="4"/>
        <v/>
      </c>
      <c r="AQ49" s="123"/>
      <c r="AR49" s="23"/>
      <c r="AS49" s="54" t="s">
        <v>347</v>
      </c>
      <c r="AT49" s="158"/>
      <c r="AU49" s="70">
        <f t="shared" si="5"/>
        <v>12</v>
      </c>
      <c r="AV49" s="70" t="s">
        <v>68</v>
      </c>
    </row>
    <row r="50" spans="1:48" s="136" customFormat="1" ht="12.75" hidden="1" x14ac:dyDescent="0.2">
      <c r="A50" s="86">
        <v>20025</v>
      </c>
      <c r="B50" s="3" t="s">
        <v>513</v>
      </c>
      <c r="C50" s="3" t="s">
        <v>514</v>
      </c>
      <c r="D50" s="86"/>
      <c r="E50" s="36" t="s">
        <v>51</v>
      </c>
      <c r="F50" s="48">
        <v>30819</v>
      </c>
      <c r="G50" s="36" t="s">
        <v>161</v>
      </c>
      <c r="H50" s="81" t="s">
        <v>162</v>
      </c>
      <c r="I50" s="36" t="s">
        <v>515</v>
      </c>
      <c r="J50" s="48">
        <v>36789</v>
      </c>
      <c r="K50" s="36" t="s">
        <v>161</v>
      </c>
      <c r="L50" s="36" t="s">
        <v>123</v>
      </c>
      <c r="M50" s="36" t="s">
        <v>516</v>
      </c>
      <c r="N50" s="36"/>
      <c r="O50" s="101"/>
      <c r="P50" s="81"/>
      <c r="Q50" s="36"/>
      <c r="R50" s="36" t="s">
        <v>517</v>
      </c>
      <c r="S50" s="36"/>
      <c r="T50" s="81" t="s">
        <v>518</v>
      </c>
      <c r="U50" s="81" t="s">
        <v>519</v>
      </c>
      <c r="V50" s="36"/>
      <c r="W50" s="36"/>
      <c r="X50" s="36"/>
      <c r="Y50" s="36"/>
      <c r="Z50" s="81"/>
      <c r="AA50" s="54"/>
      <c r="AB50" s="81"/>
      <c r="AC50" s="81"/>
      <c r="AD50" s="36"/>
      <c r="AE50" s="81"/>
      <c r="AF50" s="81" t="s">
        <v>65</v>
      </c>
      <c r="AG50" s="48"/>
      <c r="AH50" s="134" t="str">
        <f t="shared" si="0"/>
        <v/>
      </c>
      <c r="AI50" s="134"/>
      <c r="AJ50" s="48">
        <v>39532</v>
      </c>
      <c r="AK50" s="134">
        <f t="shared" si="1"/>
        <v>3</v>
      </c>
      <c r="AL50" s="94" t="s">
        <v>82</v>
      </c>
      <c r="AM50" s="138"/>
      <c r="AN50" s="138"/>
      <c r="AO50" s="190"/>
      <c r="AP50" s="136" t="str">
        <f t="shared" si="4"/>
        <v/>
      </c>
      <c r="AQ50" s="127"/>
      <c r="AR50" s="23"/>
      <c r="AS50" s="94"/>
      <c r="AT50" s="194"/>
      <c r="AU50" s="70">
        <f t="shared" si="5"/>
        <v>5</v>
      </c>
      <c r="AV50" s="70" t="s">
        <v>68</v>
      </c>
    </row>
    <row r="51" spans="1:48" ht="19.5" hidden="1" customHeight="1" x14ac:dyDescent="0.2">
      <c r="A51" s="86">
        <v>20026</v>
      </c>
      <c r="B51" s="3" t="s">
        <v>520</v>
      </c>
      <c r="C51" s="3" t="s">
        <v>328</v>
      </c>
      <c r="D51" s="86"/>
      <c r="E51" s="36" t="s">
        <v>94</v>
      </c>
      <c r="F51" s="48">
        <v>30742</v>
      </c>
      <c r="G51" s="36"/>
      <c r="H51" s="81" t="s">
        <v>52</v>
      </c>
      <c r="I51" s="36" t="s">
        <v>521</v>
      </c>
      <c r="J51" s="48">
        <v>36916</v>
      </c>
      <c r="K51" s="36" t="s">
        <v>52</v>
      </c>
      <c r="L51" s="36" t="s">
        <v>318</v>
      </c>
      <c r="M51" s="36" t="s">
        <v>96</v>
      </c>
      <c r="N51" s="36" t="s">
        <v>320</v>
      </c>
      <c r="O51" s="101"/>
      <c r="P51" s="159" t="s">
        <v>522</v>
      </c>
      <c r="Q51" s="36"/>
      <c r="R51" s="36" t="s">
        <v>523</v>
      </c>
      <c r="S51" s="36"/>
      <c r="T51" s="81"/>
      <c r="U51" s="81" t="s">
        <v>524</v>
      </c>
      <c r="V51" s="36"/>
      <c r="W51" s="36"/>
      <c r="X51" s="36"/>
      <c r="Y51" s="36" t="s">
        <v>374</v>
      </c>
      <c r="Z51" s="81"/>
      <c r="AA51" s="54"/>
      <c r="AB51" s="81">
        <v>3</v>
      </c>
      <c r="AC51" s="81" t="s">
        <v>63</v>
      </c>
      <c r="AD51" s="36" t="s">
        <v>207</v>
      </c>
      <c r="AE51" s="81" t="s">
        <v>525</v>
      </c>
      <c r="AF51" s="81" t="s">
        <v>65</v>
      </c>
      <c r="AG51" s="48"/>
      <c r="AH51" s="134" t="str">
        <f t="shared" si="0"/>
        <v/>
      </c>
      <c r="AI51" s="134"/>
      <c r="AJ51" s="48"/>
      <c r="AK51" s="134" t="str">
        <f t="shared" si="1"/>
        <v/>
      </c>
      <c r="AL51" s="54" t="s">
        <v>82</v>
      </c>
      <c r="AM51" s="54"/>
      <c r="AN51" s="54"/>
      <c r="AO51" s="140"/>
      <c r="AP51" s="136"/>
      <c r="AQ51" s="123"/>
      <c r="AR51" s="23"/>
      <c r="AS51" s="54"/>
      <c r="AT51" s="136"/>
      <c r="AU51" s="70">
        <f t="shared" si="5"/>
        <v>3</v>
      </c>
      <c r="AV51" s="70" t="s">
        <v>68</v>
      </c>
    </row>
    <row r="52" spans="1:48" ht="19.5" hidden="1" customHeight="1" x14ac:dyDescent="0.2">
      <c r="A52" s="86">
        <v>20027</v>
      </c>
      <c r="B52" s="3" t="s">
        <v>526</v>
      </c>
      <c r="C52" s="3" t="s">
        <v>527</v>
      </c>
      <c r="D52" s="86"/>
      <c r="E52" s="36" t="s">
        <v>51</v>
      </c>
      <c r="F52" s="48">
        <v>26679</v>
      </c>
      <c r="G52" s="36" t="s">
        <v>52</v>
      </c>
      <c r="H52" s="81" t="s">
        <v>53</v>
      </c>
      <c r="I52" s="36" t="s">
        <v>528</v>
      </c>
      <c r="J52" s="48">
        <v>38699</v>
      </c>
      <c r="K52" s="36" t="s">
        <v>52</v>
      </c>
      <c r="L52" s="36" t="s">
        <v>123</v>
      </c>
      <c r="M52" s="36" t="s">
        <v>382</v>
      </c>
      <c r="N52" s="36" t="s">
        <v>368</v>
      </c>
      <c r="O52" s="101"/>
      <c r="P52" s="81" t="s">
        <v>529</v>
      </c>
      <c r="Q52" s="36" t="s">
        <v>530</v>
      </c>
      <c r="R52" s="36" t="s">
        <v>531</v>
      </c>
      <c r="S52" s="36"/>
      <c r="T52" s="81" t="s">
        <v>532</v>
      </c>
      <c r="U52" s="81" t="s">
        <v>533</v>
      </c>
      <c r="V52" s="36"/>
      <c r="W52" s="36"/>
      <c r="X52" s="36"/>
      <c r="Y52" s="36" t="s">
        <v>374</v>
      </c>
      <c r="Z52" s="81"/>
      <c r="AA52" s="54"/>
      <c r="AB52" s="81">
        <v>3</v>
      </c>
      <c r="AC52" s="81" t="s">
        <v>63</v>
      </c>
      <c r="AD52" s="36" t="s">
        <v>207</v>
      </c>
      <c r="AE52" s="81"/>
      <c r="AF52" s="81" t="s">
        <v>65</v>
      </c>
      <c r="AG52" s="48"/>
      <c r="AH52" s="134" t="str">
        <f t="shared" si="0"/>
        <v/>
      </c>
      <c r="AI52" s="134"/>
      <c r="AJ52" s="48">
        <v>39672</v>
      </c>
      <c r="AK52" s="134">
        <f t="shared" si="1"/>
        <v>8</v>
      </c>
      <c r="AL52" s="94" t="s">
        <v>82</v>
      </c>
      <c r="AM52" s="138"/>
      <c r="AN52" s="138"/>
      <c r="AO52" s="190">
        <v>40694</v>
      </c>
      <c r="AP52" s="136">
        <f t="shared" ref="AP52:AP61" si="6">IF((AO52=""),"",MONTH(AO52))</f>
        <v>5</v>
      </c>
      <c r="AQ52" s="127"/>
      <c r="AR52" s="23"/>
      <c r="AS52" s="94"/>
      <c r="AT52" s="136"/>
      <c r="AU52" s="70">
        <f t="shared" si="5"/>
        <v>1</v>
      </c>
      <c r="AV52" s="70" t="s">
        <v>68</v>
      </c>
    </row>
    <row r="53" spans="1:48" ht="19.5" hidden="1" customHeight="1" x14ac:dyDescent="0.2">
      <c r="A53" s="86">
        <v>20028</v>
      </c>
      <c r="B53" s="3" t="s">
        <v>534</v>
      </c>
      <c r="C53" s="3" t="s">
        <v>535</v>
      </c>
      <c r="D53" s="86"/>
      <c r="E53" s="36" t="s">
        <v>94</v>
      </c>
      <c r="F53" s="48">
        <v>31622</v>
      </c>
      <c r="G53" s="36"/>
      <c r="H53" s="81" t="s">
        <v>52</v>
      </c>
      <c r="I53" s="36" t="s">
        <v>536</v>
      </c>
      <c r="J53" s="48">
        <v>37713</v>
      </c>
      <c r="K53" s="36" t="s">
        <v>52</v>
      </c>
      <c r="L53" s="36" t="s">
        <v>318</v>
      </c>
      <c r="M53" s="36" t="s">
        <v>537</v>
      </c>
      <c r="N53" s="36" t="s">
        <v>320</v>
      </c>
      <c r="O53" s="101"/>
      <c r="P53" s="159">
        <v>0</v>
      </c>
      <c r="Q53" s="36"/>
      <c r="R53" s="36" t="s">
        <v>538</v>
      </c>
      <c r="S53" s="36"/>
      <c r="T53" s="81"/>
      <c r="U53" s="81">
        <v>0</v>
      </c>
      <c r="V53" s="36"/>
      <c r="W53" s="36"/>
      <c r="X53" s="36"/>
      <c r="Y53" s="36"/>
      <c r="Z53" s="81"/>
      <c r="AA53" s="54"/>
      <c r="AB53" s="81"/>
      <c r="AC53" s="81"/>
      <c r="AD53" s="36"/>
      <c r="AE53" s="81"/>
      <c r="AF53" s="81" t="s">
        <v>65</v>
      </c>
      <c r="AG53" s="48"/>
      <c r="AH53" s="134" t="str">
        <f t="shared" si="0"/>
        <v/>
      </c>
      <c r="AI53" s="134"/>
      <c r="AJ53" s="48"/>
      <c r="AK53" s="134" t="str">
        <f t="shared" si="1"/>
        <v/>
      </c>
      <c r="AL53" s="54" t="s">
        <v>82</v>
      </c>
      <c r="AM53" s="54"/>
      <c r="AN53" s="54"/>
      <c r="AO53" s="140"/>
      <c r="AP53" s="136" t="str">
        <f t="shared" si="6"/>
        <v/>
      </c>
      <c r="AQ53" s="123"/>
      <c r="AR53" s="23"/>
      <c r="AS53" s="54"/>
      <c r="AT53" s="136"/>
      <c r="AU53" s="70">
        <f t="shared" si="5"/>
        <v>7</v>
      </c>
      <c r="AV53" s="70" t="s">
        <v>68</v>
      </c>
    </row>
    <row r="54" spans="1:48" s="136" customFormat="1" ht="19.5" hidden="1" customHeight="1" x14ac:dyDescent="0.2">
      <c r="A54" s="86">
        <v>20028</v>
      </c>
      <c r="B54" s="3" t="s">
        <v>534</v>
      </c>
      <c r="C54" s="3" t="s">
        <v>535</v>
      </c>
      <c r="D54" s="86"/>
      <c r="E54" s="36" t="s">
        <v>94</v>
      </c>
      <c r="F54" s="48">
        <v>31622</v>
      </c>
      <c r="G54" s="36" t="s">
        <v>52</v>
      </c>
      <c r="H54" s="81" t="s">
        <v>53</v>
      </c>
      <c r="I54" s="36" t="s">
        <v>536</v>
      </c>
      <c r="J54" s="48">
        <v>37656</v>
      </c>
      <c r="K54" s="36" t="s">
        <v>52</v>
      </c>
      <c r="L54" s="36" t="s">
        <v>123</v>
      </c>
      <c r="M54" s="36" t="s">
        <v>441</v>
      </c>
      <c r="N54" s="36"/>
      <c r="O54" s="101"/>
      <c r="P54" s="81"/>
      <c r="Q54" s="36" t="s">
        <v>539</v>
      </c>
      <c r="R54" s="36" t="s">
        <v>538</v>
      </c>
      <c r="S54" s="36"/>
      <c r="T54" s="81" t="s">
        <v>540</v>
      </c>
      <c r="U54" s="81" t="s">
        <v>0</v>
      </c>
      <c r="V54" s="36"/>
      <c r="W54" s="36"/>
      <c r="X54" s="36"/>
      <c r="Y54" s="36"/>
      <c r="Z54" s="81"/>
      <c r="AA54" s="54"/>
      <c r="AB54" s="81"/>
      <c r="AC54" s="81"/>
      <c r="AD54" s="36"/>
      <c r="AE54" s="81"/>
      <c r="AF54" s="81"/>
      <c r="AG54" s="48"/>
      <c r="AH54" s="134" t="str">
        <f t="shared" si="0"/>
        <v/>
      </c>
      <c r="AI54" s="134"/>
      <c r="AJ54" s="48">
        <v>39532</v>
      </c>
      <c r="AK54" s="134">
        <f t="shared" si="1"/>
        <v>3</v>
      </c>
      <c r="AL54" s="94" t="s">
        <v>82</v>
      </c>
      <c r="AM54" s="138"/>
      <c r="AN54" s="138"/>
      <c r="AO54" s="190"/>
      <c r="AP54" s="136" t="str">
        <f t="shared" si="6"/>
        <v/>
      </c>
      <c r="AQ54" s="127"/>
      <c r="AR54" s="23"/>
      <c r="AS54" s="94"/>
      <c r="AT54" s="23"/>
      <c r="AU54" s="70">
        <f t="shared" si="5"/>
        <v>7</v>
      </c>
      <c r="AV54" s="70" t="s">
        <v>68</v>
      </c>
    </row>
    <row r="55" spans="1:48" ht="19.5" hidden="1" customHeight="1" x14ac:dyDescent="0.2">
      <c r="A55" s="87">
        <v>20029</v>
      </c>
      <c r="B55" s="80" t="s">
        <v>541</v>
      </c>
      <c r="C55" s="80" t="s">
        <v>256</v>
      </c>
      <c r="D55" s="87"/>
      <c r="E55" s="123" t="s">
        <v>94</v>
      </c>
      <c r="F55" s="140">
        <v>30332</v>
      </c>
      <c r="G55" s="123" t="s">
        <v>365</v>
      </c>
      <c r="H55" s="54" t="s">
        <v>366</v>
      </c>
      <c r="I55" s="123" t="s">
        <v>542</v>
      </c>
      <c r="J55" s="140">
        <v>36972</v>
      </c>
      <c r="K55" s="123" t="s">
        <v>365</v>
      </c>
      <c r="L55" s="123" t="s">
        <v>123</v>
      </c>
      <c r="M55" s="123" t="s">
        <v>543</v>
      </c>
      <c r="N55" s="123" t="s">
        <v>544</v>
      </c>
      <c r="O55" s="106"/>
      <c r="P55" s="54" t="s">
        <v>545</v>
      </c>
      <c r="Q55" s="123" t="s">
        <v>546</v>
      </c>
      <c r="R55" s="123" t="s">
        <v>547</v>
      </c>
      <c r="S55" s="123"/>
      <c r="T55" s="54" t="s">
        <v>548</v>
      </c>
      <c r="U55" s="54" t="s">
        <v>549</v>
      </c>
      <c r="V55" s="123"/>
      <c r="W55" s="123"/>
      <c r="X55" s="123"/>
      <c r="Y55" s="123" t="s">
        <v>102</v>
      </c>
      <c r="Z55" s="54"/>
      <c r="AA55" s="54"/>
      <c r="AB55" s="54" t="s">
        <v>103</v>
      </c>
      <c r="AC55" s="54" t="s">
        <v>63</v>
      </c>
      <c r="AD55" s="123" t="s">
        <v>207</v>
      </c>
      <c r="AE55" s="54"/>
      <c r="AF55" s="54" t="s">
        <v>65</v>
      </c>
      <c r="AG55" s="140">
        <v>39672</v>
      </c>
      <c r="AH55" s="65">
        <f t="shared" si="0"/>
        <v>8</v>
      </c>
      <c r="AI55" s="65"/>
      <c r="AJ55" s="140">
        <v>39672</v>
      </c>
      <c r="AK55" s="65">
        <f t="shared" si="1"/>
        <v>8</v>
      </c>
      <c r="AL55" s="54" t="s">
        <v>66</v>
      </c>
      <c r="AM55" s="138">
        <v>41334</v>
      </c>
      <c r="AN55" s="138">
        <v>41396</v>
      </c>
      <c r="AO55" s="140"/>
      <c r="AP55" s="65" t="str">
        <f t="shared" si="6"/>
        <v/>
      </c>
      <c r="AQ55" s="123"/>
      <c r="AR55" s="23"/>
      <c r="AS55" s="54" t="s">
        <v>347</v>
      </c>
      <c r="AT55" s="136"/>
      <c r="AU55" s="70">
        <f t="shared" si="5"/>
        <v>1</v>
      </c>
      <c r="AV55" s="70" t="s">
        <v>68</v>
      </c>
    </row>
    <row r="56" spans="1:48" ht="19.5" hidden="1" customHeight="1" x14ac:dyDescent="0.2">
      <c r="A56" s="86">
        <v>20030</v>
      </c>
      <c r="B56" s="3" t="s">
        <v>550</v>
      </c>
      <c r="C56" s="3" t="s">
        <v>364</v>
      </c>
      <c r="D56" s="86"/>
      <c r="E56" s="36" t="s">
        <v>94</v>
      </c>
      <c r="F56" s="48">
        <v>29166</v>
      </c>
      <c r="G56" s="36" t="s">
        <v>551</v>
      </c>
      <c r="H56" s="81" t="s">
        <v>552</v>
      </c>
      <c r="I56" s="36" t="s">
        <v>553</v>
      </c>
      <c r="J56" s="48">
        <v>39492</v>
      </c>
      <c r="K56" s="36" t="s">
        <v>52</v>
      </c>
      <c r="L56" s="36" t="s">
        <v>123</v>
      </c>
      <c r="M56" s="36" t="s">
        <v>554</v>
      </c>
      <c r="N56" s="36"/>
      <c r="O56" s="101"/>
      <c r="P56" s="81" t="s">
        <v>555</v>
      </c>
      <c r="Q56" s="36" t="s">
        <v>556</v>
      </c>
      <c r="R56" s="36" t="s">
        <v>557</v>
      </c>
      <c r="S56" s="36"/>
      <c r="T56" s="81" t="s">
        <v>558</v>
      </c>
      <c r="U56" s="81" t="s">
        <v>559</v>
      </c>
      <c r="V56" s="36"/>
      <c r="W56" s="36"/>
      <c r="X56" s="36"/>
      <c r="Y56" s="36" t="s">
        <v>294</v>
      </c>
      <c r="Z56" s="81"/>
      <c r="AA56" s="54"/>
      <c r="AB56" s="81" t="s">
        <v>285</v>
      </c>
      <c r="AC56" s="81" t="s">
        <v>236</v>
      </c>
      <c r="AD56" s="36" t="s">
        <v>221</v>
      </c>
      <c r="AE56" s="81"/>
      <c r="AF56" s="81" t="s">
        <v>65</v>
      </c>
      <c r="AG56" s="48"/>
      <c r="AH56" s="134" t="str">
        <f t="shared" si="0"/>
        <v/>
      </c>
      <c r="AI56" s="134"/>
      <c r="AJ56" s="48">
        <v>39692</v>
      </c>
      <c r="AK56" s="134">
        <f t="shared" si="1"/>
        <v>9</v>
      </c>
      <c r="AL56" s="94" t="s">
        <v>82</v>
      </c>
      <c r="AM56" s="138"/>
      <c r="AN56" s="138"/>
      <c r="AO56" s="190">
        <v>40575</v>
      </c>
      <c r="AP56" s="136">
        <f t="shared" si="6"/>
        <v>2</v>
      </c>
      <c r="AQ56" s="127"/>
      <c r="AR56" s="23"/>
      <c r="AS56" s="54" t="s">
        <v>107</v>
      </c>
      <c r="AT56" s="136"/>
      <c r="AU56" s="70">
        <f t="shared" si="5"/>
        <v>11</v>
      </c>
      <c r="AV56" s="70" t="s">
        <v>68</v>
      </c>
    </row>
    <row r="57" spans="1:48" ht="25.5" hidden="1" x14ac:dyDescent="0.2">
      <c r="A57" s="86">
        <v>20033</v>
      </c>
      <c r="B57" s="3" t="s">
        <v>560</v>
      </c>
      <c r="C57" s="3" t="s">
        <v>561</v>
      </c>
      <c r="D57" s="86"/>
      <c r="E57" s="36" t="s">
        <v>94</v>
      </c>
      <c r="F57" s="48">
        <v>31659</v>
      </c>
      <c r="G57" s="36" t="s">
        <v>132</v>
      </c>
      <c r="H57" s="81" t="s">
        <v>133</v>
      </c>
      <c r="I57" s="36" t="s">
        <v>562</v>
      </c>
      <c r="J57" s="48">
        <v>37774</v>
      </c>
      <c r="K57" s="36" t="s">
        <v>132</v>
      </c>
      <c r="L57" s="36" t="s">
        <v>123</v>
      </c>
      <c r="M57" s="36" t="s">
        <v>111</v>
      </c>
      <c r="N57" s="36"/>
      <c r="O57" s="101"/>
      <c r="P57" s="81"/>
      <c r="Q57" s="36" t="s">
        <v>563</v>
      </c>
      <c r="R57" s="36" t="s">
        <v>564</v>
      </c>
      <c r="S57" s="36"/>
      <c r="T57" s="81" t="s">
        <v>565</v>
      </c>
      <c r="U57" s="81" t="s">
        <v>566</v>
      </c>
      <c r="V57" s="36"/>
      <c r="W57" s="36"/>
      <c r="X57" s="36"/>
      <c r="Y57" s="36"/>
      <c r="Z57" s="81"/>
      <c r="AA57" s="54"/>
      <c r="AB57" s="81"/>
      <c r="AC57" s="81"/>
      <c r="AD57" s="36"/>
      <c r="AE57" s="81"/>
      <c r="AF57" s="81" t="s">
        <v>65</v>
      </c>
      <c r="AG57" s="48"/>
      <c r="AH57" s="134" t="str">
        <f t="shared" si="0"/>
        <v/>
      </c>
      <c r="AI57" s="134"/>
      <c r="AJ57" s="48">
        <v>39532</v>
      </c>
      <c r="AK57" s="134">
        <f t="shared" si="1"/>
        <v>3</v>
      </c>
      <c r="AL57" s="94" t="s">
        <v>82</v>
      </c>
      <c r="AM57" s="138"/>
      <c r="AN57" s="138"/>
      <c r="AO57" s="190">
        <v>40037</v>
      </c>
      <c r="AP57" s="136">
        <f t="shared" si="6"/>
        <v>8</v>
      </c>
      <c r="AQ57" s="127"/>
      <c r="AR57" s="23"/>
      <c r="AS57" s="94"/>
      <c r="AT57" s="136"/>
      <c r="AU57" s="70">
        <f t="shared" si="5"/>
        <v>9</v>
      </c>
      <c r="AV57" s="70" t="s">
        <v>68</v>
      </c>
    </row>
    <row r="58" spans="1:48" s="136" customFormat="1" ht="19.5" hidden="1" customHeight="1" x14ac:dyDescent="0.2">
      <c r="A58" s="86">
        <v>20034</v>
      </c>
      <c r="B58" s="3" t="s">
        <v>265</v>
      </c>
      <c r="C58" s="3" t="s">
        <v>567</v>
      </c>
      <c r="D58" s="86"/>
      <c r="E58" s="36" t="s">
        <v>94</v>
      </c>
      <c r="F58" s="48">
        <v>29987</v>
      </c>
      <c r="G58" s="36" t="s">
        <v>365</v>
      </c>
      <c r="H58" s="81" t="s">
        <v>366</v>
      </c>
      <c r="I58" s="36" t="s">
        <v>568</v>
      </c>
      <c r="J58" s="48">
        <v>39711</v>
      </c>
      <c r="K58" s="36" t="s">
        <v>365</v>
      </c>
      <c r="L58" s="36" t="s">
        <v>123</v>
      </c>
      <c r="M58" s="36" t="s">
        <v>382</v>
      </c>
      <c r="N58" s="36"/>
      <c r="O58" s="101"/>
      <c r="P58" s="81" t="s">
        <v>569</v>
      </c>
      <c r="Q58" s="36"/>
      <c r="R58" s="36" t="s">
        <v>570</v>
      </c>
      <c r="S58" s="36"/>
      <c r="T58" s="81" t="s">
        <v>571</v>
      </c>
      <c r="U58" s="81" t="s">
        <v>0</v>
      </c>
      <c r="V58" s="36"/>
      <c r="W58" s="36"/>
      <c r="X58" s="36"/>
      <c r="Y58" s="36" t="s">
        <v>374</v>
      </c>
      <c r="Z58" s="81"/>
      <c r="AA58" s="54"/>
      <c r="AB58" s="81">
        <v>3</v>
      </c>
      <c r="AC58" s="81" t="s">
        <v>63</v>
      </c>
      <c r="AD58" s="36"/>
      <c r="AE58" s="81"/>
      <c r="AF58" s="81" t="s">
        <v>65</v>
      </c>
      <c r="AG58" s="48"/>
      <c r="AH58" s="134" t="str">
        <f t="shared" si="0"/>
        <v/>
      </c>
      <c r="AI58" s="134"/>
      <c r="AJ58" s="48">
        <v>39527</v>
      </c>
      <c r="AK58" s="134">
        <f t="shared" si="1"/>
        <v>3</v>
      </c>
      <c r="AL58" s="94" t="s">
        <v>82</v>
      </c>
      <c r="AM58" s="138"/>
      <c r="AN58" s="138"/>
      <c r="AO58" s="190">
        <v>40969</v>
      </c>
      <c r="AP58" s="136">
        <f t="shared" si="6"/>
        <v>3</v>
      </c>
      <c r="AQ58" s="127"/>
      <c r="AR58" s="23"/>
      <c r="AS58" s="94"/>
      <c r="AT58" s="23"/>
      <c r="AU58" s="70">
        <f t="shared" si="5"/>
        <v>2</v>
      </c>
      <c r="AV58" s="70" t="s">
        <v>68</v>
      </c>
    </row>
    <row r="59" spans="1:48" ht="19.5" hidden="1" customHeight="1" x14ac:dyDescent="0.2">
      <c r="A59" s="86">
        <v>20035</v>
      </c>
      <c r="B59" s="3" t="s">
        <v>572</v>
      </c>
      <c r="C59" s="3" t="s">
        <v>573</v>
      </c>
      <c r="D59" s="86"/>
      <c r="E59" s="36" t="s">
        <v>51</v>
      </c>
      <c r="F59" s="48"/>
      <c r="G59" s="36"/>
      <c r="H59" s="81" t="s">
        <v>0</v>
      </c>
      <c r="I59" s="36"/>
      <c r="J59" s="48"/>
      <c r="K59" s="36"/>
      <c r="L59" s="36" t="s">
        <v>123</v>
      </c>
      <c r="M59" s="36"/>
      <c r="N59" s="36"/>
      <c r="O59" s="101"/>
      <c r="P59" s="81"/>
      <c r="Q59" s="36"/>
      <c r="R59" s="36"/>
      <c r="S59" s="36"/>
      <c r="T59" s="81" t="s">
        <v>0</v>
      </c>
      <c r="U59" s="81" t="s">
        <v>0</v>
      </c>
      <c r="V59" s="36"/>
      <c r="W59" s="36"/>
      <c r="X59" s="36"/>
      <c r="Y59" s="36" t="s">
        <v>574</v>
      </c>
      <c r="Z59" s="81"/>
      <c r="AA59" s="54"/>
      <c r="AB59" s="81"/>
      <c r="AC59" s="81"/>
      <c r="AD59" s="36"/>
      <c r="AE59" s="81"/>
      <c r="AF59" s="81"/>
      <c r="AG59" s="48"/>
      <c r="AH59" s="134" t="str">
        <f t="shared" si="0"/>
        <v/>
      </c>
      <c r="AI59" s="134"/>
      <c r="AJ59" s="48"/>
      <c r="AK59" s="134" t="str">
        <f t="shared" si="1"/>
        <v/>
      </c>
      <c r="AL59" s="94" t="s">
        <v>82</v>
      </c>
      <c r="AM59" s="138"/>
      <c r="AN59" s="138"/>
      <c r="AO59" s="190"/>
      <c r="AP59" s="136" t="str">
        <f t="shared" si="6"/>
        <v/>
      </c>
      <c r="AQ59" s="127"/>
      <c r="AR59" s="23"/>
      <c r="AS59" s="94"/>
      <c r="AT59" s="136"/>
      <c r="AU59" s="70" t="str">
        <f t="shared" si="5"/>
        <v/>
      </c>
      <c r="AV59" s="70" t="s">
        <v>68</v>
      </c>
    </row>
    <row r="60" spans="1:48" ht="19.5" hidden="1" customHeight="1" x14ac:dyDescent="0.2">
      <c r="A60" s="87">
        <v>20036</v>
      </c>
      <c r="B60" s="80" t="s">
        <v>575</v>
      </c>
      <c r="C60" s="80" t="s">
        <v>576</v>
      </c>
      <c r="D60" s="87"/>
      <c r="E60" s="123" t="s">
        <v>94</v>
      </c>
      <c r="F60" s="140">
        <v>30937</v>
      </c>
      <c r="G60" s="123" t="s">
        <v>52</v>
      </c>
      <c r="H60" s="54" t="s">
        <v>53</v>
      </c>
      <c r="I60" s="123" t="s">
        <v>577</v>
      </c>
      <c r="J60" s="140">
        <v>39728</v>
      </c>
      <c r="K60" s="123" t="s">
        <v>52</v>
      </c>
      <c r="L60" s="123" t="s">
        <v>123</v>
      </c>
      <c r="M60" s="123" t="s">
        <v>578</v>
      </c>
      <c r="N60" s="123" t="s">
        <v>579</v>
      </c>
      <c r="O60" s="106"/>
      <c r="P60" s="54" t="s">
        <v>580</v>
      </c>
      <c r="Q60" s="123" t="s">
        <v>581</v>
      </c>
      <c r="R60" s="123" t="s">
        <v>582</v>
      </c>
      <c r="S60" s="123"/>
      <c r="T60" s="54" t="s">
        <v>583</v>
      </c>
      <c r="U60" s="54" t="s">
        <v>584</v>
      </c>
      <c r="V60" s="123"/>
      <c r="W60" s="123"/>
      <c r="X60" s="123"/>
      <c r="Y60" s="123" t="s">
        <v>206</v>
      </c>
      <c r="Z60" s="54"/>
      <c r="AA60" s="54"/>
      <c r="AB60" s="54">
        <v>3</v>
      </c>
      <c r="AC60" s="54" t="s">
        <v>63</v>
      </c>
      <c r="AD60" s="123" t="s">
        <v>207</v>
      </c>
      <c r="AE60" s="54" t="s">
        <v>585</v>
      </c>
      <c r="AF60" s="54" t="s">
        <v>65</v>
      </c>
      <c r="AG60" s="140">
        <v>39753</v>
      </c>
      <c r="AH60" s="65">
        <f t="shared" si="0"/>
        <v>11</v>
      </c>
      <c r="AI60" s="65"/>
      <c r="AJ60" s="140">
        <v>39753</v>
      </c>
      <c r="AK60" s="65">
        <f t="shared" si="1"/>
        <v>11</v>
      </c>
      <c r="AL60" s="54" t="s">
        <v>66</v>
      </c>
      <c r="AM60" s="138">
        <v>41386</v>
      </c>
      <c r="AN60" s="138" t="s">
        <v>586</v>
      </c>
      <c r="AO60" s="140"/>
      <c r="AP60" s="65" t="str">
        <f t="shared" si="6"/>
        <v/>
      </c>
      <c r="AQ60" s="123"/>
      <c r="AR60" s="23"/>
      <c r="AS60" s="54" t="s">
        <v>347</v>
      </c>
      <c r="AT60" s="136"/>
      <c r="AU60" s="70">
        <f t="shared" si="5"/>
        <v>9</v>
      </c>
      <c r="AV60" s="70" t="s">
        <v>68</v>
      </c>
    </row>
    <row r="61" spans="1:48" s="136" customFormat="1" ht="19.5" hidden="1" customHeight="1" x14ac:dyDescent="0.2">
      <c r="A61" s="86">
        <v>20037</v>
      </c>
      <c r="B61" s="3" t="s">
        <v>587</v>
      </c>
      <c r="C61" s="3" t="s">
        <v>191</v>
      </c>
      <c r="D61" s="86"/>
      <c r="E61" s="36" t="s">
        <v>94</v>
      </c>
      <c r="F61" s="48">
        <v>30101</v>
      </c>
      <c r="G61" s="36" t="s">
        <v>52</v>
      </c>
      <c r="H61" s="81" t="s">
        <v>53</v>
      </c>
      <c r="I61" s="36" t="s">
        <v>588</v>
      </c>
      <c r="J61" s="48">
        <v>35520</v>
      </c>
      <c r="K61" s="36" t="s">
        <v>52</v>
      </c>
      <c r="L61" s="36" t="s">
        <v>341</v>
      </c>
      <c r="M61" s="36" t="s">
        <v>589</v>
      </c>
      <c r="N61" s="36"/>
      <c r="O61" s="101"/>
      <c r="P61" s="81" t="s">
        <v>590</v>
      </c>
      <c r="Q61" s="36" t="s">
        <v>591</v>
      </c>
      <c r="R61" s="36" t="s">
        <v>592</v>
      </c>
      <c r="S61" s="36"/>
      <c r="T61" s="81" t="s">
        <v>593</v>
      </c>
      <c r="U61" s="81" t="s">
        <v>594</v>
      </c>
      <c r="V61" s="36"/>
      <c r="W61" s="36"/>
      <c r="X61" s="36"/>
      <c r="Y61" s="36" t="s">
        <v>595</v>
      </c>
      <c r="Z61" s="81"/>
      <c r="AA61" s="54"/>
      <c r="AB61" s="81" t="s">
        <v>285</v>
      </c>
      <c r="AC61" s="81" t="s">
        <v>63</v>
      </c>
      <c r="AD61" s="36" t="s">
        <v>207</v>
      </c>
      <c r="AE61" s="81"/>
      <c r="AF61" s="81" t="s">
        <v>65</v>
      </c>
      <c r="AG61" s="48"/>
      <c r="AH61" s="134" t="str">
        <f t="shared" si="0"/>
        <v/>
      </c>
      <c r="AI61" s="134"/>
      <c r="AJ61" s="48">
        <v>39763</v>
      </c>
      <c r="AK61" s="134">
        <f t="shared" si="1"/>
        <v>11</v>
      </c>
      <c r="AL61" s="94" t="s">
        <v>82</v>
      </c>
      <c r="AM61" s="138"/>
      <c r="AN61" s="138"/>
      <c r="AO61" s="190">
        <v>40878</v>
      </c>
      <c r="AP61" s="136">
        <f t="shared" si="6"/>
        <v>12</v>
      </c>
      <c r="AQ61" s="127"/>
      <c r="AR61" s="23"/>
      <c r="AS61" s="94"/>
      <c r="AT61" s="184"/>
      <c r="AU61" s="70">
        <f t="shared" si="5"/>
        <v>5</v>
      </c>
      <c r="AV61" s="70" t="s">
        <v>68</v>
      </c>
    </row>
    <row r="62" spans="1:48" s="136" customFormat="1" ht="19.5" hidden="1" customHeight="1" x14ac:dyDescent="0.2">
      <c r="A62" s="87">
        <v>20038</v>
      </c>
      <c r="B62" s="80" t="s">
        <v>596</v>
      </c>
      <c r="C62" s="80" t="s">
        <v>191</v>
      </c>
      <c r="D62" s="87"/>
      <c r="E62" s="123" t="s">
        <v>94</v>
      </c>
      <c r="F62" s="140">
        <v>31583</v>
      </c>
      <c r="G62" s="123" t="s">
        <v>132</v>
      </c>
      <c r="H62" s="54" t="s">
        <v>133</v>
      </c>
      <c r="I62" s="123" t="s">
        <v>597</v>
      </c>
      <c r="J62" s="140">
        <v>37070</v>
      </c>
      <c r="K62" s="123" t="s">
        <v>132</v>
      </c>
      <c r="L62" s="123" t="s">
        <v>123</v>
      </c>
      <c r="M62" s="123" t="s">
        <v>598</v>
      </c>
      <c r="N62" s="123" t="s">
        <v>599</v>
      </c>
      <c r="O62" s="106"/>
      <c r="P62" s="54" t="s">
        <v>600</v>
      </c>
      <c r="Q62" s="123" t="s">
        <v>601</v>
      </c>
      <c r="R62" s="123" t="s">
        <v>602</v>
      </c>
      <c r="S62" s="123"/>
      <c r="T62" s="54" t="s">
        <v>603</v>
      </c>
      <c r="U62" s="54" t="s">
        <v>604</v>
      </c>
      <c r="V62" s="123"/>
      <c r="W62" s="123"/>
      <c r="X62" s="123"/>
      <c r="Y62" s="123" t="s">
        <v>605</v>
      </c>
      <c r="Z62" s="54"/>
      <c r="AA62" s="54"/>
      <c r="AB62" s="54">
        <v>2</v>
      </c>
      <c r="AC62" s="54" t="s">
        <v>362</v>
      </c>
      <c r="AD62" s="123" t="s">
        <v>207</v>
      </c>
      <c r="AE62" s="54" t="s">
        <v>585</v>
      </c>
      <c r="AF62" s="54" t="s">
        <v>65</v>
      </c>
      <c r="AG62" s="140">
        <v>39772</v>
      </c>
      <c r="AH62" s="65">
        <f t="shared" si="0"/>
        <v>11</v>
      </c>
      <c r="AI62" s="65"/>
      <c r="AJ62" s="140">
        <v>39772</v>
      </c>
      <c r="AK62" s="65">
        <f t="shared" si="1"/>
        <v>11</v>
      </c>
      <c r="AL62" s="54" t="s">
        <v>66</v>
      </c>
      <c r="AM62" s="138">
        <v>41526</v>
      </c>
      <c r="AN62" s="138">
        <v>41702</v>
      </c>
      <c r="AO62" s="140"/>
      <c r="AP62" s="65"/>
      <c r="AQ62" s="123"/>
      <c r="AR62" s="23"/>
      <c r="AS62" s="54" t="s">
        <v>347</v>
      </c>
      <c r="AT62" s="194"/>
      <c r="AU62" s="70">
        <f t="shared" si="5"/>
        <v>6</v>
      </c>
      <c r="AV62" s="70" t="s">
        <v>68</v>
      </c>
    </row>
    <row r="63" spans="1:48" ht="19.5" hidden="1" customHeight="1" x14ac:dyDescent="0.2">
      <c r="A63" s="86">
        <v>20039</v>
      </c>
      <c r="B63" s="3" t="s">
        <v>606</v>
      </c>
      <c r="C63" s="3" t="s">
        <v>607</v>
      </c>
      <c r="D63" s="86"/>
      <c r="E63" s="36" t="s">
        <v>94</v>
      </c>
      <c r="F63" s="48"/>
      <c r="G63" s="36"/>
      <c r="H63" s="81" t="s">
        <v>0</v>
      </c>
      <c r="I63" s="36"/>
      <c r="J63" s="48"/>
      <c r="K63" s="36"/>
      <c r="L63" s="36" t="s">
        <v>123</v>
      </c>
      <c r="M63" s="36" t="s">
        <v>468</v>
      </c>
      <c r="N63" s="36"/>
      <c r="O63" s="101"/>
      <c r="P63" s="81"/>
      <c r="Q63" s="36"/>
      <c r="R63" s="36"/>
      <c r="S63" s="36"/>
      <c r="T63" s="81" t="s">
        <v>0</v>
      </c>
      <c r="U63" s="81" t="s">
        <v>0</v>
      </c>
      <c r="V63" s="36"/>
      <c r="W63" s="36"/>
      <c r="X63" s="36"/>
      <c r="Y63" s="36"/>
      <c r="Z63" s="81"/>
      <c r="AA63" s="54"/>
      <c r="AB63" s="81"/>
      <c r="AC63" s="81"/>
      <c r="AD63" s="36" t="s">
        <v>221</v>
      </c>
      <c r="AE63" s="81"/>
      <c r="AF63" s="81" t="s">
        <v>65</v>
      </c>
      <c r="AG63" s="48"/>
      <c r="AH63" s="134" t="str">
        <f t="shared" si="0"/>
        <v/>
      </c>
      <c r="AI63" s="134"/>
      <c r="AJ63" s="48">
        <v>39772</v>
      </c>
      <c r="AK63" s="134">
        <f t="shared" si="1"/>
        <v>11</v>
      </c>
      <c r="AL63" s="94" t="s">
        <v>82</v>
      </c>
      <c r="AM63" s="138"/>
      <c r="AN63" s="138"/>
      <c r="AO63" s="190"/>
      <c r="AP63" s="136" t="str">
        <f t="shared" ref="AP63:AP78" si="7">IF((AO63=""),"",MONTH(AO63))</f>
        <v/>
      </c>
      <c r="AQ63" s="127"/>
      <c r="AR63" s="23"/>
      <c r="AS63" s="54" t="s">
        <v>107</v>
      </c>
      <c r="AT63" s="136"/>
      <c r="AU63" s="70" t="str">
        <f t="shared" si="5"/>
        <v/>
      </c>
      <c r="AV63" s="70" t="s">
        <v>68</v>
      </c>
    </row>
    <row r="64" spans="1:48" s="136" customFormat="1" ht="19.5" hidden="1" customHeight="1" x14ac:dyDescent="0.2">
      <c r="A64" s="86">
        <v>20040</v>
      </c>
      <c r="B64" s="3" t="s">
        <v>265</v>
      </c>
      <c r="C64" s="3" t="s">
        <v>608</v>
      </c>
      <c r="D64" s="86"/>
      <c r="E64" s="36" t="s">
        <v>94</v>
      </c>
      <c r="F64" s="48">
        <v>31543</v>
      </c>
      <c r="G64" s="36" t="s">
        <v>132</v>
      </c>
      <c r="H64" s="81" t="s">
        <v>133</v>
      </c>
      <c r="I64" s="36" t="s">
        <v>609</v>
      </c>
      <c r="J64" s="48">
        <v>36965</v>
      </c>
      <c r="K64" s="36" t="s">
        <v>132</v>
      </c>
      <c r="L64" s="36" t="s">
        <v>123</v>
      </c>
      <c r="M64" s="36" t="s">
        <v>610</v>
      </c>
      <c r="N64" s="36" t="s">
        <v>368</v>
      </c>
      <c r="O64" s="101"/>
      <c r="P64" s="81" t="s">
        <v>611</v>
      </c>
      <c r="Q64" s="36" t="s">
        <v>612</v>
      </c>
      <c r="R64" s="36" t="s">
        <v>613</v>
      </c>
      <c r="S64" s="36"/>
      <c r="T64" s="81" t="s">
        <v>614</v>
      </c>
      <c r="U64" s="81" t="s">
        <v>615</v>
      </c>
      <c r="V64" s="36"/>
      <c r="W64" s="36"/>
      <c r="X64" s="36"/>
      <c r="Y64" s="36" t="s">
        <v>616</v>
      </c>
      <c r="Z64" s="81"/>
      <c r="AA64" s="54"/>
      <c r="AB64" s="81" t="s">
        <v>285</v>
      </c>
      <c r="AC64" s="81" t="s">
        <v>236</v>
      </c>
      <c r="AD64" s="36"/>
      <c r="AE64" s="81"/>
      <c r="AF64" s="81" t="s">
        <v>65</v>
      </c>
      <c r="AG64" s="48"/>
      <c r="AH64" s="134" t="str">
        <f t="shared" si="0"/>
        <v/>
      </c>
      <c r="AI64" s="134"/>
      <c r="AJ64" s="48">
        <v>39777</v>
      </c>
      <c r="AK64" s="134">
        <f t="shared" si="1"/>
        <v>11</v>
      </c>
      <c r="AL64" s="94" t="s">
        <v>82</v>
      </c>
      <c r="AM64" s="138"/>
      <c r="AN64" s="138"/>
      <c r="AO64" s="190">
        <v>40999</v>
      </c>
      <c r="AP64" s="136">
        <f t="shared" si="7"/>
        <v>3</v>
      </c>
      <c r="AQ64" s="127"/>
      <c r="AR64" s="23"/>
      <c r="AS64" s="94"/>
      <c r="AT64" s="23"/>
      <c r="AU64" s="70">
        <f t="shared" si="5"/>
        <v>5</v>
      </c>
      <c r="AV64" s="70" t="s">
        <v>68</v>
      </c>
    </row>
    <row r="65" spans="1:48" ht="25.5" hidden="1" x14ac:dyDescent="0.2">
      <c r="A65" s="86">
        <v>20041</v>
      </c>
      <c r="B65" s="3" t="s">
        <v>617</v>
      </c>
      <c r="C65" s="3" t="s">
        <v>618</v>
      </c>
      <c r="D65" s="86"/>
      <c r="E65" s="36" t="s">
        <v>94</v>
      </c>
      <c r="F65" s="48">
        <v>28127</v>
      </c>
      <c r="G65" s="36" t="s">
        <v>52</v>
      </c>
      <c r="H65" s="81" t="s">
        <v>53</v>
      </c>
      <c r="I65" s="36" t="s">
        <v>619</v>
      </c>
      <c r="J65" s="48">
        <v>35204</v>
      </c>
      <c r="K65" s="36" t="s">
        <v>52</v>
      </c>
      <c r="L65" s="36" t="s">
        <v>123</v>
      </c>
      <c r="M65" s="36" t="s">
        <v>448</v>
      </c>
      <c r="N65" s="36"/>
      <c r="O65" s="101"/>
      <c r="P65" s="81"/>
      <c r="Q65" s="36"/>
      <c r="R65" s="36" t="s">
        <v>620</v>
      </c>
      <c r="S65" s="36"/>
      <c r="T65" s="81" t="s">
        <v>621</v>
      </c>
      <c r="U65" s="81" t="s">
        <v>621</v>
      </c>
      <c r="V65" s="36"/>
      <c r="W65" s="36"/>
      <c r="X65" s="36"/>
      <c r="Y65" s="36"/>
      <c r="Z65" s="81"/>
      <c r="AA65" s="54"/>
      <c r="AB65" s="81"/>
      <c r="AC65" s="81"/>
      <c r="AD65" s="36"/>
      <c r="AE65" s="81"/>
      <c r="AF65" s="81" t="s">
        <v>65</v>
      </c>
      <c r="AG65" s="48"/>
      <c r="AH65" s="134" t="str">
        <f t="shared" si="0"/>
        <v/>
      </c>
      <c r="AI65" s="134"/>
      <c r="AJ65" s="48">
        <v>39777</v>
      </c>
      <c r="AK65" s="134">
        <f t="shared" si="1"/>
        <v>11</v>
      </c>
      <c r="AL65" s="94" t="s">
        <v>82</v>
      </c>
      <c r="AM65" s="138"/>
      <c r="AN65" s="138"/>
      <c r="AO65" s="190"/>
      <c r="AP65" s="136" t="str">
        <f t="shared" si="7"/>
        <v/>
      </c>
      <c r="AQ65" s="127"/>
      <c r="AR65" s="23"/>
      <c r="AS65" s="94"/>
      <c r="AT65" s="136"/>
      <c r="AU65" s="70">
        <f t="shared" si="5"/>
        <v>1</v>
      </c>
      <c r="AV65" s="70" t="s">
        <v>68</v>
      </c>
    </row>
    <row r="66" spans="1:48" s="136" customFormat="1" ht="19.5" hidden="1" customHeight="1" x14ac:dyDescent="0.2">
      <c r="A66" s="86">
        <v>20042</v>
      </c>
      <c r="B66" s="3" t="s">
        <v>622</v>
      </c>
      <c r="C66" s="3" t="s">
        <v>50</v>
      </c>
      <c r="D66" s="86"/>
      <c r="E66" s="36" t="s">
        <v>51</v>
      </c>
      <c r="F66" s="48">
        <v>31629</v>
      </c>
      <c r="G66" s="36" t="s">
        <v>52</v>
      </c>
      <c r="H66" s="81" t="s">
        <v>53</v>
      </c>
      <c r="I66" s="36" t="s">
        <v>623</v>
      </c>
      <c r="J66" s="48">
        <v>36763</v>
      </c>
      <c r="K66" s="36" t="s">
        <v>52</v>
      </c>
      <c r="L66" s="36" t="s">
        <v>123</v>
      </c>
      <c r="M66" s="36" t="s">
        <v>111</v>
      </c>
      <c r="N66" s="36"/>
      <c r="O66" s="101"/>
      <c r="P66" s="81" t="s">
        <v>624</v>
      </c>
      <c r="Q66" s="36" t="s">
        <v>625</v>
      </c>
      <c r="R66" s="36" t="s">
        <v>626</v>
      </c>
      <c r="S66" s="36"/>
      <c r="T66" s="81" t="s">
        <v>627</v>
      </c>
      <c r="U66" s="81" t="s">
        <v>628</v>
      </c>
      <c r="V66" s="36"/>
      <c r="W66" s="36"/>
      <c r="X66" s="36"/>
      <c r="Y66" s="36" t="s">
        <v>284</v>
      </c>
      <c r="Z66" s="81"/>
      <c r="AA66" s="54"/>
      <c r="AB66" s="81" t="s">
        <v>285</v>
      </c>
      <c r="AC66" s="81" t="s">
        <v>236</v>
      </c>
      <c r="AD66" s="36" t="s">
        <v>629</v>
      </c>
      <c r="AE66" s="81"/>
      <c r="AF66" s="81" t="s">
        <v>65</v>
      </c>
      <c r="AG66" s="48"/>
      <c r="AH66" s="134" t="str">
        <f t="shared" si="0"/>
        <v/>
      </c>
      <c r="AI66" s="134"/>
      <c r="AJ66" s="48"/>
      <c r="AK66" s="134" t="str">
        <f t="shared" si="1"/>
        <v/>
      </c>
      <c r="AL66" s="94" t="s">
        <v>82</v>
      </c>
      <c r="AM66" s="138"/>
      <c r="AN66" s="138"/>
      <c r="AO66" s="190"/>
      <c r="AP66" s="136" t="str">
        <f t="shared" si="7"/>
        <v/>
      </c>
      <c r="AQ66" s="127"/>
      <c r="AR66" s="23"/>
      <c r="AS66" s="94"/>
      <c r="AT66" s="184"/>
      <c r="AU66" s="70">
        <f t="shared" si="5"/>
        <v>8</v>
      </c>
      <c r="AV66" s="70" t="s">
        <v>68</v>
      </c>
    </row>
    <row r="67" spans="1:48" s="136" customFormat="1" ht="19.5" hidden="1" customHeight="1" x14ac:dyDescent="0.2">
      <c r="A67" s="86">
        <v>20043</v>
      </c>
      <c r="B67" s="3" t="s">
        <v>630</v>
      </c>
      <c r="C67" s="3" t="s">
        <v>527</v>
      </c>
      <c r="D67" s="86"/>
      <c r="E67" s="36" t="s">
        <v>51</v>
      </c>
      <c r="F67" s="48">
        <v>31181</v>
      </c>
      <c r="G67" s="36" t="s">
        <v>365</v>
      </c>
      <c r="H67" s="81" t="s">
        <v>366</v>
      </c>
      <c r="I67" s="36" t="s">
        <v>631</v>
      </c>
      <c r="J67" s="48">
        <v>39036</v>
      </c>
      <c r="K67" s="36" t="s">
        <v>365</v>
      </c>
      <c r="L67" s="36" t="s">
        <v>123</v>
      </c>
      <c r="M67" s="36" t="s">
        <v>632</v>
      </c>
      <c r="N67" s="36"/>
      <c r="O67" s="101"/>
      <c r="P67" s="81" t="s">
        <v>633</v>
      </c>
      <c r="Q67" s="36"/>
      <c r="R67" s="36" t="s">
        <v>634</v>
      </c>
      <c r="S67" s="36"/>
      <c r="T67" s="81" t="s">
        <v>635</v>
      </c>
      <c r="U67" s="81" t="s">
        <v>636</v>
      </c>
      <c r="V67" s="36"/>
      <c r="W67" s="36"/>
      <c r="X67" s="36"/>
      <c r="Y67" s="36"/>
      <c r="Z67" s="81"/>
      <c r="AA67" s="54"/>
      <c r="AB67" s="81"/>
      <c r="AC67" s="81"/>
      <c r="AD67" s="36"/>
      <c r="AE67" s="81"/>
      <c r="AF67" s="81" t="s">
        <v>65</v>
      </c>
      <c r="AG67" s="48"/>
      <c r="AH67" s="134" t="str">
        <f t="shared" ref="AH67:AH130" si="8">IF((AG67=""),"",MONTH(AG67))</f>
        <v/>
      </c>
      <c r="AI67" s="134"/>
      <c r="AJ67" s="48">
        <v>39783</v>
      </c>
      <c r="AK67" s="134">
        <f t="shared" ref="AK67:AK130" si="9">IF((AJ67=""),"",MONTH(AJ67))</f>
        <v>12</v>
      </c>
      <c r="AL67" s="94" t="s">
        <v>82</v>
      </c>
      <c r="AM67" s="138"/>
      <c r="AN67" s="138"/>
      <c r="AO67" s="190"/>
      <c r="AP67" s="136" t="str">
        <f t="shared" si="7"/>
        <v/>
      </c>
      <c r="AQ67" s="127"/>
      <c r="AR67" s="23"/>
      <c r="AS67" s="94"/>
      <c r="AT67" s="194"/>
      <c r="AU67" s="70">
        <f t="shared" ref="AU67:AU97" si="10">IF((F67=""),"",MONTH(F67))</f>
        <v>5</v>
      </c>
      <c r="AV67" s="70" t="s">
        <v>68</v>
      </c>
    </row>
    <row r="68" spans="1:48" ht="19.5" hidden="1" customHeight="1" x14ac:dyDescent="0.2">
      <c r="A68" s="86">
        <v>20044</v>
      </c>
      <c r="B68" s="3" t="s">
        <v>637</v>
      </c>
      <c r="C68" s="3" t="s">
        <v>638</v>
      </c>
      <c r="D68" s="86"/>
      <c r="E68" s="36" t="s">
        <v>94</v>
      </c>
      <c r="F68" s="48">
        <v>28532</v>
      </c>
      <c r="G68" s="36"/>
      <c r="H68" s="81" t="s">
        <v>52</v>
      </c>
      <c r="I68" s="36" t="s">
        <v>639</v>
      </c>
      <c r="J68" s="48">
        <v>38933</v>
      </c>
      <c r="K68" s="36" t="s">
        <v>52</v>
      </c>
      <c r="L68" s="36" t="s">
        <v>318</v>
      </c>
      <c r="M68" s="36" t="s">
        <v>537</v>
      </c>
      <c r="N68" s="36" t="s">
        <v>320</v>
      </c>
      <c r="O68" s="101"/>
      <c r="P68" s="159" t="s">
        <v>640</v>
      </c>
      <c r="Q68" s="36"/>
      <c r="R68" s="36" t="s">
        <v>641</v>
      </c>
      <c r="S68" s="36"/>
      <c r="T68" s="81"/>
      <c r="U68" s="81" t="s">
        <v>642</v>
      </c>
      <c r="V68" s="36"/>
      <c r="W68" s="36"/>
      <c r="X68" s="36"/>
      <c r="Y68" s="36" t="s">
        <v>294</v>
      </c>
      <c r="Z68" s="81"/>
      <c r="AA68" s="54"/>
      <c r="AB68" s="81" t="s">
        <v>285</v>
      </c>
      <c r="AC68" s="81" t="s">
        <v>236</v>
      </c>
      <c r="AD68" s="36"/>
      <c r="AE68" s="81"/>
      <c r="AF68" s="81" t="s">
        <v>65</v>
      </c>
      <c r="AG68" s="48"/>
      <c r="AH68" s="134" t="str">
        <f t="shared" si="8"/>
        <v/>
      </c>
      <c r="AI68" s="134"/>
      <c r="AJ68" s="48"/>
      <c r="AK68" s="134" t="str">
        <f t="shared" si="9"/>
        <v/>
      </c>
      <c r="AL68" s="54" t="s">
        <v>82</v>
      </c>
      <c r="AM68" s="54"/>
      <c r="AN68" s="54"/>
      <c r="AO68" s="190">
        <v>40253</v>
      </c>
      <c r="AP68" s="136">
        <f t="shared" si="7"/>
        <v>3</v>
      </c>
      <c r="AQ68" s="123"/>
      <c r="AR68" s="23"/>
      <c r="AS68" s="54"/>
      <c r="AT68" s="136"/>
      <c r="AU68" s="70">
        <f t="shared" si="10"/>
        <v>2</v>
      </c>
      <c r="AV68" s="70" t="s">
        <v>68</v>
      </c>
    </row>
    <row r="69" spans="1:48" ht="12.75" hidden="1" x14ac:dyDescent="0.2">
      <c r="A69" s="86">
        <v>20045</v>
      </c>
      <c r="B69" s="3" t="s">
        <v>596</v>
      </c>
      <c r="C69" s="3" t="s">
        <v>643</v>
      </c>
      <c r="D69" s="86"/>
      <c r="E69" s="36" t="s">
        <v>94</v>
      </c>
      <c r="F69" s="48">
        <v>30090</v>
      </c>
      <c r="G69" s="36"/>
      <c r="H69" s="81" t="s">
        <v>0</v>
      </c>
      <c r="I69" s="36"/>
      <c r="J69" s="48"/>
      <c r="K69" s="36"/>
      <c r="L69" s="36" t="s">
        <v>123</v>
      </c>
      <c r="M69" s="36" t="s">
        <v>578</v>
      </c>
      <c r="N69" s="36" t="s">
        <v>644</v>
      </c>
      <c r="O69" s="101"/>
      <c r="P69" s="81"/>
      <c r="Q69" s="36"/>
      <c r="R69" s="36"/>
      <c r="S69" s="36"/>
      <c r="T69" s="81" t="s">
        <v>0</v>
      </c>
      <c r="U69" s="81" t="s">
        <v>0</v>
      </c>
      <c r="V69" s="36"/>
      <c r="W69" s="36"/>
      <c r="X69" s="36"/>
      <c r="Y69" s="36"/>
      <c r="Z69" s="81"/>
      <c r="AA69" s="54"/>
      <c r="AB69" s="81"/>
      <c r="AC69" s="81"/>
      <c r="AD69" s="36"/>
      <c r="AE69" s="81"/>
      <c r="AF69" s="81" t="s">
        <v>65</v>
      </c>
      <c r="AG69" s="48"/>
      <c r="AH69" s="134" t="str">
        <f t="shared" si="8"/>
        <v/>
      </c>
      <c r="AI69" s="134"/>
      <c r="AJ69" s="48">
        <v>39790</v>
      </c>
      <c r="AK69" s="134">
        <f t="shared" si="9"/>
        <v>12</v>
      </c>
      <c r="AL69" s="94" t="s">
        <v>82</v>
      </c>
      <c r="AM69" s="138"/>
      <c r="AN69" s="138"/>
      <c r="AO69" s="190"/>
      <c r="AP69" s="136" t="str">
        <f t="shared" si="7"/>
        <v/>
      </c>
      <c r="AQ69" s="127"/>
      <c r="AR69" s="23"/>
      <c r="AS69" s="94"/>
      <c r="AT69" s="136"/>
      <c r="AU69" s="70">
        <f t="shared" si="10"/>
        <v>5</v>
      </c>
      <c r="AV69" s="70" t="s">
        <v>68</v>
      </c>
    </row>
    <row r="70" spans="1:48" ht="19.5" hidden="1" customHeight="1" x14ac:dyDescent="0.2">
      <c r="A70" s="86">
        <v>20046</v>
      </c>
      <c r="B70" s="3" t="s">
        <v>645</v>
      </c>
      <c r="C70" s="3" t="s">
        <v>160</v>
      </c>
      <c r="D70" s="86"/>
      <c r="E70" s="36" t="s">
        <v>51</v>
      </c>
      <c r="F70" s="48">
        <v>31629</v>
      </c>
      <c r="G70" s="36" t="s">
        <v>338</v>
      </c>
      <c r="H70" s="81" t="s">
        <v>339</v>
      </c>
      <c r="I70" s="36" t="s">
        <v>646</v>
      </c>
      <c r="J70" s="48">
        <v>39247</v>
      </c>
      <c r="K70" s="36" t="s">
        <v>52</v>
      </c>
      <c r="L70" s="36" t="s">
        <v>123</v>
      </c>
      <c r="M70" s="36" t="s">
        <v>468</v>
      </c>
      <c r="N70" s="36"/>
      <c r="O70" s="101"/>
      <c r="P70" s="81" t="s">
        <v>647</v>
      </c>
      <c r="Q70" s="36" t="s">
        <v>648</v>
      </c>
      <c r="R70" s="36" t="s">
        <v>649</v>
      </c>
      <c r="S70" s="36"/>
      <c r="T70" s="81" t="s">
        <v>650</v>
      </c>
      <c r="U70" s="81" t="s">
        <v>651</v>
      </c>
      <c r="V70" s="36"/>
      <c r="W70" s="36"/>
      <c r="X70" s="36"/>
      <c r="Y70" s="36" t="s">
        <v>374</v>
      </c>
      <c r="Z70" s="81"/>
      <c r="AA70" s="54"/>
      <c r="AB70" s="81">
        <v>3</v>
      </c>
      <c r="AC70" s="81" t="s">
        <v>63</v>
      </c>
      <c r="AD70" s="36" t="s">
        <v>652</v>
      </c>
      <c r="AE70" s="81"/>
      <c r="AF70" s="81" t="s">
        <v>65</v>
      </c>
      <c r="AG70" s="48"/>
      <c r="AH70" s="134" t="str">
        <f t="shared" si="8"/>
        <v/>
      </c>
      <c r="AI70" s="134"/>
      <c r="AJ70" s="48"/>
      <c r="AK70" s="134" t="str">
        <f t="shared" si="9"/>
        <v/>
      </c>
      <c r="AL70" s="94" t="s">
        <v>82</v>
      </c>
      <c r="AM70" s="138"/>
      <c r="AN70" s="138"/>
      <c r="AO70" s="190">
        <v>40747</v>
      </c>
      <c r="AP70" s="136">
        <f t="shared" si="7"/>
        <v>7</v>
      </c>
      <c r="AQ70" s="127"/>
      <c r="AR70" s="23"/>
      <c r="AS70" s="94"/>
      <c r="AT70" s="136"/>
      <c r="AU70" s="70">
        <f t="shared" si="10"/>
        <v>8</v>
      </c>
      <c r="AV70" s="70" t="s">
        <v>68</v>
      </c>
    </row>
    <row r="71" spans="1:48" s="136" customFormat="1" ht="19.5" hidden="1" customHeight="1" x14ac:dyDescent="0.2">
      <c r="A71" s="86">
        <v>20047</v>
      </c>
      <c r="B71" s="3" t="s">
        <v>653</v>
      </c>
      <c r="C71" s="3" t="s">
        <v>296</v>
      </c>
      <c r="D71" s="86"/>
      <c r="E71" s="36" t="s">
        <v>51</v>
      </c>
      <c r="F71" s="48">
        <v>30605</v>
      </c>
      <c r="G71" s="36"/>
      <c r="H71" s="81" t="s">
        <v>365</v>
      </c>
      <c r="I71" s="36" t="s">
        <v>654</v>
      </c>
      <c r="J71" s="48">
        <v>36025</v>
      </c>
      <c r="K71" s="36" t="s">
        <v>365</v>
      </c>
      <c r="L71" s="36" t="s">
        <v>318</v>
      </c>
      <c r="M71" s="36" t="s">
        <v>124</v>
      </c>
      <c r="N71" s="36" t="s">
        <v>320</v>
      </c>
      <c r="O71" s="101"/>
      <c r="P71" s="159">
        <v>0</v>
      </c>
      <c r="Q71" s="36"/>
      <c r="R71" s="36" t="s">
        <v>655</v>
      </c>
      <c r="S71" s="36"/>
      <c r="T71" s="81"/>
      <c r="U71" s="81" t="s">
        <v>656</v>
      </c>
      <c r="V71" s="36"/>
      <c r="W71" s="36"/>
      <c r="X71" s="36"/>
      <c r="Y71" s="36"/>
      <c r="Z71" s="81"/>
      <c r="AA71" s="54"/>
      <c r="AB71" s="81"/>
      <c r="AC71" s="81"/>
      <c r="AD71" s="36"/>
      <c r="AE71" s="81"/>
      <c r="AF71" s="81" t="s">
        <v>65</v>
      </c>
      <c r="AG71" s="48"/>
      <c r="AH71" s="134" t="str">
        <f t="shared" si="8"/>
        <v/>
      </c>
      <c r="AI71" s="134"/>
      <c r="AJ71" s="48"/>
      <c r="AK71" s="134" t="str">
        <f t="shared" si="9"/>
        <v/>
      </c>
      <c r="AL71" s="54" t="s">
        <v>82</v>
      </c>
      <c r="AM71" s="54"/>
      <c r="AN71" s="54"/>
      <c r="AO71" s="190"/>
      <c r="AP71" s="136" t="str">
        <f t="shared" si="7"/>
        <v/>
      </c>
      <c r="AQ71" s="123"/>
      <c r="AR71" s="23"/>
      <c r="AS71" s="54"/>
      <c r="AT71" s="184"/>
      <c r="AU71" s="70">
        <f t="shared" si="10"/>
        <v>10</v>
      </c>
      <c r="AV71" s="70" t="s">
        <v>68</v>
      </c>
    </row>
    <row r="72" spans="1:48" s="136" customFormat="1" ht="19.5" hidden="1" customHeight="1" x14ac:dyDescent="0.2">
      <c r="A72" s="87">
        <v>20048</v>
      </c>
      <c r="B72" s="80" t="s">
        <v>657</v>
      </c>
      <c r="C72" s="80" t="s">
        <v>170</v>
      </c>
      <c r="D72" s="87"/>
      <c r="E72" s="123" t="s">
        <v>94</v>
      </c>
      <c r="F72" s="140">
        <v>28753</v>
      </c>
      <c r="G72" s="123" t="s">
        <v>171</v>
      </c>
      <c r="H72" s="54" t="s">
        <v>350</v>
      </c>
      <c r="I72" s="123" t="s">
        <v>658</v>
      </c>
      <c r="J72" s="140">
        <v>34784</v>
      </c>
      <c r="K72" s="123" t="s">
        <v>52</v>
      </c>
      <c r="L72" s="123" t="s">
        <v>341</v>
      </c>
      <c r="M72" s="123" t="s">
        <v>468</v>
      </c>
      <c r="N72" s="123"/>
      <c r="O72" s="106"/>
      <c r="P72" s="54" t="s">
        <v>659</v>
      </c>
      <c r="Q72" s="123" t="s">
        <v>660</v>
      </c>
      <c r="R72" s="123" t="s">
        <v>661</v>
      </c>
      <c r="S72" s="123"/>
      <c r="T72" s="54" t="s">
        <v>662</v>
      </c>
      <c r="U72" s="54" t="s">
        <v>663</v>
      </c>
      <c r="V72" s="123"/>
      <c r="W72" s="123"/>
      <c r="X72" s="123"/>
      <c r="Y72" s="123" t="s">
        <v>180</v>
      </c>
      <c r="Z72" s="54"/>
      <c r="AA72" s="54"/>
      <c r="AB72" s="54" t="s">
        <v>103</v>
      </c>
      <c r="AC72" s="54" t="s">
        <v>63</v>
      </c>
      <c r="AD72" s="123" t="s">
        <v>375</v>
      </c>
      <c r="AE72" s="54"/>
      <c r="AF72" s="54" t="s">
        <v>65</v>
      </c>
      <c r="AG72" s="140">
        <v>39875</v>
      </c>
      <c r="AH72" s="65">
        <f t="shared" si="8"/>
        <v>3</v>
      </c>
      <c r="AI72" s="65"/>
      <c r="AJ72" s="140">
        <v>39875</v>
      </c>
      <c r="AK72" s="65">
        <f t="shared" si="9"/>
        <v>3</v>
      </c>
      <c r="AL72" s="54" t="s">
        <v>66</v>
      </c>
      <c r="AM72" s="138"/>
      <c r="AN72" s="138"/>
      <c r="AO72" s="140"/>
      <c r="AP72" s="65" t="str">
        <f t="shared" si="7"/>
        <v/>
      </c>
      <c r="AQ72" s="123"/>
      <c r="AR72" s="23"/>
      <c r="AS72" s="54" t="s">
        <v>107</v>
      </c>
      <c r="AT72" s="194"/>
      <c r="AU72" s="70">
        <f t="shared" si="10"/>
        <v>9</v>
      </c>
      <c r="AV72" s="70" t="s">
        <v>68</v>
      </c>
    </row>
    <row r="73" spans="1:48" ht="19.5" hidden="1" customHeight="1" x14ac:dyDescent="0.2">
      <c r="A73" s="86">
        <v>20049</v>
      </c>
      <c r="B73" s="3" t="s">
        <v>664</v>
      </c>
      <c r="C73" s="3" t="s">
        <v>665</v>
      </c>
      <c r="D73" s="86"/>
      <c r="E73" s="36" t="s">
        <v>51</v>
      </c>
      <c r="F73" s="48"/>
      <c r="G73" s="36"/>
      <c r="H73" s="81" t="s">
        <v>0</v>
      </c>
      <c r="I73" s="36"/>
      <c r="J73" s="48"/>
      <c r="K73" s="36"/>
      <c r="L73" s="36" t="s">
        <v>123</v>
      </c>
      <c r="M73" s="36"/>
      <c r="N73" s="36"/>
      <c r="O73" s="101"/>
      <c r="P73" s="81"/>
      <c r="Q73" s="36"/>
      <c r="R73" s="36"/>
      <c r="S73" s="36"/>
      <c r="T73" s="81" t="s">
        <v>0</v>
      </c>
      <c r="U73" s="81" t="s">
        <v>0</v>
      </c>
      <c r="V73" s="36"/>
      <c r="W73" s="36"/>
      <c r="X73" s="36"/>
      <c r="Y73" s="36"/>
      <c r="Z73" s="81"/>
      <c r="AA73" s="54"/>
      <c r="AB73" s="81"/>
      <c r="AC73" s="81"/>
      <c r="AD73" s="36"/>
      <c r="AE73" s="81"/>
      <c r="AF73" s="81"/>
      <c r="AG73" s="48"/>
      <c r="AH73" s="134" t="str">
        <f t="shared" si="8"/>
        <v/>
      </c>
      <c r="AI73" s="134"/>
      <c r="AJ73" s="48"/>
      <c r="AK73" s="134" t="str">
        <f t="shared" si="9"/>
        <v/>
      </c>
      <c r="AL73" s="94" t="s">
        <v>82</v>
      </c>
      <c r="AM73" s="138"/>
      <c r="AN73" s="138"/>
      <c r="AO73" s="190"/>
      <c r="AP73" s="136" t="str">
        <f t="shared" si="7"/>
        <v/>
      </c>
      <c r="AQ73" s="127"/>
      <c r="AR73" s="23"/>
      <c r="AS73" s="94"/>
      <c r="AT73" s="136"/>
      <c r="AU73" s="70" t="str">
        <f t="shared" si="10"/>
        <v/>
      </c>
      <c r="AV73" s="70" t="s">
        <v>68</v>
      </c>
    </row>
    <row r="74" spans="1:48" s="136" customFormat="1" ht="19.5" hidden="1" customHeight="1" x14ac:dyDescent="0.2">
      <c r="A74" s="86">
        <v>20050</v>
      </c>
      <c r="B74" s="3" t="s">
        <v>666</v>
      </c>
      <c r="C74" s="3" t="s">
        <v>667</v>
      </c>
      <c r="D74" s="86"/>
      <c r="E74" s="36" t="s">
        <v>94</v>
      </c>
      <c r="F74" s="48">
        <v>29049</v>
      </c>
      <c r="G74" s="36" t="s">
        <v>52</v>
      </c>
      <c r="H74" s="81" t="s">
        <v>53</v>
      </c>
      <c r="I74" s="36" t="s">
        <v>668</v>
      </c>
      <c r="J74" s="48">
        <v>37833</v>
      </c>
      <c r="K74" s="36" t="s">
        <v>52</v>
      </c>
      <c r="L74" s="36" t="s">
        <v>123</v>
      </c>
      <c r="M74" s="36" t="s">
        <v>382</v>
      </c>
      <c r="N74" s="36"/>
      <c r="O74" s="101"/>
      <c r="P74" s="81" t="s">
        <v>669</v>
      </c>
      <c r="Q74" s="36"/>
      <c r="R74" s="36" t="s">
        <v>670</v>
      </c>
      <c r="S74" s="36"/>
      <c r="T74" s="81" t="s">
        <v>671</v>
      </c>
      <c r="U74" s="81" t="s">
        <v>672</v>
      </c>
      <c r="V74" s="36"/>
      <c r="W74" s="36"/>
      <c r="X74" s="36"/>
      <c r="Y74" s="36"/>
      <c r="Z74" s="81"/>
      <c r="AA74" s="54"/>
      <c r="AB74" s="81"/>
      <c r="AC74" s="81"/>
      <c r="AD74" s="36"/>
      <c r="AE74" s="81"/>
      <c r="AF74" s="81" t="s">
        <v>65</v>
      </c>
      <c r="AG74" s="48"/>
      <c r="AH74" s="134" t="str">
        <f t="shared" si="8"/>
        <v/>
      </c>
      <c r="AI74" s="134"/>
      <c r="AJ74" s="48">
        <v>39874</v>
      </c>
      <c r="AK74" s="134">
        <f t="shared" si="9"/>
        <v>3</v>
      </c>
      <c r="AL74" s="94" t="s">
        <v>82</v>
      </c>
      <c r="AM74" s="138"/>
      <c r="AN74" s="138"/>
      <c r="AO74" s="190"/>
      <c r="AP74" s="136" t="str">
        <f t="shared" si="7"/>
        <v/>
      </c>
      <c r="AQ74" s="127"/>
      <c r="AR74" s="23"/>
      <c r="AS74" s="94"/>
      <c r="AT74" s="23"/>
      <c r="AU74" s="70">
        <f t="shared" si="10"/>
        <v>7</v>
      </c>
      <c r="AV74" s="70" t="s">
        <v>68</v>
      </c>
    </row>
    <row r="75" spans="1:48" ht="19.5" hidden="1" customHeight="1" x14ac:dyDescent="0.2">
      <c r="A75" s="86">
        <v>20051</v>
      </c>
      <c r="B75" s="3" t="s">
        <v>673</v>
      </c>
      <c r="C75" s="3" t="s">
        <v>527</v>
      </c>
      <c r="D75" s="86"/>
      <c r="E75" s="36" t="s">
        <v>94</v>
      </c>
      <c r="F75" s="48">
        <v>30112</v>
      </c>
      <c r="G75" s="36" t="s">
        <v>365</v>
      </c>
      <c r="H75" s="81" t="s">
        <v>366</v>
      </c>
      <c r="I75" s="36" t="s">
        <v>674</v>
      </c>
      <c r="J75" s="48">
        <v>36440</v>
      </c>
      <c r="K75" s="36" t="s">
        <v>365</v>
      </c>
      <c r="L75" s="36" t="s">
        <v>123</v>
      </c>
      <c r="M75" s="36" t="s">
        <v>543</v>
      </c>
      <c r="N75" s="36"/>
      <c r="O75" s="101"/>
      <c r="P75" s="81"/>
      <c r="Q75" s="36"/>
      <c r="R75" s="36" t="s">
        <v>675</v>
      </c>
      <c r="S75" s="36"/>
      <c r="T75" s="81" t="s">
        <v>676</v>
      </c>
      <c r="U75" s="81" t="s">
        <v>677</v>
      </c>
      <c r="V75" s="36"/>
      <c r="W75" s="36"/>
      <c r="X75" s="36"/>
      <c r="Y75" s="36"/>
      <c r="Z75" s="81"/>
      <c r="AA75" s="54"/>
      <c r="AB75" s="81"/>
      <c r="AC75" s="81"/>
      <c r="AD75" s="36"/>
      <c r="AE75" s="81"/>
      <c r="AF75" s="81" t="s">
        <v>65</v>
      </c>
      <c r="AG75" s="48"/>
      <c r="AH75" s="134" t="str">
        <f t="shared" si="8"/>
        <v/>
      </c>
      <c r="AI75" s="134"/>
      <c r="AJ75" s="48">
        <v>39873</v>
      </c>
      <c r="AK75" s="134">
        <f t="shared" si="9"/>
        <v>3</v>
      </c>
      <c r="AL75" s="94" t="s">
        <v>82</v>
      </c>
      <c r="AM75" s="138"/>
      <c r="AN75" s="138"/>
      <c r="AO75" s="190"/>
      <c r="AP75" s="136" t="str">
        <f t="shared" si="7"/>
        <v/>
      </c>
      <c r="AQ75" s="127"/>
      <c r="AR75" s="23"/>
      <c r="AS75" s="94"/>
      <c r="AT75" s="136"/>
      <c r="AU75" s="70">
        <f t="shared" si="10"/>
        <v>6</v>
      </c>
      <c r="AV75" s="70" t="s">
        <v>68</v>
      </c>
    </row>
    <row r="76" spans="1:48" s="136" customFormat="1" ht="38.25" hidden="1" x14ac:dyDescent="0.2">
      <c r="A76" s="87">
        <v>20052</v>
      </c>
      <c r="B76" s="80" t="s">
        <v>678</v>
      </c>
      <c r="C76" s="80" t="s">
        <v>667</v>
      </c>
      <c r="D76" s="87"/>
      <c r="E76" s="123" t="s">
        <v>94</v>
      </c>
      <c r="F76" s="140">
        <v>30482</v>
      </c>
      <c r="G76" s="123" t="s">
        <v>52</v>
      </c>
      <c r="H76" s="54" t="s">
        <v>53</v>
      </c>
      <c r="I76" s="123" t="s">
        <v>679</v>
      </c>
      <c r="J76" s="140">
        <v>35963</v>
      </c>
      <c r="K76" s="123" t="s">
        <v>52</v>
      </c>
      <c r="L76" s="123" t="s">
        <v>341</v>
      </c>
      <c r="M76" s="123" t="s">
        <v>468</v>
      </c>
      <c r="N76" s="123"/>
      <c r="O76" s="106"/>
      <c r="P76" s="54" t="s">
        <v>680</v>
      </c>
      <c r="Q76" s="123" t="s">
        <v>681</v>
      </c>
      <c r="R76" s="123" t="s">
        <v>682</v>
      </c>
      <c r="S76" s="123"/>
      <c r="T76" s="54" t="s">
        <v>683</v>
      </c>
      <c r="U76" s="54" t="s">
        <v>683</v>
      </c>
      <c r="V76" s="123"/>
      <c r="W76" s="123"/>
      <c r="X76" s="123"/>
      <c r="Y76" s="123" t="s">
        <v>180</v>
      </c>
      <c r="Z76" s="54"/>
      <c r="AA76" s="54"/>
      <c r="AB76" s="54" t="s">
        <v>103</v>
      </c>
      <c r="AC76" s="54" t="s">
        <v>63</v>
      </c>
      <c r="AD76" s="123" t="s">
        <v>375</v>
      </c>
      <c r="AE76" s="54"/>
      <c r="AF76" s="54" t="s">
        <v>65</v>
      </c>
      <c r="AG76" s="140">
        <v>39890</v>
      </c>
      <c r="AH76" s="65">
        <f t="shared" si="8"/>
        <v>3</v>
      </c>
      <c r="AI76" s="65"/>
      <c r="AJ76" s="140">
        <v>39890</v>
      </c>
      <c r="AK76" s="65">
        <f t="shared" si="9"/>
        <v>3</v>
      </c>
      <c r="AL76" s="54" t="s">
        <v>66</v>
      </c>
      <c r="AM76" s="138"/>
      <c r="AN76" s="138"/>
      <c r="AO76" s="140"/>
      <c r="AP76" s="65" t="str">
        <f t="shared" si="7"/>
        <v/>
      </c>
      <c r="AQ76" s="123"/>
      <c r="AR76" s="23"/>
      <c r="AS76" s="54" t="s">
        <v>107</v>
      </c>
      <c r="AT76" s="23"/>
      <c r="AU76" s="70">
        <f t="shared" si="10"/>
        <v>6</v>
      </c>
      <c r="AV76" s="70" t="s">
        <v>68</v>
      </c>
    </row>
    <row r="77" spans="1:48" ht="25.5" hidden="1" x14ac:dyDescent="0.2">
      <c r="A77" s="86">
        <v>20053</v>
      </c>
      <c r="B77" s="3" t="s">
        <v>684</v>
      </c>
      <c r="C77" s="3" t="s">
        <v>685</v>
      </c>
      <c r="D77" s="86"/>
      <c r="E77" s="36" t="s">
        <v>94</v>
      </c>
      <c r="F77" s="48">
        <v>31258</v>
      </c>
      <c r="G77" s="36" t="s">
        <v>52</v>
      </c>
      <c r="H77" s="81" t="s">
        <v>53</v>
      </c>
      <c r="I77" s="36" t="s">
        <v>686</v>
      </c>
      <c r="J77" s="48">
        <v>37769</v>
      </c>
      <c r="K77" s="36" t="s">
        <v>52</v>
      </c>
      <c r="L77" s="36" t="s">
        <v>123</v>
      </c>
      <c r="M77" s="36" t="s">
        <v>687</v>
      </c>
      <c r="N77" s="36"/>
      <c r="O77" s="101"/>
      <c r="P77" s="81"/>
      <c r="Q77" s="36" t="s">
        <v>688</v>
      </c>
      <c r="R77" s="36" t="s">
        <v>689</v>
      </c>
      <c r="S77" s="36"/>
      <c r="T77" s="81" t="s">
        <v>690</v>
      </c>
      <c r="U77" s="81" t="s">
        <v>690</v>
      </c>
      <c r="V77" s="36"/>
      <c r="W77" s="36"/>
      <c r="X77" s="36"/>
      <c r="Y77" s="36"/>
      <c r="Z77" s="81"/>
      <c r="AA77" s="54"/>
      <c r="AB77" s="81"/>
      <c r="AC77" s="81"/>
      <c r="AD77" s="36"/>
      <c r="AE77" s="81"/>
      <c r="AF77" s="81" t="s">
        <v>65</v>
      </c>
      <c r="AG77" s="48"/>
      <c r="AH77" s="134" t="str">
        <f t="shared" si="8"/>
        <v/>
      </c>
      <c r="AI77" s="134"/>
      <c r="AJ77" s="48"/>
      <c r="AK77" s="134" t="str">
        <f t="shared" si="9"/>
        <v/>
      </c>
      <c r="AL77" s="94" t="s">
        <v>82</v>
      </c>
      <c r="AM77" s="138"/>
      <c r="AN77" s="138"/>
      <c r="AO77" s="190"/>
      <c r="AP77" s="136" t="str">
        <f t="shared" si="7"/>
        <v/>
      </c>
      <c r="AQ77" s="127"/>
      <c r="AR77" s="23"/>
      <c r="AS77" s="94"/>
      <c r="AT77" s="136"/>
      <c r="AU77" s="70">
        <f t="shared" si="10"/>
        <v>7</v>
      </c>
      <c r="AV77" s="70" t="s">
        <v>68</v>
      </c>
    </row>
    <row r="78" spans="1:48" s="136" customFormat="1" ht="19.5" hidden="1" customHeight="1" x14ac:dyDescent="0.2">
      <c r="A78" s="87">
        <v>20054</v>
      </c>
      <c r="B78" s="80" t="s">
        <v>691</v>
      </c>
      <c r="C78" s="80" t="s">
        <v>692</v>
      </c>
      <c r="D78" s="87"/>
      <c r="E78" s="123" t="s">
        <v>94</v>
      </c>
      <c r="F78" s="140">
        <v>30513</v>
      </c>
      <c r="G78" s="123" t="s">
        <v>132</v>
      </c>
      <c r="H78" s="54" t="s">
        <v>133</v>
      </c>
      <c r="I78" s="123" t="s">
        <v>693</v>
      </c>
      <c r="J78" s="140">
        <v>35846</v>
      </c>
      <c r="K78" s="123" t="s">
        <v>132</v>
      </c>
      <c r="L78" s="123" t="s">
        <v>123</v>
      </c>
      <c r="M78" s="123" t="s">
        <v>598</v>
      </c>
      <c r="N78" s="123" t="s">
        <v>694</v>
      </c>
      <c r="O78" s="106"/>
      <c r="P78" s="54" t="s">
        <v>695</v>
      </c>
      <c r="Q78" s="123"/>
      <c r="R78" s="123" t="s">
        <v>696</v>
      </c>
      <c r="S78" s="123"/>
      <c r="T78" s="54" t="s">
        <v>697</v>
      </c>
      <c r="U78" s="54" t="s">
        <v>698</v>
      </c>
      <c r="V78" s="123"/>
      <c r="W78" s="123"/>
      <c r="X78" s="123"/>
      <c r="Y78" s="123" t="s">
        <v>699</v>
      </c>
      <c r="Z78" s="54"/>
      <c r="AA78" s="54"/>
      <c r="AB78" s="54">
        <v>3</v>
      </c>
      <c r="AC78" s="54" t="s">
        <v>362</v>
      </c>
      <c r="AD78" s="123" t="s">
        <v>404</v>
      </c>
      <c r="AE78" s="54" t="s">
        <v>700</v>
      </c>
      <c r="AF78" s="54" t="s">
        <v>65</v>
      </c>
      <c r="AG78" s="140">
        <v>39895</v>
      </c>
      <c r="AH78" s="65">
        <f t="shared" si="8"/>
        <v>3</v>
      </c>
      <c r="AI78" s="65"/>
      <c r="AJ78" s="140">
        <v>39895</v>
      </c>
      <c r="AK78" s="65">
        <f t="shared" si="9"/>
        <v>3</v>
      </c>
      <c r="AL78" s="54" t="s">
        <v>66</v>
      </c>
      <c r="AM78" s="138">
        <v>41442</v>
      </c>
      <c r="AN78" s="138"/>
      <c r="AO78" s="140"/>
      <c r="AP78" s="65" t="str">
        <f t="shared" si="7"/>
        <v/>
      </c>
      <c r="AQ78" s="123"/>
      <c r="AR78" s="23"/>
      <c r="AS78" s="54" t="s">
        <v>347</v>
      </c>
      <c r="AT78" s="23"/>
      <c r="AU78" s="70">
        <f t="shared" si="10"/>
        <v>7</v>
      </c>
      <c r="AV78" s="70" t="s">
        <v>68</v>
      </c>
    </row>
    <row r="79" spans="1:48" ht="19.5" hidden="1" customHeight="1" x14ac:dyDescent="0.2">
      <c r="A79" s="86">
        <v>20055</v>
      </c>
      <c r="B79" s="3" t="s">
        <v>701</v>
      </c>
      <c r="C79" s="3" t="s">
        <v>160</v>
      </c>
      <c r="D79" s="86"/>
      <c r="E79" s="36" t="s">
        <v>94</v>
      </c>
      <c r="F79" s="48">
        <v>29410</v>
      </c>
      <c r="G79" s="36"/>
      <c r="H79" s="81" t="s">
        <v>365</v>
      </c>
      <c r="I79" s="36" t="s">
        <v>702</v>
      </c>
      <c r="J79" s="48">
        <v>35845</v>
      </c>
      <c r="K79" s="36" t="s">
        <v>365</v>
      </c>
      <c r="L79" s="36" t="s">
        <v>318</v>
      </c>
      <c r="M79" s="36" t="s">
        <v>111</v>
      </c>
      <c r="N79" s="36" t="s">
        <v>320</v>
      </c>
      <c r="O79" s="101"/>
      <c r="P79" s="159">
        <v>0</v>
      </c>
      <c r="Q79" s="36"/>
      <c r="R79" s="36" t="s">
        <v>703</v>
      </c>
      <c r="S79" s="36"/>
      <c r="T79" s="81"/>
      <c r="U79" s="81" t="s">
        <v>704</v>
      </c>
      <c r="V79" s="36"/>
      <c r="W79" s="36"/>
      <c r="X79" s="36"/>
      <c r="Y79" s="36"/>
      <c r="Z79" s="81"/>
      <c r="AA79" s="54"/>
      <c r="AB79" s="81"/>
      <c r="AC79" s="81"/>
      <c r="AD79" s="36"/>
      <c r="AE79" s="81"/>
      <c r="AF79" s="81" t="s">
        <v>65</v>
      </c>
      <c r="AG79" s="48"/>
      <c r="AH79" s="134" t="str">
        <f t="shared" si="8"/>
        <v/>
      </c>
      <c r="AI79" s="134"/>
      <c r="AJ79" s="48"/>
      <c r="AK79" s="134" t="str">
        <f t="shared" si="9"/>
        <v/>
      </c>
      <c r="AL79" s="54" t="s">
        <v>82</v>
      </c>
      <c r="AM79" s="54"/>
      <c r="AN79" s="54"/>
      <c r="AO79" s="190"/>
      <c r="AP79" s="136"/>
      <c r="AQ79" s="123"/>
      <c r="AR79" s="23"/>
      <c r="AS79" s="54"/>
      <c r="AT79" s="136"/>
      <c r="AU79" s="70">
        <f t="shared" si="10"/>
        <v>7</v>
      </c>
      <c r="AV79" s="70" t="s">
        <v>68</v>
      </c>
    </row>
    <row r="80" spans="1:48" s="136" customFormat="1" ht="19.5" hidden="1" customHeight="1" x14ac:dyDescent="0.2">
      <c r="A80" s="86">
        <v>20056</v>
      </c>
      <c r="B80" s="3" t="s">
        <v>705</v>
      </c>
      <c r="C80" s="3" t="s">
        <v>706</v>
      </c>
      <c r="D80" s="86"/>
      <c r="E80" s="36" t="s">
        <v>94</v>
      </c>
      <c r="F80" s="48">
        <v>28235</v>
      </c>
      <c r="G80" s="36" t="s">
        <v>52</v>
      </c>
      <c r="H80" s="81" t="s">
        <v>53</v>
      </c>
      <c r="I80" s="36" t="s">
        <v>707</v>
      </c>
      <c r="J80" s="48">
        <v>39161</v>
      </c>
      <c r="K80" s="36" t="s">
        <v>52</v>
      </c>
      <c r="L80" s="36" t="s">
        <v>123</v>
      </c>
      <c r="M80" s="36" t="s">
        <v>306</v>
      </c>
      <c r="N80" s="36"/>
      <c r="O80" s="101"/>
      <c r="P80" s="81"/>
      <c r="Q80" s="36" t="s">
        <v>708</v>
      </c>
      <c r="R80" s="36" t="s">
        <v>709</v>
      </c>
      <c r="S80" s="36"/>
      <c r="T80" s="81" t="s">
        <v>710</v>
      </c>
      <c r="U80" s="81" t="s">
        <v>710</v>
      </c>
      <c r="V80" s="36"/>
      <c r="W80" s="36"/>
      <c r="X80" s="36"/>
      <c r="Y80" s="36"/>
      <c r="Z80" s="81"/>
      <c r="AA80" s="54"/>
      <c r="AB80" s="81"/>
      <c r="AC80" s="81"/>
      <c r="AD80" s="36"/>
      <c r="AE80" s="81"/>
      <c r="AF80" s="81" t="s">
        <v>65</v>
      </c>
      <c r="AG80" s="48"/>
      <c r="AH80" s="134" t="str">
        <f t="shared" si="8"/>
        <v/>
      </c>
      <c r="AI80" s="134"/>
      <c r="AJ80" s="48">
        <v>39895</v>
      </c>
      <c r="AK80" s="134">
        <f t="shared" si="9"/>
        <v>3</v>
      </c>
      <c r="AL80" s="94" t="s">
        <v>82</v>
      </c>
      <c r="AM80" s="138"/>
      <c r="AN80" s="138"/>
      <c r="AO80" s="190"/>
      <c r="AP80" s="136" t="str">
        <f t="shared" ref="AP80:AP91" si="11">IF((AO80=""),"",MONTH(AO80))</f>
        <v/>
      </c>
      <c r="AQ80" s="127"/>
      <c r="AR80" s="23"/>
      <c r="AS80" s="94"/>
      <c r="AT80" s="23"/>
      <c r="AU80" s="70">
        <f t="shared" si="10"/>
        <v>4</v>
      </c>
      <c r="AV80" s="70" t="s">
        <v>68</v>
      </c>
    </row>
    <row r="81" spans="1:48" ht="19.5" hidden="1" customHeight="1" x14ac:dyDescent="0.2">
      <c r="A81" s="86">
        <v>20058</v>
      </c>
      <c r="B81" s="3" t="s">
        <v>199</v>
      </c>
      <c r="C81" s="3" t="s">
        <v>711</v>
      </c>
      <c r="D81" s="86"/>
      <c r="E81" s="36" t="s">
        <v>94</v>
      </c>
      <c r="F81" s="48">
        <v>31756</v>
      </c>
      <c r="G81" s="36" t="s">
        <v>303</v>
      </c>
      <c r="H81" s="81" t="s">
        <v>304</v>
      </c>
      <c r="I81" s="36" t="s">
        <v>712</v>
      </c>
      <c r="J81" s="48">
        <v>37604</v>
      </c>
      <c r="K81" s="36" t="s">
        <v>303</v>
      </c>
      <c r="L81" s="36" t="s">
        <v>123</v>
      </c>
      <c r="M81" s="36" t="s">
        <v>543</v>
      </c>
      <c r="N81" s="36"/>
      <c r="O81" s="101"/>
      <c r="P81" s="81"/>
      <c r="Q81" s="36" t="s">
        <v>713</v>
      </c>
      <c r="R81" s="36" t="s">
        <v>714</v>
      </c>
      <c r="S81" s="36"/>
      <c r="T81" s="81" t="s">
        <v>715</v>
      </c>
      <c r="U81" s="81" t="s">
        <v>716</v>
      </c>
      <c r="V81" s="36"/>
      <c r="W81" s="36"/>
      <c r="X81" s="36"/>
      <c r="Y81" s="36"/>
      <c r="Z81" s="81"/>
      <c r="AA81" s="54"/>
      <c r="AB81" s="81"/>
      <c r="AC81" s="81"/>
      <c r="AD81" s="36"/>
      <c r="AE81" s="81"/>
      <c r="AF81" s="81" t="s">
        <v>65</v>
      </c>
      <c r="AG81" s="48"/>
      <c r="AH81" s="134" t="str">
        <f t="shared" si="8"/>
        <v/>
      </c>
      <c r="AI81" s="134"/>
      <c r="AJ81" s="48">
        <v>40001</v>
      </c>
      <c r="AK81" s="134">
        <f t="shared" si="9"/>
        <v>7</v>
      </c>
      <c r="AL81" s="94" t="s">
        <v>82</v>
      </c>
      <c r="AM81" s="138"/>
      <c r="AN81" s="138"/>
      <c r="AO81" s="190"/>
      <c r="AP81" s="136" t="str">
        <f t="shared" si="11"/>
        <v/>
      </c>
      <c r="AQ81" s="127"/>
      <c r="AR81" s="23"/>
      <c r="AS81" s="94"/>
      <c r="AT81" s="136"/>
      <c r="AU81" s="70">
        <f t="shared" si="10"/>
        <v>12</v>
      </c>
      <c r="AV81" s="70" t="s">
        <v>68</v>
      </c>
    </row>
    <row r="82" spans="1:48" s="136" customFormat="1" ht="19.5" hidden="1" customHeight="1" x14ac:dyDescent="0.2">
      <c r="A82" s="86">
        <v>20059</v>
      </c>
      <c r="B82" s="3" t="s">
        <v>596</v>
      </c>
      <c r="C82" s="3" t="s">
        <v>535</v>
      </c>
      <c r="D82" s="86"/>
      <c r="E82" s="36" t="s">
        <v>94</v>
      </c>
      <c r="F82" s="48">
        <v>30873</v>
      </c>
      <c r="G82" s="36" t="s">
        <v>303</v>
      </c>
      <c r="H82" s="81" t="s">
        <v>304</v>
      </c>
      <c r="I82" s="36" t="s">
        <v>717</v>
      </c>
      <c r="J82" s="48">
        <v>37223</v>
      </c>
      <c r="K82" s="36" t="s">
        <v>303</v>
      </c>
      <c r="L82" s="36" t="s">
        <v>341</v>
      </c>
      <c r="M82" s="36" t="s">
        <v>718</v>
      </c>
      <c r="N82" s="36" t="s">
        <v>458</v>
      </c>
      <c r="O82" s="101"/>
      <c r="P82" s="81" t="s">
        <v>719</v>
      </c>
      <c r="Q82" s="36" t="s">
        <v>720</v>
      </c>
      <c r="R82" s="36" t="s">
        <v>721</v>
      </c>
      <c r="S82" s="36"/>
      <c r="T82" s="81" t="s">
        <v>722</v>
      </c>
      <c r="U82" s="81" t="s">
        <v>723</v>
      </c>
      <c r="V82" s="36"/>
      <c r="W82" s="36"/>
      <c r="X82" s="36"/>
      <c r="Y82" s="36" t="s">
        <v>616</v>
      </c>
      <c r="Z82" s="81"/>
      <c r="AA82" s="54"/>
      <c r="AB82" s="81" t="s">
        <v>285</v>
      </c>
      <c r="AC82" s="81" t="s">
        <v>236</v>
      </c>
      <c r="AD82" s="36" t="s">
        <v>207</v>
      </c>
      <c r="AE82" s="81"/>
      <c r="AF82" s="81" t="s">
        <v>65</v>
      </c>
      <c r="AG82" s="48"/>
      <c r="AH82" s="134" t="str">
        <f t="shared" si="8"/>
        <v/>
      </c>
      <c r="AI82" s="134"/>
      <c r="AJ82" s="48"/>
      <c r="AK82" s="134" t="str">
        <f t="shared" si="9"/>
        <v/>
      </c>
      <c r="AL82" s="94" t="s">
        <v>82</v>
      </c>
      <c r="AM82" s="138"/>
      <c r="AN82" s="138"/>
      <c r="AO82" s="190">
        <v>40739</v>
      </c>
      <c r="AP82" s="136">
        <f t="shared" si="11"/>
        <v>7</v>
      </c>
      <c r="AQ82" s="127"/>
      <c r="AR82" s="23"/>
      <c r="AS82" s="94"/>
      <c r="AT82" s="184"/>
      <c r="AU82" s="70">
        <f t="shared" si="10"/>
        <v>7</v>
      </c>
      <c r="AV82" s="70" t="s">
        <v>68</v>
      </c>
    </row>
    <row r="83" spans="1:48" s="136" customFormat="1" ht="25.5" hidden="1" x14ac:dyDescent="0.2">
      <c r="A83" s="86">
        <v>20060</v>
      </c>
      <c r="B83" s="3" t="s">
        <v>724</v>
      </c>
      <c r="C83" s="3" t="s">
        <v>725</v>
      </c>
      <c r="D83" s="86"/>
      <c r="E83" s="36" t="s">
        <v>94</v>
      </c>
      <c r="F83" s="48">
        <v>29519</v>
      </c>
      <c r="G83" s="36" t="s">
        <v>726</v>
      </c>
      <c r="H83" s="81" t="s">
        <v>727</v>
      </c>
      <c r="I83" s="36" t="s">
        <v>728</v>
      </c>
      <c r="J83" s="48">
        <v>36143</v>
      </c>
      <c r="K83" s="36" t="s">
        <v>729</v>
      </c>
      <c r="L83" s="36" t="s">
        <v>123</v>
      </c>
      <c r="M83" s="36" t="s">
        <v>730</v>
      </c>
      <c r="N83" s="36"/>
      <c r="O83" s="101"/>
      <c r="P83" s="81"/>
      <c r="Q83" s="36" t="s">
        <v>731</v>
      </c>
      <c r="R83" s="36" t="s">
        <v>732</v>
      </c>
      <c r="S83" s="36"/>
      <c r="T83" s="81" t="s">
        <v>733</v>
      </c>
      <c r="U83" s="81" t="s">
        <v>734</v>
      </c>
      <c r="V83" s="36"/>
      <c r="W83" s="36"/>
      <c r="X83" s="36"/>
      <c r="Y83" s="36"/>
      <c r="Z83" s="81"/>
      <c r="AA83" s="54"/>
      <c r="AB83" s="81"/>
      <c r="AC83" s="81"/>
      <c r="AD83" s="36"/>
      <c r="AE83" s="81"/>
      <c r="AF83" s="81" t="s">
        <v>65</v>
      </c>
      <c r="AG83" s="48"/>
      <c r="AH83" s="134" t="str">
        <f t="shared" si="8"/>
        <v/>
      </c>
      <c r="AI83" s="134"/>
      <c r="AJ83" s="48"/>
      <c r="AK83" s="134" t="str">
        <f t="shared" si="9"/>
        <v/>
      </c>
      <c r="AL83" s="94" t="s">
        <v>82</v>
      </c>
      <c r="AM83" s="138"/>
      <c r="AN83" s="138"/>
      <c r="AO83" s="190"/>
      <c r="AP83" s="136" t="str">
        <f t="shared" si="11"/>
        <v/>
      </c>
      <c r="AQ83" s="127"/>
      <c r="AR83" s="23"/>
      <c r="AS83" s="94"/>
      <c r="AT83" s="158"/>
      <c r="AU83" s="70">
        <f t="shared" si="10"/>
        <v>10</v>
      </c>
      <c r="AV83" s="70" t="s">
        <v>68</v>
      </c>
    </row>
    <row r="84" spans="1:48" s="136" customFormat="1" ht="25.5" hidden="1" x14ac:dyDescent="0.2">
      <c r="A84" s="87">
        <v>20061</v>
      </c>
      <c r="B84" s="80" t="s">
        <v>735</v>
      </c>
      <c r="C84" s="80" t="s">
        <v>736</v>
      </c>
      <c r="D84" s="87"/>
      <c r="E84" s="123" t="s">
        <v>51</v>
      </c>
      <c r="F84" s="140">
        <v>28706</v>
      </c>
      <c r="G84" s="123" t="s">
        <v>52</v>
      </c>
      <c r="H84" s="54" t="s">
        <v>53</v>
      </c>
      <c r="I84" s="123" t="s">
        <v>737</v>
      </c>
      <c r="J84" s="140">
        <v>38729</v>
      </c>
      <c r="K84" s="123" t="s">
        <v>52</v>
      </c>
      <c r="L84" s="123" t="s">
        <v>123</v>
      </c>
      <c r="M84" s="123" t="s">
        <v>738</v>
      </c>
      <c r="N84" s="123" t="s">
        <v>368</v>
      </c>
      <c r="O84" s="106"/>
      <c r="P84" s="54" t="s">
        <v>739</v>
      </c>
      <c r="Q84" s="123" t="s">
        <v>740</v>
      </c>
      <c r="R84" s="123" t="s">
        <v>741</v>
      </c>
      <c r="S84" s="123"/>
      <c r="T84" s="54" t="s">
        <v>742</v>
      </c>
      <c r="U84" s="54" t="s">
        <v>743</v>
      </c>
      <c r="V84" s="123" t="s">
        <v>744</v>
      </c>
      <c r="W84" s="123" t="s">
        <v>745</v>
      </c>
      <c r="X84" s="123"/>
      <c r="Y84" s="123" t="s">
        <v>312</v>
      </c>
      <c r="Z84" s="54"/>
      <c r="AA84" s="54"/>
      <c r="AB84" s="54" t="s">
        <v>285</v>
      </c>
      <c r="AC84" s="54" t="s">
        <v>236</v>
      </c>
      <c r="AD84" s="123" t="s">
        <v>375</v>
      </c>
      <c r="AE84" s="54" t="s">
        <v>376</v>
      </c>
      <c r="AF84" s="54" t="s">
        <v>65</v>
      </c>
      <c r="AG84" s="140">
        <v>39918</v>
      </c>
      <c r="AH84" s="65">
        <f t="shared" si="8"/>
        <v>4</v>
      </c>
      <c r="AI84" s="65"/>
      <c r="AJ84" s="140">
        <v>39949</v>
      </c>
      <c r="AK84" s="65">
        <f t="shared" si="9"/>
        <v>5</v>
      </c>
      <c r="AL84" s="54" t="s">
        <v>66</v>
      </c>
      <c r="AM84" s="138"/>
      <c r="AN84" s="138"/>
      <c r="AO84" s="140"/>
      <c r="AP84" s="65" t="str">
        <f t="shared" si="11"/>
        <v/>
      </c>
      <c r="AQ84" s="123"/>
      <c r="AR84" s="23"/>
      <c r="AS84" s="54" t="s">
        <v>107</v>
      </c>
      <c r="AT84" s="158"/>
      <c r="AU84" s="70">
        <f t="shared" si="10"/>
        <v>8</v>
      </c>
      <c r="AV84" s="70" t="s">
        <v>68</v>
      </c>
    </row>
    <row r="85" spans="1:48" s="136" customFormat="1" ht="19.5" hidden="1" customHeight="1" x14ac:dyDescent="0.2">
      <c r="A85" s="87">
        <v>20062</v>
      </c>
      <c r="B85" s="80" t="s">
        <v>664</v>
      </c>
      <c r="C85" s="80" t="s">
        <v>746</v>
      </c>
      <c r="D85" s="87"/>
      <c r="E85" s="123" t="s">
        <v>51</v>
      </c>
      <c r="F85" s="140">
        <v>17179</v>
      </c>
      <c r="G85" s="123" t="s">
        <v>52</v>
      </c>
      <c r="H85" s="54" t="s">
        <v>53</v>
      </c>
      <c r="I85" s="123" t="s">
        <v>747</v>
      </c>
      <c r="J85" s="140">
        <v>38398</v>
      </c>
      <c r="K85" s="123" t="s">
        <v>52</v>
      </c>
      <c r="L85" s="123"/>
      <c r="M85" s="123"/>
      <c r="N85" s="123"/>
      <c r="O85" s="106"/>
      <c r="P85" s="153" t="str">
        <f>HYPERLINK("mailto:diennh@topica.edu.vn","diennh@topica.edu.vn")</f>
        <v>diennh@topica.edu.vn</v>
      </c>
      <c r="Q85" s="123"/>
      <c r="R85" s="123"/>
      <c r="S85" s="123"/>
      <c r="T85" s="54" t="s">
        <v>748</v>
      </c>
      <c r="U85" s="54" t="s">
        <v>748</v>
      </c>
      <c r="V85" s="123"/>
      <c r="W85" s="123"/>
      <c r="X85" s="123"/>
      <c r="Y85" s="123" t="s">
        <v>79</v>
      </c>
      <c r="Z85" s="54"/>
      <c r="AA85" s="54"/>
      <c r="AB85" s="54"/>
      <c r="AC85" s="54"/>
      <c r="AD85" s="123" t="s">
        <v>81</v>
      </c>
      <c r="AE85" s="54"/>
      <c r="AF85" s="54" t="s">
        <v>65</v>
      </c>
      <c r="AG85" s="140"/>
      <c r="AH85" s="65" t="str">
        <f t="shared" si="8"/>
        <v/>
      </c>
      <c r="AI85" s="65"/>
      <c r="AJ85" s="140">
        <v>39904</v>
      </c>
      <c r="AK85" s="65">
        <f t="shared" si="9"/>
        <v>4</v>
      </c>
      <c r="AL85" s="54" t="s">
        <v>66</v>
      </c>
      <c r="AM85" s="138"/>
      <c r="AN85" s="138"/>
      <c r="AO85" s="140"/>
      <c r="AP85" s="65" t="str">
        <f t="shared" si="11"/>
        <v/>
      </c>
      <c r="AQ85" s="123"/>
      <c r="AR85" s="23"/>
      <c r="AS85" s="54" t="s">
        <v>67</v>
      </c>
      <c r="AT85" s="158"/>
      <c r="AU85" s="70">
        <f t="shared" si="10"/>
        <v>1</v>
      </c>
      <c r="AV85" s="70" t="s">
        <v>68</v>
      </c>
    </row>
    <row r="86" spans="1:48" s="136" customFormat="1" ht="19.5" hidden="1" customHeight="1" x14ac:dyDescent="0.2">
      <c r="A86" s="86">
        <v>20063</v>
      </c>
      <c r="B86" s="3" t="s">
        <v>749</v>
      </c>
      <c r="C86" s="3" t="s">
        <v>486</v>
      </c>
      <c r="D86" s="86"/>
      <c r="E86" s="36" t="s">
        <v>51</v>
      </c>
      <c r="F86" s="48">
        <v>31340</v>
      </c>
      <c r="G86" s="36" t="s">
        <v>750</v>
      </c>
      <c r="H86" s="81" t="s">
        <v>751</v>
      </c>
      <c r="I86" s="36" t="s">
        <v>752</v>
      </c>
      <c r="J86" s="48">
        <v>37433</v>
      </c>
      <c r="K86" s="36" t="s">
        <v>753</v>
      </c>
      <c r="L86" s="36" t="s">
        <v>123</v>
      </c>
      <c r="M86" s="36" t="s">
        <v>124</v>
      </c>
      <c r="N86" s="36"/>
      <c r="O86" s="101"/>
      <c r="P86" s="81"/>
      <c r="Q86" s="36"/>
      <c r="R86" s="36" t="s">
        <v>754</v>
      </c>
      <c r="S86" s="36"/>
      <c r="T86" s="81" t="s">
        <v>755</v>
      </c>
      <c r="U86" s="81" t="s">
        <v>756</v>
      </c>
      <c r="V86" s="36"/>
      <c r="W86" s="36"/>
      <c r="X86" s="36"/>
      <c r="Y86" s="36"/>
      <c r="Z86" s="81"/>
      <c r="AA86" s="54"/>
      <c r="AB86" s="81"/>
      <c r="AC86" s="81"/>
      <c r="AD86" s="36"/>
      <c r="AE86" s="81"/>
      <c r="AF86" s="81" t="s">
        <v>65</v>
      </c>
      <c r="AG86" s="48"/>
      <c r="AH86" s="134" t="str">
        <f t="shared" si="8"/>
        <v/>
      </c>
      <c r="AI86" s="134"/>
      <c r="AJ86" s="48"/>
      <c r="AK86" s="134" t="str">
        <f t="shared" si="9"/>
        <v/>
      </c>
      <c r="AL86" s="94" t="s">
        <v>82</v>
      </c>
      <c r="AM86" s="138"/>
      <c r="AN86" s="138"/>
      <c r="AO86" s="190"/>
      <c r="AP86" s="136" t="str">
        <f t="shared" si="11"/>
        <v/>
      </c>
      <c r="AQ86" s="127"/>
      <c r="AR86" s="23"/>
      <c r="AS86" s="94"/>
      <c r="AT86" s="158"/>
      <c r="AU86" s="70">
        <f t="shared" si="10"/>
        <v>10</v>
      </c>
      <c r="AV86" s="70" t="s">
        <v>68</v>
      </c>
    </row>
    <row r="87" spans="1:48" s="136" customFormat="1" ht="19.5" hidden="1" customHeight="1" x14ac:dyDescent="0.2">
      <c r="A87" s="86">
        <v>20064</v>
      </c>
      <c r="B87" s="3" t="s">
        <v>757</v>
      </c>
      <c r="C87" s="3" t="s">
        <v>160</v>
      </c>
      <c r="D87" s="86"/>
      <c r="E87" s="36" t="s">
        <v>94</v>
      </c>
      <c r="F87" s="48">
        <v>30828</v>
      </c>
      <c r="G87" s="36" t="s">
        <v>52</v>
      </c>
      <c r="H87" s="81" t="s">
        <v>53</v>
      </c>
      <c r="I87" s="36" t="s">
        <v>758</v>
      </c>
      <c r="J87" s="48">
        <v>39700</v>
      </c>
      <c r="K87" s="36" t="s">
        <v>52</v>
      </c>
      <c r="L87" s="36" t="s">
        <v>123</v>
      </c>
      <c r="M87" s="36" t="s">
        <v>759</v>
      </c>
      <c r="N87" s="36" t="s">
        <v>760</v>
      </c>
      <c r="O87" s="101"/>
      <c r="P87" s="81" t="s">
        <v>761</v>
      </c>
      <c r="Q87" s="36" t="s">
        <v>762</v>
      </c>
      <c r="R87" s="36" t="s">
        <v>763</v>
      </c>
      <c r="S87" s="36"/>
      <c r="T87" s="81" t="s">
        <v>764</v>
      </c>
      <c r="U87" s="81" t="s">
        <v>765</v>
      </c>
      <c r="V87" s="36"/>
      <c r="W87" s="36"/>
      <c r="X87" s="36"/>
      <c r="Y87" s="36" t="s">
        <v>616</v>
      </c>
      <c r="Z87" s="81"/>
      <c r="AA87" s="54"/>
      <c r="AB87" s="81" t="s">
        <v>285</v>
      </c>
      <c r="AC87" s="81" t="s">
        <v>236</v>
      </c>
      <c r="AD87" s="36" t="s">
        <v>207</v>
      </c>
      <c r="AE87" s="81"/>
      <c r="AF87" s="81" t="s">
        <v>65</v>
      </c>
      <c r="AG87" s="48"/>
      <c r="AH87" s="134" t="str">
        <f t="shared" si="8"/>
        <v/>
      </c>
      <c r="AI87" s="134"/>
      <c r="AJ87" s="48">
        <v>39918</v>
      </c>
      <c r="AK87" s="134">
        <f t="shared" si="9"/>
        <v>4</v>
      </c>
      <c r="AL87" s="94" t="s">
        <v>82</v>
      </c>
      <c r="AM87" s="138"/>
      <c r="AN87" s="138"/>
      <c r="AO87" s="190">
        <v>40725</v>
      </c>
      <c r="AP87" s="136">
        <f t="shared" si="11"/>
        <v>7</v>
      </c>
      <c r="AQ87" s="127"/>
      <c r="AR87" s="23"/>
      <c r="AS87" s="94"/>
      <c r="AT87" s="158"/>
      <c r="AU87" s="70">
        <f t="shared" si="10"/>
        <v>5</v>
      </c>
      <c r="AV87" s="70" t="s">
        <v>68</v>
      </c>
    </row>
    <row r="88" spans="1:48" s="136" customFormat="1" ht="19.5" hidden="1" customHeight="1" x14ac:dyDescent="0.2">
      <c r="A88" s="86">
        <v>20065</v>
      </c>
      <c r="B88" s="3" t="s">
        <v>766</v>
      </c>
      <c r="C88" s="3" t="s">
        <v>209</v>
      </c>
      <c r="D88" s="86"/>
      <c r="E88" s="36" t="s">
        <v>94</v>
      </c>
      <c r="F88" s="48">
        <v>30874</v>
      </c>
      <c r="G88" s="36" t="s">
        <v>365</v>
      </c>
      <c r="H88" s="81" t="s">
        <v>366</v>
      </c>
      <c r="I88" s="36" t="s">
        <v>767</v>
      </c>
      <c r="J88" s="48">
        <v>37041</v>
      </c>
      <c r="K88" s="36" t="s">
        <v>365</v>
      </c>
      <c r="L88" s="36" t="s">
        <v>123</v>
      </c>
      <c r="M88" s="36" t="s">
        <v>382</v>
      </c>
      <c r="N88" s="36"/>
      <c r="O88" s="101"/>
      <c r="P88" s="81"/>
      <c r="Q88" s="36"/>
      <c r="R88" s="36" t="s">
        <v>768</v>
      </c>
      <c r="S88" s="36"/>
      <c r="T88" s="81" t="s">
        <v>769</v>
      </c>
      <c r="U88" s="81" t="s">
        <v>770</v>
      </c>
      <c r="V88" s="36"/>
      <c r="W88" s="36"/>
      <c r="X88" s="36"/>
      <c r="Y88" s="36"/>
      <c r="Z88" s="81"/>
      <c r="AA88" s="54"/>
      <c r="AB88" s="81"/>
      <c r="AC88" s="81"/>
      <c r="AD88" s="36"/>
      <c r="AE88" s="81"/>
      <c r="AF88" s="81" t="s">
        <v>65</v>
      </c>
      <c r="AG88" s="48"/>
      <c r="AH88" s="134" t="str">
        <f t="shared" si="8"/>
        <v/>
      </c>
      <c r="AI88" s="134"/>
      <c r="AJ88" s="48">
        <v>39904</v>
      </c>
      <c r="AK88" s="134">
        <f t="shared" si="9"/>
        <v>4</v>
      </c>
      <c r="AL88" s="94" t="s">
        <v>82</v>
      </c>
      <c r="AM88" s="138"/>
      <c r="AN88" s="138"/>
      <c r="AO88" s="190">
        <v>40026</v>
      </c>
      <c r="AP88" s="136">
        <f t="shared" si="11"/>
        <v>8</v>
      </c>
      <c r="AQ88" s="127"/>
      <c r="AR88" s="23"/>
      <c r="AS88" s="94"/>
      <c r="AT88" s="158"/>
      <c r="AU88" s="70">
        <f t="shared" si="10"/>
        <v>7</v>
      </c>
      <c r="AV88" s="70" t="s">
        <v>68</v>
      </c>
    </row>
    <row r="89" spans="1:48" s="136" customFormat="1" ht="19.5" hidden="1" customHeight="1" x14ac:dyDescent="0.2">
      <c r="A89" s="86">
        <v>20066</v>
      </c>
      <c r="B89" s="3" t="s">
        <v>265</v>
      </c>
      <c r="C89" s="3" t="s">
        <v>771</v>
      </c>
      <c r="D89" s="86"/>
      <c r="E89" s="36" t="s">
        <v>94</v>
      </c>
      <c r="F89" s="48">
        <v>30318</v>
      </c>
      <c r="G89" s="36" t="s">
        <v>120</v>
      </c>
      <c r="H89" s="81" t="s">
        <v>121</v>
      </c>
      <c r="I89" s="36" t="s">
        <v>772</v>
      </c>
      <c r="J89" s="48">
        <v>36741</v>
      </c>
      <c r="K89" s="36" t="s">
        <v>120</v>
      </c>
      <c r="L89" s="36" t="s">
        <v>123</v>
      </c>
      <c r="M89" s="36" t="s">
        <v>598</v>
      </c>
      <c r="N89" s="36"/>
      <c r="O89" s="101"/>
      <c r="P89" s="81" t="s">
        <v>773</v>
      </c>
      <c r="Q89" s="36"/>
      <c r="R89" s="36" t="s">
        <v>774</v>
      </c>
      <c r="S89" s="36"/>
      <c r="T89" s="81" t="s">
        <v>775</v>
      </c>
      <c r="U89" s="81" t="s">
        <v>776</v>
      </c>
      <c r="V89" s="36"/>
      <c r="W89" s="36"/>
      <c r="X89" s="36"/>
      <c r="Y89" s="36" t="s">
        <v>616</v>
      </c>
      <c r="Z89" s="81"/>
      <c r="AA89" s="54"/>
      <c r="AB89" s="81" t="s">
        <v>285</v>
      </c>
      <c r="AC89" s="81" t="s">
        <v>236</v>
      </c>
      <c r="AD89" s="36" t="s">
        <v>207</v>
      </c>
      <c r="AE89" s="81"/>
      <c r="AF89" s="81" t="s">
        <v>65</v>
      </c>
      <c r="AG89" s="48"/>
      <c r="AH89" s="134" t="str">
        <f t="shared" si="8"/>
        <v/>
      </c>
      <c r="AI89" s="134"/>
      <c r="AJ89" s="48"/>
      <c r="AK89" s="134" t="str">
        <f t="shared" si="9"/>
        <v/>
      </c>
      <c r="AL89" s="94" t="s">
        <v>82</v>
      </c>
      <c r="AM89" s="138"/>
      <c r="AN89" s="138"/>
      <c r="AO89" s="190">
        <v>40618</v>
      </c>
      <c r="AP89" s="136">
        <f t="shared" si="11"/>
        <v>3</v>
      </c>
      <c r="AQ89" s="127"/>
      <c r="AR89" s="23"/>
      <c r="AS89" s="94"/>
      <c r="AT89" s="158"/>
      <c r="AU89" s="70">
        <f t="shared" si="10"/>
        <v>1</v>
      </c>
      <c r="AV89" s="70" t="s">
        <v>68</v>
      </c>
    </row>
    <row r="90" spans="1:48" s="136" customFormat="1" ht="19.5" hidden="1" customHeight="1" x14ac:dyDescent="0.2">
      <c r="A90" s="86">
        <v>20067</v>
      </c>
      <c r="B90" s="3" t="s">
        <v>777</v>
      </c>
      <c r="C90" s="3" t="s">
        <v>778</v>
      </c>
      <c r="D90" s="86"/>
      <c r="E90" s="36" t="s">
        <v>94</v>
      </c>
      <c r="F90" s="48">
        <v>31317</v>
      </c>
      <c r="G90" s="36" t="s">
        <v>52</v>
      </c>
      <c r="H90" s="81" t="s">
        <v>53</v>
      </c>
      <c r="I90" s="36" t="s">
        <v>779</v>
      </c>
      <c r="J90" s="48">
        <v>31317</v>
      </c>
      <c r="K90" s="36" t="s">
        <v>52</v>
      </c>
      <c r="L90" s="36" t="s">
        <v>123</v>
      </c>
      <c r="M90" s="36" t="s">
        <v>96</v>
      </c>
      <c r="N90" s="36"/>
      <c r="O90" s="101"/>
      <c r="P90" s="81" t="s">
        <v>780</v>
      </c>
      <c r="Q90" s="36" t="s">
        <v>781</v>
      </c>
      <c r="R90" s="36" t="s">
        <v>782</v>
      </c>
      <c r="S90" s="36"/>
      <c r="T90" s="81" t="s">
        <v>783</v>
      </c>
      <c r="U90" s="81" t="s">
        <v>784</v>
      </c>
      <c r="V90" s="36"/>
      <c r="W90" s="36"/>
      <c r="X90" s="36"/>
      <c r="Y90" s="36"/>
      <c r="Z90" s="81"/>
      <c r="AA90" s="54"/>
      <c r="AB90" s="81"/>
      <c r="AC90" s="81"/>
      <c r="AD90" s="36"/>
      <c r="AE90" s="81"/>
      <c r="AF90" s="81" t="s">
        <v>65</v>
      </c>
      <c r="AG90" s="48"/>
      <c r="AH90" s="134" t="str">
        <f t="shared" si="8"/>
        <v/>
      </c>
      <c r="AI90" s="134"/>
      <c r="AJ90" s="48">
        <v>39938</v>
      </c>
      <c r="AK90" s="134">
        <f t="shared" si="9"/>
        <v>5</v>
      </c>
      <c r="AL90" s="94" t="s">
        <v>82</v>
      </c>
      <c r="AM90" s="78"/>
      <c r="AN90" s="78"/>
      <c r="AO90" s="190"/>
      <c r="AP90" s="136" t="str">
        <f t="shared" si="11"/>
        <v/>
      </c>
      <c r="AQ90" s="127"/>
      <c r="AR90" s="23"/>
      <c r="AS90" s="94"/>
      <c r="AT90" s="158"/>
      <c r="AU90" s="70">
        <f t="shared" si="10"/>
        <v>9</v>
      </c>
      <c r="AV90" s="70" t="s">
        <v>68</v>
      </c>
    </row>
    <row r="91" spans="1:48" s="136" customFormat="1" ht="51" hidden="1" x14ac:dyDescent="0.2">
      <c r="A91" s="87">
        <v>20068</v>
      </c>
      <c r="B91" s="80" t="s">
        <v>596</v>
      </c>
      <c r="C91" s="80" t="s">
        <v>200</v>
      </c>
      <c r="D91" s="87"/>
      <c r="E91" s="123" t="s">
        <v>94</v>
      </c>
      <c r="F91" s="140">
        <v>28431</v>
      </c>
      <c r="G91" s="123" t="s">
        <v>412</v>
      </c>
      <c r="H91" s="54" t="s">
        <v>413</v>
      </c>
      <c r="I91" s="123" t="s">
        <v>785</v>
      </c>
      <c r="J91" s="140">
        <v>34417</v>
      </c>
      <c r="K91" s="123" t="s">
        <v>412</v>
      </c>
      <c r="L91" s="123" t="s">
        <v>123</v>
      </c>
      <c r="M91" s="123" t="s">
        <v>543</v>
      </c>
      <c r="N91" s="123" t="s">
        <v>786</v>
      </c>
      <c r="O91" s="106"/>
      <c r="P91" s="54" t="s">
        <v>787</v>
      </c>
      <c r="Q91" s="123" t="s">
        <v>788</v>
      </c>
      <c r="R91" s="123" t="s">
        <v>789</v>
      </c>
      <c r="S91" s="123"/>
      <c r="T91" s="54" t="s">
        <v>790</v>
      </c>
      <c r="U91" s="54" t="s">
        <v>791</v>
      </c>
      <c r="V91" s="123"/>
      <c r="W91" s="123"/>
      <c r="X91" s="123"/>
      <c r="Y91" s="123" t="s">
        <v>360</v>
      </c>
      <c r="Z91" s="54"/>
      <c r="AA91" s="54"/>
      <c r="AB91" s="54" t="s">
        <v>361</v>
      </c>
      <c r="AC91" s="54" t="s">
        <v>362</v>
      </c>
      <c r="AD91" s="123" t="s">
        <v>375</v>
      </c>
      <c r="AE91" s="54" t="s">
        <v>792</v>
      </c>
      <c r="AF91" s="54" t="s">
        <v>65</v>
      </c>
      <c r="AG91" s="140">
        <v>39953</v>
      </c>
      <c r="AH91" s="65">
        <f t="shared" si="8"/>
        <v>5</v>
      </c>
      <c r="AI91" s="65"/>
      <c r="AJ91" s="140">
        <v>39953</v>
      </c>
      <c r="AK91" s="65">
        <f t="shared" si="9"/>
        <v>5</v>
      </c>
      <c r="AL91" s="54" t="s">
        <v>66</v>
      </c>
      <c r="AM91" s="138">
        <v>41449</v>
      </c>
      <c r="AN91" s="138">
        <v>41609</v>
      </c>
      <c r="AO91" s="140"/>
      <c r="AP91" s="65" t="str">
        <f t="shared" si="11"/>
        <v/>
      </c>
      <c r="AQ91" s="123"/>
      <c r="AR91" s="23"/>
      <c r="AS91" s="54" t="s">
        <v>107</v>
      </c>
      <c r="AT91" s="158"/>
      <c r="AU91" s="70">
        <f t="shared" si="10"/>
        <v>11</v>
      </c>
      <c r="AV91" s="70" t="s">
        <v>68</v>
      </c>
    </row>
    <row r="92" spans="1:48" s="136" customFormat="1" ht="19.5" hidden="1" customHeight="1" x14ac:dyDescent="0.2">
      <c r="A92" s="87">
        <v>20069</v>
      </c>
      <c r="B92" s="80" t="s">
        <v>793</v>
      </c>
      <c r="C92" s="80" t="s">
        <v>706</v>
      </c>
      <c r="D92" s="87"/>
      <c r="E92" s="123" t="s">
        <v>94</v>
      </c>
      <c r="F92" s="140">
        <v>30654</v>
      </c>
      <c r="G92" s="123" t="s">
        <v>52</v>
      </c>
      <c r="H92" s="54" t="s">
        <v>53</v>
      </c>
      <c r="I92" s="123" t="s">
        <v>794</v>
      </c>
      <c r="J92" s="140">
        <v>36334</v>
      </c>
      <c r="K92" s="123" t="s">
        <v>52</v>
      </c>
      <c r="L92" s="123" t="s">
        <v>341</v>
      </c>
      <c r="M92" s="123" t="s">
        <v>795</v>
      </c>
      <c r="N92" s="123" t="s">
        <v>796</v>
      </c>
      <c r="O92" s="106"/>
      <c r="P92" s="54" t="s">
        <v>797</v>
      </c>
      <c r="Q92" s="123" t="s">
        <v>798</v>
      </c>
      <c r="R92" s="123" t="s">
        <v>799</v>
      </c>
      <c r="S92" s="123"/>
      <c r="T92" s="54" t="s">
        <v>800</v>
      </c>
      <c r="U92" s="54" t="s">
        <v>800</v>
      </c>
      <c r="V92" s="123"/>
      <c r="W92" s="123"/>
      <c r="X92" s="123"/>
      <c r="Y92" s="123" t="s">
        <v>374</v>
      </c>
      <c r="Z92" s="54"/>
      <c r="AA92" s="54"/>
      <c r="AB92" s="54">
        <v>3</v>
      </c>
      <c r="AC92" s="54" t="s">
        <v>63</v>
      </c>
      <c r="AD92" s="123" t="s">
        <v>207</v>
      </c>
      <c r="AE92" s="54" t="s">
        <v>525</v>
      </c>
      <c r="AF92" s="54" t="s">
        <v>65</v>
      </c>
      <c r="AG92" s="140">
        <v>39953</v>
      </c>
      <c r="AH92" s="65">
        <f t="shared" si="8"/>
        <v>5</v>
      </c>
      <c r="AI92" s="65"/>
      <c r="AJ92" s="140">
        <v>39953</v>
      </c>
      <c r="AK92" s="65">
        <f t="shared" si="9"/>
        <v>5</v>
      </c>
      <c r="AL92" s="54" t="s">
        <v>66</v>
      </c>
      <c r="AM92" s="138"/>
      <c r="AN92" s="138"/>
      <c r="AO92" s="140"/>
      <c r="AP92" s="65"/>
      <c r="AQ92" s="123"/>
      <c r="AR92" s="23"/>
      <c r="AS92" s="54" t="s">
        <v>347</v>
      </c>
      <c r="AT92" s="158"/>
      <c r="AU92" s="70">
        <f t="shared" si="10"/>
        <v>12</v>
      </c>
      <c r="AV92" s="70" t="s">
        <v>68</v>
      </c>
    </row>
    <row r="93" spans="1:48" s="136" customFormat="1" ht="19.5" hidden="1" customHeight="1" x14ac:dyDescent="0.2">
      <c r="A93" s="86">
        <v>20070</v>
      </c>
      <c r="B93" s="3" t="s">
        <v>801</v>
      </c>
      <c r="C93" s="3" t="s">
        <v>93</v>
      </c>
      <c r="D93" s="86"/>
      <c r="E93" s="36" t="s">
        <v>94</v>
      </c>
      <c r="F93" s="48">
        <v>29283</v>
      </c>
      <c r="G93" s="36" t="s">
        <v>52</v>
      </c>
      <c r="H93" s="81" t="s">
        <v>53</v>
      </c>
      <c r="I93" s="36" t="s">
        <v>802</v>
      </c>
      <c r="J93" s="48">
        <v>35621</v>
      </c>
      <c r="K93" s="36" t="s">
        <v>52</v>
      </c>
      <c r="L93" s="36" t="s">
        <v>123</v>
      </c>
      <c r="M93" s="36" t="s">
        <v>124</v>
      </c>
      <c r="N93" s="36"/>
      <c r="O93" s="101"/>
      <c r="P93" s="81"/>
      <c r="Q93" s="36"/>
      <c r="R93" s="36" t="s">
        <v>803</v>
      </c>
      <c r="S93" s="36"/>
      <c r="T93" s="81" t="s">
        <v>804</v>
      </c>
      <c r="U93" s="81" t="s">
        <v>805</v>
      </c>
      <c r="V93" s="36"/>
      <c r="W93" s="36"/>
      <c r="X93" s="36"/>
      <c r="Y93" s="36"/>
      <c r="Z93" s="81"/>
      <c r="AA93" s="54"/>
      <c r="AB93" s="81"/>
      <c r="AC93" s="81"/>
      <c r="AD93" s="36"/>
      <c r="AE93" s="81"/>
      <c r="AF93" s="81" t="s">
        <v>231</v>
      </c>
      <c r="AG93" s="48"/>
      <c r="AH93" s="134" t="str">
        <f t="shared" si="8"/>
        <v/>
      </c>
      <c r="AI93" s="134"/>
      <c r="AJ93" s="48">
        <v>39951</v>
      </c>
      <c r="AK93" s="134">
        <f t="shared" si="9"/>
        <v>5</v>
      </c>
      <c r="AL93" s="94" t="s">
        <v>82</v>
      </c>
      <c r="AM93" s="78"/>
      <c r="AN93" s="78"/>
      <c r="AO93" s="190"/>
      <c r="AP93" s="136" t="str">
        <f>IF((AO93=""),"",MONTH(AO93))</f>
        <v/>
      </c>
      <c r="AQ93" s="127"/>
      <c r="AR93" s="23"/>
      <c r="AS93" s="94"/>
      <c r="AT93" s="158"/>
      <c r="AU93" s="70">
        <f t="shared" si="10"/>
        <v>3</v>
      </c>
      <c r="AV93" s="70" t="s">
        <v>68</v>
      </c>
    </row>
    <row r="94" spans="1:48" s="136" customFormat="1" ht="19.5" hidden="1" customHeight="1" x14ac:dyDescent="0.2">
      <c r="A94" s="86">
        <v>20071</v>
      </c>
      <c r="B94" s="3" t="s">
        <v>806</v>
      </c>
      <c r="C94" s="3" t="s">
        <v>535</v>
      </c>
      <c r="D94" s="86"/>
      <c r="E94" s="36" t="s">
        <v>94</v>
      </c>
      <c r="F94" s="48"/>
      <c r="G94" s="36"/>
      <c r="H94" s="81" t="s">
        <v>0</v>
      </c>
      <c r="I94" s="36"/>
      <c r="J94" s="48"/>
      <c r="K94" s="36"/>
      <c r="L94" s="36"/>
      <c r="M94" s="36"/>
      <c r="N94" s="36"/>
      <c r="O94" s="101"/>
      <c r="P94" s="81"/>
      <c r="Q94" s="36"/>
      <c r="R94" s="36"/>
      <c r="S94" s="36"/>
      <c r="T94" s="81" t="s">
        <v>0</v>
      </c>
      <c r="U94" s="81" t="s">
        <v>0</v>
      </c>
      <c r="V94" s="36"/>
      <c r="W94" s="36"/>
      <c r="X94" s="36"/>
      <c r="Y94" s="36" t="s">
        <v>326</v>
      </c>
      <c r="Z94" s="81"/>
      <c r="AA94" s="54"/>
      <c r="AB94" s="81"/>
      <c r="AC94" s="81"/>
      <c r="AD94" s="36"/>
      <c r="AE94" s="81"/>
      <c r="AF94" s="81" t="s">
        <v>65</v>
      </c>
      <c r="AG94" s="48"/>
      <c r="AH94" s="134" t="str">
        <f t="shared" si="8"/>
        <v/>
      </c>
      <c r="AI94" s="134"/>
      <c r="AJ94" s="48">
        <v>39953</v>
      </c>
      <c r="AK94" s="134">
        <f t="shared" si="9"/>
        <v>5</v>
      </c>
      <c r="AL94" s="94" t="s">
        <v>82</v>
      </c>
      <c r="AM94" s="78"/>
      <c r="AN94" s="78"/>
      <c r="AO94" s="190"/>
      <c r="AP94" s="136" t="str">
        <f>IF((AO94=""),"",MONTH(AO94))</f>
        <v/>
      </c>
      <c r="AQ94" s="127"/>
      <c r="AR94" s="23"/>
      <c r="AS94" s="94"/>
      <c r="AT94" s="158"/>
      <c r="AU94" s="70" t="str">
        <f t="shared" si="10"/>
        <v/>
      </c>
      <c r="AV94" s="70" t="s">
        <v>68</v>
      </c>
    </row>
    <row r="95" spans="1:48" s="136" customFormat="1" ht="19.5" hidden="1" customHeight="1" x14ac:dyDescent="0.2">
      <c r="A95" s="86">
        <v>20071.099999999999</v>
      </c>
      <c r="B95" s="3" t="s">
        <v>807</v>
      </c>
      <c r="C95" s="3" t="s">
        <v>667</v>
      </c>
      <c r="D95" s="86"/>
      <c r="E95" s="36" t="s">
        <v>94</v>
      </c>
      <c r="F95" s="48"/>
      <c r="G95" s="36"/>
      <c r="H95" s="81"/>
      <c r="I95" s="36"/>
      <c r="J95" s="48"/>
      <c r="K95" s="36"/>
      <c r="L95" s="36"/>
      <c r="M95" s="36"/>
      <c r="N95" s="36" t="s">
        <v>320</v>
      </c>
      <c r="O95" s="101"/>
      <c r="P95" s="159">
        <v>0</v>
      </c>
      <c r="Q95" s="36"/>
      <c r="R95" s="36"/>
      <c r="S95" s="36"/>
      <c r="T95" s="81"/>
      <c r="U95" s="81"/>
      <c r="V95" s="36"/>
      <c r="W95" s="36"/>
      <c r="X95" s="36"/>
      <c r="Y95" s="36"/>
      <c r="Z95" s="81"/>
      <c r="AA95" s="54"/>
      <c r="AB95" s="81"/>
      <c r="AC95" s="81"/>
      <c r="AD95" s="36"/>
      <c r="AE95" s="81"/>
      <c r="AF95" s="81" t="s">
        <v>231</v>
      </c>
      <c r="AG95" s="48"/>
      <c r="AH95" s="134" t="str">
        <f t="shared" si="8"/>
        <v/>
      </c>
      <c r="AI95" s="134"/>
      <c r="AJ95" s="48"/>
      <c r="AK95" s="134" t="str">
        <f t="shared" si="9"/>
        <v/>
      </c>
      <c r="AL95" s="54" t="s">
        <v>82</v>
      </c>
      <c r="AM95" s="54"/>
      <c r="AN95" s="54"/>
      <c r="AO95" s="190"/>
      <c r="AP95" s="136" t="str">
        <f>IF((AO95=""),"",MONTH(AO95))</f>
        <v/>
      </c>
      <c r="AQ95" s="123"/>
      <c r="AR95" s="23"/>
      <c r="AS95" s="54"/>
      <c r="AT95" s="194"/>
      <c r="AU95" s="70" t="str">
        <f t="shared" si="10"/>
        <v/>
      </c>
      <c r="AV95" s="70" t="s">
        <v>68</v>
      </c>
    </row>
    <row r="96" spans="1:48" ht="38.25" hidden="1" x14ac:dyDescent="0.2">
      <c r="A96" s="86">
        <v>20072</v>
      </c>
      <c r="B96" s="3" t="s">
        <v>808</v>
      </c>
      <c r="C96" s="3" t="s">
        <v>160</v>
      </c>
      <c r="D96" s="86"/>
      <c r="E96" s="36" t="s">
        <v>94</v>
      </c>
      <c r="F96" s="48">
        <v>30391</v>
      </c>
      <c r="G96" s="36" t="s">
        <v>303</v>
      </c>
      <c r="H96" s="81" t="s">
        <v>304</v>
      </c>
      <c r="I96" s="36" t="s">
        <v>809</v>
      </c>
      <c r="J96" s="48">
        <v>37729</v>
      </c>
      <c r="K96" s="36" t="s">
        <v>303</v>
      </c>
      <c r="L96" s="36" t="s">
        <v>123</v>
      </c>
      <c r="M96" s="36" t="s">
        <v>632</v>
      </c>
      <c r="N96" s="36"/>
      <c r="O96" s="101"/>
      <c r="P96" s="81"/>
      <c r="Q96" s="36" t="s">
        <v>810</v>
      </c>
      <c r="R96" s="36" t="s">
        <v>811</v>
      </c>
      <c r="S96" s="36"/>
      <c r="T96" s="81" t="s">
        <v>812</v>
      </c>
      <c r="U96" s="81" t="s">
        <v>813</v>
      </c>
      <c r="V96" s="36"/>
      <c r="W96" s="36"/>
      <c r="X96" s="36"/>
      <c r="Y96" s="36"/>
      <c r="Z96" s="81"/>
      <c r="AA96" s="54"/>
      <c r="AB96" s="81"/>
      <c r="AC96" s="81"/>
      <c r="AD96" s="36"/>
      <c r="AE96" s="81"/>
      <c r="AF96" s="81" t="s">
        <v>231</v>
      </c>
      <c r="AG96" s="48"/>
      <c r="AH96" s="134" t="str">
        <f t="shared" si="8"/>
        <v/>
      </c>
      <c r="AI96" s="134"/>
      <c r="AJ96" s="48"/>
      <c r="AK96" s="134" t="str">
        <f t="shared" si="9"/>
        <v/>
      </c>
      <c r="AL96" s="94" t="s">
        <v>82</v>
      </c>
      <c r="AM96" s="78"/>
      <c r="AN96" s="78"/>
      <c r="AO96" s="190"/>
      <c r="AP96" s="136" t="str">
        <f>IF((AO96=""),"",MONTH(AO96))</f>
        <v/>
      </c>
      <c r="AQ96" s="127"/>
      <c r="AR96" s="23"/>
      <c r="AS96" s="94"/>
      <c r="AT96" s="136"/>
      <c r="AU96" s="70">
        <f t="shared" si="10"/>
        <v>3</v>
      </c>
      <c r="AV96" s="70" t="s">
        <v>68</v>
      </c>
    </row>
    <row r="97" spans="1:48" s="136" customFormat="1" ht="19.5" hidden="1" customHeight="1" x14ac:dyDescent="0.2">
      <c r="A97" s="86">
        <v>20073</v>
      </c>
      <c r="B97" s="3" t="s">
        <v>814</v>
      </c>
      <c r="C97" s="3" t="s">
        <v>50</v>
      </c>
      <c r="D97" s="86"/>
      <c r="E97" s="36" t="s">
        <v>51</v>
      </c>
      <c r="F97" s="48">
        <v>30965</v>
      </c>
      <c r="G97" s="36" t="s">
        <v>815</v>
      </c>
      <c r="H97" s="81" t="s">
        <v>816</v>
      </c>
      <c r="I97" s="36" t="s">
        <v>817</v>
      </c>
      <c r="J97" s="48">
        <v>36584</v>
      </c>
      <c r="K97" s="36" t="s">
        <v>815</v>
      </c>
      <c r="L97" s="36" t="s">
        <v>123</v>
      </c>
      <c r="M97" s="36" t="s">
        <v>578</v>
      </c>
      <c r="N97" s="36"/>
      <c r="O97" s="101"/>
      <c r="P97" s="81" t="s">
        <v>818</v>
      </c>
      <c r="Q97" s="36" t="s">
        <v>819</v>
      </c>
      <c r="R97" s="36" t="s">
        <v>820</v>
      </c>
      <c r="S97" s="36"/>
      <c r="T97" s="81" t="s">
        <v>821</v>
      </c>
      <c r="U97" s="81" t="s">
        <v>821</v>
      </c>
      <c r="V97" s="36"/>
      <c r="W97" s="36"/>
      <c r="X97" s="36"/>
      <c r="Y97" s="36"/>
      <c r="Z97" s="81"/>
      <c r="AA97" s="54"/>
      <c r="AB97" s="81"/>
      <c r="AC97" s="81"/>
      <c r="AD97" s="36"/>
      <c r="AE97" s="81"/>
      <c r="AF97" s="81" t="s">
        <v>65</v>
      </c>
      <c r="AG97" s="48"/>
      <c r="AH97" s="134" t="str">
        <f t="shared" si="8"/>
        <v/>
      </c>
      <c r="AI97" s="134"/>
      <c r="AJ97" s="48"/>
      <c r="AK97" s="134" t="str">
        <f t="shared" si="9"/>
        <v/>
      </c>
      <c r="AL97" s="94" t="s">
        <v>82</v>
      </c>
      <c r="AM97" s="78"/>
      <c r="AN97" s="78"/>
      <c r="AO97" s="190"/>
      <c r="AP97" s="136" t="str">
        <f>IF((AO97=""),"",MONTH(AO97))</f>
        <v/>
      </c>
      <c r="AQ97" s="127"/>
      <c r="AR97" s="23"/>
      <c r="AS97" s="94"/>
      <c r="AT97" s="23"/>
      <c r="AU97" s="70">
        <f t="shared" si="10"/>
        <v>10</v>
      </c>
      <c r="AV97" s="70" t="s">
        <v>68</v>
      </c>
    </row>
    <row r="98" spans="1:48" ht="25.5" hidden="1" x14ac:dyDescent="0.2">
      <c r="A98" s="86">
        <v>20074</v>
      </c>
      <c r="B98" s="3" t="s">
        <v>822</v>
      </c>
      <c r="C98" s="3" t="s">
        <v>823</v>
      </c>
      <c r="D98" s="86"/>
      <c r="E98" s="36" t="s">
        <v>94</v>
      </c>
      <c r="F98" s="48"/>
      <c r="G98" s="36"/>
      <c r="H98" s="81" t="s">
        <v>824</v>
      </c>
      <c r="I98" s="36" t="s">
        <v>825</v>
      </c>
      <c r="J98" s="48">
        <v>37054</v>
      </c>
      <c r="K98" s="36" t="s">
        <v>824</v>
      </c>
      <c r="L98" s="36" t="s">
        <v>826</v>
      </c>
      <c r="M98" s="36" t="s">
        <v>827</v>
      </c>
      <c r="N98" s="36" t="s">
        <v>320</v>
      </c>
      <c r="O98" s="101"/>
      <c r="P98" s="159" t="s">
        <v>828</v>
      </c>
      <c r="Q98" s="36"/>
      <c r="R98" s="36" t="s">
        <v>829</v>
      </c>
      <c r="S98" s="36"/>
      <c r="T98" s="81"/>
      <c r="U98" s="81" t="s">
        <v>830</v>
      </c>
      <c r="V98" s="36"/>
      <c r="W98" s="36"/>
      <c r="X98" s="36"/>
      <c r="Y98" s="36" t="s">
        <v>831</v>
      </c>
      <c r="Z98" s="81"/>
      <c r="AA98" s="54"/>
      <c r="AB98" s="81" t="s">
        <v>361</v>
      </c>
      <c r="AC98" s="81" t="s">
        <v>362</v>
      </c>
      <c r="AD98" s="36"/>
      <c r="AE98" s="81"/>
      <c r="AF98" s="81" t="s">
        <v>231</v>
      </c>
      <c r="AG98" s="48"/>
      <c r="AH98" s="134" t="str">
        <f t="shared" si="8"/>
        <v/>
      </c>
      <c r="AI98" s="134"/>
      <c r="AJ98" s="48"/>
      <c r="AK98" s="134" t="str">
        <f t="shared" si="9"/>
        <v/>
      </c>
      <c r="AL98" s="54" t="s">
        <v>82</v>
      </c>
      <c r="AM98" s="54"/>
      <c r="AN98" s="54"/>
      <c r="AO98" s="190"/>
      <c r="AP98" s="136"/>
      <c r="AQ98" s="123"/>
      <c r="AR98" s="23"/>
      <c r="AS98" s="54"/>
      <c r="AT98" s="136"/>
      <c r="AU98" s="70"/>
      <c r="AV98" s="70" t="s">
        <v>68</v>
      </c>
    </row>
    <row r="99" spans="1:48" s="136" customFormat="1" ht="19.5" hidden="1" customHeight="1" x14ac:dyDescent="0.2">
      <c r="A99" s="86">
        <v>20075</v>
      </c>
      <c r="B99" s="3" t="s">
        <v>832</v>
      </c>
      <c r="C99" s="3" t="s">
        <v>833</v>
      </c>
      <c r="D99" s="86"/>
      <c r="E99" s="36" t="s">
        <v>94</v>
      </c>
      <c r="F99" s="48">
        <v>31907</v>
      </c>
      <c r="G99" s="36"/>
      <c r="H99" s="81" t="s">
        <v>231</v>
      </c>
      <c r="I99" s="36" t="s">
        <v>834</v>
      </c>
      <c r="J99" s="48">
        <v>37064</v>
      </c>
      <c r="K99" s="36" t="s">
        <v>231</v>
      </c>
      <c r="L99" s="36" t="s">
        <v>318</v>
      </c>
      <c r="M99" s="36" t="s">
        <v>835</v>
      </c>
      <c r="N99" s="36" t="s">
        <v>320</v>
      </c>
      <c r="O99" s="101"/>
      <c r="P99" s="159" t="s">
        <v>836</v>
      </c>
      <c r="Q99" s="36"/>
      <c r="R99" s="36" t="s">
        <v>837</v>
      </c>
      <c r="S99" s="36"/>
      <c r="T99" s="81"/>
      <c r="U99" s="81" t="s">
        <v>838</v>
      </c>
      <c r="V99" s="36"/>
      <c r="W99" s="36"/>
      <c r="X99" s="36"/>
      <c r="Y99" s="36" t="s">
        <v>206</v>
      </c>
      <c r="Z99" s="81"/>
      <c r="AA99" s="54"/>
      <c r="AB99" s="81">
        <v>3</v>
      </c>
      <c r="AC99" s="81" t="s">
        <v>63</v>
      </c>
      <c r="AD99" s="36" t="s">
        <v>230</v>
      </c>
      <c r="AE99" s="81" t="s">
        <v>839</v>
      </c>
      <c r="AF99" s="81" t="s">
        <v>231</v>
      </c>
      <c r="AG99" s="48"/>
      <c r="AH99" s="134" t="str">
        <f t="shared" si="8"/>
        <v/>
      </c>
      <c r="AI99" s="134"/>
      <c r="AJ99" s="48"/>
      <c r="AK99" s="134" t="str">
        <f t="shared" si="9"/>
        <v/>
      </c>
      <c r="AL99" s="54" t="s">
        <v>82</v>
      </c>
      <c r="AM99" s="54"/>
      <c r="AN99" s="54"/>
      <c r="AO99" s="190"/>
      <c r="AQ99" s="123"/>
      <c r="AR99" s="23"/>
      <c r="AS99" s="54"/>
      <c r="AT99" s="184"/>
      <c r="AU99" s="70">
        <f t="shared" ref="AU99:AU162" si="12">IF((F99=""),"",MONTH(F99))</f>
        <v>5</v>
      </c>
      <c r="AV99" s="70" t="s">
        <v>68</v>
      </c>
    </row>
    <row r="100" spans="1:48" s="136" customFormat="1" ht="19.5" hidden="1" customHeight="1" x14ac:dyDescent="0.2">
      <c r="A100" s="86">
        <v>20076</v>
      </c>
      <c r="B100" s="3" t="s">
        <v>840</v>
      </c>
      <c r="C100" s="3" t="s">
        <v>667</v>
      </c>
      <c r="D100" s="86"/>
      <c r="E100" s="36" t="s">
        <v>94</v>
      </c>
      <c r="F100" s="48">
        <v>31300</v>
      </c>
      <c r="G100" s="36" t="s">
        <v>841</v>
      </c>
      <c r="H100" s="81" t="s">
        <v>842</v>
      </c>
      <c r="I100" s="36" t="s">
        <v>843</v>
      </c>
      <c r="J100" s="48">
        <v>37692</v>
      </c>
      <c r="K100" s="36" t="s">
        <v>841</v>
      </c>
      <c r="L100" s="36" t="s">
        <v>123</v>
      </c>
      <c r="M100" s="36" t="s">
        <v>844</v>
      </c>
      <c r="N100" s="36"/>
      <c r="O100" s="101"/>
      <c r="P100" s="81"/>
      <c r="Q100" s="36"/>
      <c r="R100" s="36" t="s">
        <v>845</v>
      </c>
      <c r="S100" s="36"/>
      <c r="T100" s="81" t="s">
        <v>846</v>
      </c>
      <c r="U100" s="81" t="s">
        <v>847</v>
      </c>
      <c r="V100" s="36"/>
      <c r="W100" s="36"/>
      <c r="X100" s="36"/>
      <c r="Y100" s="36"/>
      <c r="Z100" s="81"/>
      <c r="AA100" s="54"/>
      <c r="AB100" s="81"/>
      <c r="AC100" s="81"/>
      <c r="AD100" s="36"/>
      <c r="AE100" s="81"/>
      <c r="AF100" s="81" t="s">
        <v>231</v>
      </c>
      <c r="AG100" s="48"/>
      <c r="AH100" s="134" t="str">
        <f t="shared" si="8"/>
        <v/>
      </c>
      <c r="AI100" s="134"/>
      <c r="AJ100" s="48">
        <v>39960</v>
      </c>
      <c r="AK100" s="134">
        <f t="shared" si="9"/>
        <v>5</v>
      </c>
      <c r="AL100" s="94" t="s">
        <v>82</v>
      </c>
      <c r="AM100" s="78"/>
      <c r="AN100" s="78"/>
      <c r="AO100" s="190">
        <v>39995</v>
      </c>
      <c r="AP100" s="136">
        <f t="shared" ref="AP100:AP109" si="13">IF((AO100=""),"",MONTH(AO100))</f>
        <v>7</v>
      </c>
      <c r="AQ100" s="127"/>
      <c r="AR100" s="23"/>
      <c r="AS100" s="94"/>
      <c r="AT100" s="158"/>
      <c r="AU100" s="70">
        <f t="shared" si="12"/>
        <v>9</v>
      </c>
      <c r="AV100" s="70" t="s">
        <v>68</v>
      </c>
    </row>
    <row r="101" spans="1:48" s="136" customFormat="1" ht="19.5" hidden="1" customHeight="1" x14ac:dyDescent="0.2">
      <c r="A101" s="86">
        <v>20077</v>
      </c>
      <c r="B101" s="3" t="s">
        <v>848</v>
      </c>
      <c r="C101" s="3" t="s">
        <v>667</v>
      </c>
      <c r="D101" s="86"/>
      <c r="E101" s="36" t="s">
        <v>94</v>
      </c>
      <c r="F101" s="48">
        <v>30534</v>
      </c>
      <c r="G101" s="36" t="s">
        <v>132</v>
      </c>
      <c r="H101" s="81" t="s">
        <v>133</v>
      </c>
      <c r="I101" s="36" t="s">
        <v>849</v>
      </c>
      <c r="J101" s="48">
        <v>35896</v>
      </c>
      <c r="K101" s="36" t="s">
        <v>132</v>
      </c>
      <c r="L101" s="36" t="s">
        <v>123</v>
      </c>
      <c r="M101" s="36" t="s">
        <v>632</v>
      </c>
      <c r="N101" s="36" t="s">
        <v>368</v>
      </c>
      <c r="O101" s="101"/>
      <c r="P101" s="81" t="s">
        <v>850</v>
      </c>
      <c r="Q101" s="36"/>
      <c r="R101" s="36" t="s">
        <v>851</v>
      </c>
      <c r="S101" s="36"/>
      <c r="T101" s="81" t="s">
        <v>852</v>
      </c>
      <c r="U101" s="81" t="s">
        <v>853</v>
      </c>
      <c r="V101" s="36"/>
      <c r="W101" s="36"/>
      <c r="X101" s="36"/>
      <c r="Y101" s="36" t="s">
        <v>284</v>
      </c>
      <c r="Z101" s="81"/>
      <c r="AA101" s="54"/>
      <c r="AB101" s="81" t="s">
        <v>285</v>
      </c>
      <c r="AC101" s="81" t="s">
        <v>236</v>
      </c>
      <c r="AD101" s="123" t="s">
        <v>375</v>
      </c>
      <c r="AE101" s="81" t="s">
        <v>475</v>
      </c>
      <c r="AF101" s="81" t="s">
        <v>65</v>
      </c>
      <c r="AG101" s="48">
        <v>39965</v>
      </c>
      <c r="AH101" s="134">
        <f t="shared" si="8"/>
        <v>6</v>
      </c>
      <c r="AI101" s="134"/>
      <c r="AJ101" s="48">
        <v>39965</v>
      </c>
      <c r="AK101" s="134">
        <f t="shared" si="9"/>
        <v>6</v>
      </c>
      <c r="AL101" s="94" t="s">
        <v>82</v>
      </c>
      <c r="AM101" s="78"/>
      <c r="AN101" s="78"/>
      <c r="AO101" s="190">
        <v>41353</v>
      </c>
      <c r="AP101" s="136">
        <f t="shared" si="13"/>
        <v>3</v>
      </c>
      <c r="AQ101" s="127"/>
      <c r="AR101" s="23"/>
      <c r="AS101" s="94"/>
      <c r="AT101" s="158"/>
      <c r="AU101" s="70">
        <f t="shared" si="12"/>
        <v>8</v>
      </c>
      <c r="AV101" s="70" t="s">
        <v>68</v>
      </c>
    </row>
    <row r="102" spans="1:48" s="136" customFormat="1" ht="19.5" hidden="1" customHeight="1" x14ac:dyDescent="0.2">
      <c r="A102" s="87">
        <v>20078</v>
      </c>
      <c r="B102" s="80" t="s">
        <v>854</v>
      </c>
      <c r="C102" s="80" t="s">
        <v>855</v>
      </c>
      <c r="D102" s="87"/>
      <c r="E102" s="123" t="s">
        <v>94</v>
      </c>
      <c r="F102" s="140">
        <v>31026</v>
      </c>
      <c r="G102" s="123" t="s">
        <v>856</v>
      </c>
      <c r="H102" s="54" t="s">
        <v>857</v>
      </c>
      <c r="I102" s="123" t="s">
        <v>858</v>
      </c>
      <c r="J102" s="140">
        <v>37009</v>
      </c>
      <c r="K102" s="123" t="s">
        <v>856</v>
      </c>
      <c r="L102" s="123" t="s">
        <v>123</v>
      </c>
      <c r="M102" s="123" t="s">
        <v>859</v>
      </c>
      <c r="N102" s="123" t="s">
        <v>860</v>
      </c>
      <c r="O102" s="106"/>
      <c r="P102" s="54" t="s">
        <v>861</v>
      </c>
      <c r="Q102" s="123"/>
      <c r="R102" s="123" t="s">
        <v>862</v>
      </c>
      <c r="S102" s="123"/>
      <c r="T102" s="54" t="s">
        <v>863</v>
      </c>
      <c r="U102" s="54" t="s">
        <v>864</v>
      </c>
      <c r="V102" s="123"/>
      <c r="W102" s="123"/>
      <c r="X102" s="123"/>
      <c r="Y102" s="123" t="s">
        <v>865</v>
      </c>
      <c r="Z102" s="54"/>
      <c r="AA102" s="54"/>
      <c r="AB102" s="54" t="s">
        <v>361</v>
      </c>
      <c r="AC102" s="54" t="s">
        <v>362</v>
      </c>
      <c r="AD102" s="123" t="s">
        <v>866</v>
      </c>
      <c r="AE102" s="54" t="s">
        <v>867</v>
      </c>
      <c r="AF102" s="54" t="s">
        <v>231</v>
      </c>
      <c r="AG102" s="140">
        <v>39965</v>
      </c>
      <c r="AH102" s="65">
        <f t="shared" si="8"/>
        <v>6</v>
      </c>
      <c r="AI102" s="65"/>
      <c r="AJ102" s="140">
        <v>39965</v>
      </c>
      <c r="AK102" s="65">
        <f t="shared" si="9"/>
        <v>6</v>
      </c>
      <c r="AL102" s="54" t="s">
        <v>105</v>
      </c>
      <c r="AM102" s="138">
        <v>41579</v>
      </c>
      <c r="AN102" s="138"/>
      <c r="AO102" s="140"/>
      <c r="AP102" s="65" t="str">
        <f t="shared" si="13"/>
        <v/>
      </c>
      <c r="AQ102" s="123"/>
      <c r="AR102" s="23"/>
      <c r="AS102" s="54" t="s">
        <v>347</v>
      </c>
      <c r="AT102" s="158"/>
      <c r="AU102" s="70">
        <f t="shared" si="12"/>
        <v>12</v>
      </c>
      <c r="AV102" s="70" t="s">
        <v>68</v>
      </c>
    </row>
    <row r="103" spans="1:48" s="136" customFormat="1" ht="19.5" hidden="1" customHeight="1" x14ac:dyDescent="0.2">
      <c r="A103" s="86">
        <v>20079</v>
      </c>
      <c r="B103" s="3" t="s">
        <v>868</v>
      </c>
      <c r="C103" s="3" t="s">
        <v>869</v>
      </c>
      <c r="D103" s="86"/>
      <c r="E103" s="36" t="s">
        <v>94</v>
      </c>
      <c r="F103" s="48">
        <v>31941</v>
      </c>
      <c r="G103" s="36" t="s">
        <v>870</v>
      </c>
      <c r="H103" s="81" t="s">
        <v>871</v>
      </c>
      <c r="I103" s="36" t="s">
        <v>872</v>
      </c>
      <c r="J103" s="48">
        <v>39283</v>
      </c>
      <c r="K103" s="36" t="s">
        <v>365</v>
      </c>
      <c r="L103" s="36" t="s">
        <v>123</v>
      </c>
      <c r="M103" s="36" t="s">
        <v>382</v>
      </c>
      <c r="N103" s="36"/>
      <c r="O103" s="101"/>
      <c r="P103" s="81"/>
      <c r="Q103" s="36"/>
      <c r="R103" s="36" t="s">
        <v>873</v>
      </c>
      <c r="S103" s="36"/>
      <c r="T103" s="81" t="s">
        <v>874</v>
      </c>
      <c r="U103" s="81" t="s">
        <v>875</v>
      </c>
      <c r="V103" s="36"/>
      <c r="W103" s="36"/>
      <c r="X103" s="36"/>
      <c r="Y103" s="36"/>
      <c r="Z103" s="81"/>
      <c r="AA103" s="54"/>
      <c r="AB103" s="81"/>
      <c r="AC103" s="81"/>
      <c r="AD103" s="36"/>
      <c r="AE103" s="81"/>
      <c r="AF103" s="81" t="s">
        <v>65</v>
      </c>
      <c r="AG103" s="48"/>
      <c r="AH103" s="134" t="str">
        <f t="shared" si="8"/>
        <v/>
      </c>
      <c r="AI103" s="134"/>
      <c r="AJ103" s="48"/>
      <c r="AK103" s="134" t="str">
        <f t="shared" si="9"/>
        <v/>
      </c>
      <c r="AL103" s="94" t="s">
        <v>82</v>
      </c>
      <c r="AM103" s="78"/>
      <c r="AN103" s="78"/>
      <c r="AO103" s="190"/>
      <c r="AP103" s="136" t="str">
        <f t="shared" si="13"/>
        <v/>
      </c>
      <c r="AQ103" s="127"/>
      <c r="AR103" s="23"/>
      <c r="AS103" s="94"/>
      <c r="AT103" s="194"/>
      <c r="AU103" s="70">
        <f t="shared" si="12"/>
        <v>6</v>
      </c>
      <c r="AV103" s="70" t="s">
        <v>68</v>
      </c>
    </row>
    <row r="104" spans="1:48" ht="25.5" hidden="1" x14ac:dyDescent="0.2">
      <c r="A104" s="86">
        <v>20080</v>
      </c>
      <c r="B104" s="3" t="s">
        <v>265</v>
      </c>
      <c r="C104" s="3" t="s">
        <v>778</v>
      </c>
      <c r="D104" s="86"/>
      <c r="E104" s="36" t="s">
        <v>94</v>
      </c>
      <c r="F104" s="48">
        <v>28784</v>
      </c>
      <c r="G104" s="36" t="s">
        <v>52</v>
      </c>
      <c r="H104" s="81" t="s">
        <v>53</v>
      </c>
      <c r="I104" s="36" t="s">
        <v>876</v>
      </c>
      <c r="J104" s="48">
        <v>38517</v>
      </c>
      <c r="K104" s="36" t="s">
        <v>52</v>
      </c>
      <c r="L104" s="36" t="s">
        <v>123</v>
      </c>
      <c r="M104" s="36" t="s">
        <v>877</v>
      </c>
      <c r="N104" s="36"/>
      <c r="O104" s="101"/>
      <c r="P104" s="81"/>
      <c r="Q104" s="36" t="s">
        <v>878</v>
      </c>
      <c r="R104" s="36" t="s">
        <v>879</v>
      </c>
      <c r="S104" s="36"/>
      <c r="T104" s="81" t="s">
        <v>880</v>
      </c>
      <c r="U104" s="81" t="s">
        <v>881</v>
      </c>
      <c r="V104" s="36"/>
      <c r="W104" s="36"/>
      <c r="X104" s="36"/>
      <c r="Y104" s="36"/>
      <c r="Z104" s="81"/>
      <c r="AA104" s="54"/>
      <c r="AB104" s="81"/>
      <c r="AC104" s="81"/>
      <c r="AD104" s="36"/>
      <c r="AE104" s="81"/>
      <c r="AF104" s="81" t="s">
        <v>65</v>
      </c>
      <c r="AG104" s="48"/>
      <c r="AH104" s="134" t="str">
        <f t="shared" si="8"/>
        <v/>
      </c>
      <c r="AI104" s="134"/>
      <c r="AJ104" s="48"/>
      <c r="AK104" s="134" t="str">
        <f t="shared" si="9"/>
        <v/>
      </c>
      <c r="AL104" s="94" t="s">
        <v>82</v>
      </c>
      <c r="AM104" s="78"/>
      <c r="AN104" s="78"/>
      <c r="AO104" s="190"/>
      <c r="AP104" s="136" t="str">
        <f t="shared" si="13"/>
        <v/>
      </c>
      <c r="AQ104" s="127"/>
      <c r="AR104" s="23"/>
      <c r="AS104" s="94"/>
      <c r="AT104" s="136"/>
      <c r="AU104" s="70">
        <f t="shared" si="12"/>
        <v>10</v>
      </c>
      <c r="AV104" s="70" t="s">
        <v>68</v>
      </c>
    </row>
    <row r="105" spans="1:48" s="136" customFormat="1" ht="19.5" hidden="1" customHeight="1" x14ac:dyDescent="0.2">
      <c r="A105" s="86">
        <v>20081</v>
      </c>
      <c r="B105" s="3" t="s">
        <v>882</v>
      </c>
      <c r="C105" s="3" t="s">
        <v>883</v>
      </c>
      <c r="D105" s="86"/>
      <c r="E105" s="36" t="s">
        <v>94</v>
      </c>
      <c r="F105" s="48">
        <v>31540</v>
      </c>
      <c r="G105" s="36" t="s">
        <v>884</v>
      </c>
      <c r="H105" s="81" t="s">
        <v>885</v>
      </c>
      <c r="I105" s="36" t="s">
        <v>886</v>
      </c>
      <c r="J105" s="48">
        <v>39367</v>
      </c>
      <c r="K105" s="36" t="s">
        <v>884</v>
      </c>
      <c r="L105" s="36" t="s">
        <v>352</v>
      </c>
      <c r="M105" s="36" t="s">
        <v>887</v>
      </c>
      <c r="N105" s="36"/>
      <c r="O105" s="101"/>
      <c r="P105" s="81" t="s">
        <v>888</v>
      </c>
      <c r="Q105" s="36"/>
      <c r="R105" s="36" t="s">
        <v>889</v>
      </c>
      <c r="S105" s="36"/>
      <c r="T105" s="81" t="s">
        <v>890</v>
      </c>
      <c r="U105" s="81" t="s">
        <v>891</v>
      </c>
      <c r="V105" s="36"/>
      <c r="W105" s="36"/>
      <c r="X105" s="36"/>
      <c r="Y105" s="36" t="s">
        <v>616</v>
      </c>
      <c r="Z105" s="81"/>
      <c r="AA105" s="54"/>
      <c r="AB105" s="81" t="s">
        <v>285</v>
      </c>
      <c r="AC105" s="81" t="s">
        <v>236</v>
      </c>
      <c r="AD105" s="36"/>
      <c r="AE105" s="81"/>
      <c r="AF105" s="81" t="s">
        <v>231</v>
      </c>
      <c r="AG105" s="48"/>
      <c r="AH105" s="134" t="str">
        <f t="shared" si="8"/>
        <v/>
      </c>
      <c r="AI105" s="134"/>
      <c r="AJ105" s="48">
        <v>39997</v>
      </c>
      <c r="AK105" s="134">
        <f t="shared" si="9"/>
        <v>7</v>
      </c>
      <c r="AL105" s="94" t="s">
        <v>82</v>
      </c>
      <c r="AM105" s="78"/>
      <c r="AN105" s="78"/>
      <c r="AO105" s="190">
        <v>40767</v>
      </c>
      <c r="AP105" s="136">
        <f t="shared" si="13"/>
        <v>8</v>
      </c>
      <c r="AQ105" s="127"/>
      <c r="AR105" s="23"/>
      <c r="AS105" s="94"/>
      <c r="AT105" s="184"/>
      <c r="AU105" s="70">
        <f t="shared" si="12"/>
        <v>5</v>
      </c>
      <c r="AV105" s="70" t="s">
        <v>68</v>
      </c>
    </row>
    <row r="106" spans="1:48" s="136" customFormat="1" ht="19.5" hidden="1" customHeight="1" x14ac:dyDescent="0.2">
      <c r="A106" s="86">
        <v>20082</v>
      </c>
      <c r="B106" s="3" t="s">
        <v>892</v>
      </c>
      <c r="C106" s="3" t="s">
        <v>893</v>
      </c>
      <c r="D106" s="86"/>
      <c r="E106" s="36" t="s">
        <v>94</v>
      </c>
      <c r="F106" s="48"/>
      <c r="G106" s="36"/>
      <c r="H106" s="81" t="s">
        <v>0</v>
      </c>
      <c r="I106" s="36"/>
      <c r="J106" s="48"/>
      <c r="K106" s="36"/>
      <c r="L106" s="36" t="s">
        <v>341</v>
      </c>
      <c r="M106" s="36"/>
      <c r="N106" s="36"/>
      <c r="O106" s="101"/>
      <c r="P106" s="81"/>
      <c r="Q106" s="36"/>
      <c r="R106" s="36"/>
      <c r="S106" s="36"/>
      <c r="T106" s="81" t="s">
        <v>0</v>
      </c>
      <c r="U106" s="81" t="s">
        <v>0</v>
      </c>
      <c r="V106" s="36"/>
      <c r="W106" s="36"/>
      <c r="X106" s="36"/>
      <c r="Y106" s="36"/>
      <c r="Z106" s="81"/>
      <c r="AA106" s="54"/>
      <c r="AB106" s="81"/>
      <c r="AC106" s="81"/>
      <c r="AD106" s="36"/>
      <c r="AE106" s="81"/>
      <c r="AF106" s="81" t="s">
        <v>65</v>
      </c>
      <c r="AG106" s="48"/>
      <c r="AH106" s="134" t="str">
        <f t="shared" si="8"/>
        <v/>
      </c>
      <c r="AI106" s="134"/>
      <c r="AJ106" s="48"/>
      <c r="AK106" s="134" t="str">
        <f t="shared" si="9"/>
        <v/>
      </c>
      <c r="AL106" s="94" t="s">
        <v>82</v>
      </c>
      <c r="AM106" s="78"/>
      <c r="AN106" s="78"/>
      <c r="AO106" s="190"/>
      <c r="AP106" s="136" t="str">
        <f t="shared" si="13"/>
        <v/>
      </c>
      <c r="AQ106" s="127"/>
      <c r="AR106" s="23"/>
      <c r="AS106" s="94"/>
      <c r="AT106" s="158"/>
      <c r="AU106" s="70" t="str">
        <f t="shared" si="12"/>
        <v/>
      </c>
      <c r="AV106" s="70" t="s">
        <v>68</v>
      </c>
    </row>
    <row r="107" spans="1:48" s="136" customFormat="1" ht="19.5" hidden="1" customHeight="1" x14ac:dyDescent="0.2">
      <c r="A107" s="87">
        <v>20083</v>
      </c>
      <c r="B107" s="80" t="s">
        <v>894</v>
      </c>
      <c r="C107" s="80" t="s">
        <v>84</v>
      </c>
      <c r="D107" s="87"/>
      <c r="E107" s="123" t="s">
        <v>51</v>
      </c>
      <c r="F107" s="140">
        <v>31622</v>
      </c>
      <c r="G107" s="123" t="s">
        <v>895</v>
      </c>
      <c r="H107" s="54" t="s">
        <v>412</v>
      </c>
      <c r="I107" s="123" t="s">
        <v>896</v>
      </c>
      <c r="J107" s="140">
        <v>40837</v>
      </c>
      <c r="K107" s="123" t="s">
        <v>895</v>
      </c>
      <c r="L107" s="123" t="s">
        <v>341</v>
      </c>
      <c r="M107" s="123" t="s">
        <v>488</v>
      </c>
      <c r="N107" s="123"/>
      <c r="O107" s="106"/>
      <c r="P107" s="54" t="s">
        <v>897</v>
      </c>
      <c r="Q107" s="123"/>
      <c r="R107" s="123" t="s">
        <v>898</v>
      </c>
      <c r="S107" s="123"/>
      <c r="T107" s="54" t="s">
        <v>899</v>
      </c>
      <c r="U107" s="54" t="s">
        <v>900</v>
      </c>
      <c r="V107" s="123"/>
      <c r="W107" s="123"/>
      <c r="X107" s="123"/>
      <c r="Y107" s="123" t="s">
        <v>206</v>
      </c>
      <c r="Z107" s="54"/>
      <c r="AA107" s="54"/>
      <c r="AB107" s="54">
        <v>3</v>
      </c>
      <c r="AC107" s="54" t="s">
        <v>63</v>
      </c>
      <c r="AD107" s="123" t="s">
        <v>866</v>
      </c>
      <c r="AE107" s="54" t="s">
        <v>901</v>
      </c>
      <c r="AF107" s="54" t="s">
        <v>231</v>
      </c>
      <c r="AG107" s="140">
        <v>39965</v>
      </c>
      <c r="AH107" s="65">
        <f t="shared" si="8"/>
        <v>6</v>
      </c>
      <c r="AI107" s="65"/>
      <c r="AJ107" s="140">
        <v>39965</v>
      </c>
      <c r="AK107" s="65">
        <f t="shared" si="9"/>
        <v>6</v>
      </c>
      <c r="AL107" s="54" t="s">
        <v>66</v>
      </c>
      <c r="AM107" s="138"/>
      <c r="AN107" s="138"/>
      <c r="AO107" s="140"/>
      <c r="AP107" s="65" t="str">
        <f t="shared" si="13"/>
        <v/>
      </c>
      <c r="AQ107" s="123"/>
      <c r="AR107" s="23"/>
      <c r="AS107" s="54" t="s">
        <v>347</v>
      </c>
      <c r="AT107" s="194"/>
      <c r="AU107" s="70">
        <f t="shared" si="12"/>
        <v>7</v>
      </c>
      <c r="AV107" s="70" t="s">
        <v>68</v>
      </c>
    </row>
    <row r="108" spans="1:48" ht="12.75" hidden="1" x14ac:dyDescent="0.2">
      <c r="A108" s="86">
        <v>20084</v>
      </c>
      <c r="B108" s="3" t="s">
        <v>902</v>
      </c>
      <c r="C108" s="3" t="s">
        <v>160</v>
      </c>
      <c r="D108" s="86"/>
      <c r="E108" s="36" t="s">
        <v>51</v>
      </c>
      <c r="F108" s="48">
        <v>31753</v>
      </c>
      <c r="G108" s="36"/>
      <c r="H108" s="81" t="s">
        <v>0</v>
      </c>
      <c r="I108" s="36"/>
      <c r="J108" s="48"/>
      <c r="K108" s="36"/>
      <c r="L108" s="36" t="s">
        <v>123</v>
      </c>
      <c r="M108" s="36"/>
      <c r="N108" s="36"/>
      <c r="O108" s="101"/>
      <c r="P108" s="81"/>
      <c r="Q108" s="36"/>
      <c r="R108" s="36"/>
      <c r="S108" s="36"/>
      <c r="T108" s="81" t="s">
        <v>0</v>
      </c>
      <c r="U108" s="81" t="s">
        <v>0</v>
      </c>
      <c r="V108" s="36"/>
      <c r="W108" s="36"/>
      <c r="X108" s="36"/>
      <c r="Y108" s="36"/>
      <c r="Z108" s="81"/>
      <c r="AA108" s="54"/>
      <c r="AB108" s="81"/>
      <c r="AC108" s="81"/>
      <c r="AD108" s="36"/>
      <c r="AE108" s="81"/>
      <c r="AF108" s="81" t="s">
        <v>65</v>
      </c>
      <c r="AG108" s="48"/>
      <c r="AH108" s="134" t="str">
        <f t="shared" si="8"/>
        <v/>
      </c>
      <c r="AI108" s="134"/>
      <c r="AJ108" s="48"/>
      <c r="AK108" s="134" t="str">
        <f t="shared" si="9"/>
        <v/>
      </c>
      <c r="AL108" s="94" t="s">
        <v>82</v>
      </c>
      <c r="AM108" s="78"/>
      <c r="AN108" s="78"/>
      <c r="AO108" s="190"/>
      <c r="AP108" s="136" t="str">
        <f t="shared" si="13"/>
        <v/>
      </c>
      <c r="AQ108" s="127"/>
      <c r="AR108" s="23"/>
      <c r="AS108" s="94"/>
      <c r="AT108" s="136"/>
      <c r="AU108" s="70">
        <f t="shared" si="12"/>
        <v>12</v>
      </c>
      <c r="AV108" s="70" t="s">
        <v>68</v>
      </c>
    </row>
    <row r="109" spans="1:48" s="136" customFormat="1" ht="19.5" hidden="1" customHeight="1" x14ac:dyDescent="0.2">
      <c r="A109" s="87">
        <v>20085</v>
      </c>
      <c r="B109" s="80" t="s">
        <v>903</v>
      </c>
      <c r="C109" s="80" t="s">
        <v>904</v>
      </c>
      <c r="D109" s="87"/>
      <c r="E109" s="123" t="s">
        <v>51</v>
      </c>
      <c r="F109" s="140">
        <v>30382</v>
      </c>
      <c r="G109" s="123" t="s">
        <v>52</v>
      </c>
      <c r="H109" s="54" t="s">
        <v>53</v>
      </c>
      <c r="I109" s="123" t="s">
        <v>905</v>
      </c>
      <c r="J109" s="140">
        <v>36863</v>
      </c>
      <c r="K109" s="123" t="s">
        <v>52</v>
      </c>
      <c r="L109" s="123" t="s">
        <v>341</v>
      </c>
      <c r="M109" s="123" t="s">
        <v>906</v>
      </c>
      <c r="N109" s="123" t="s">
        <v>907</v>
      </c>
      <c r="O109" s="106"/>
      <c r="P109" s="54" t="s">
        <v>908</v>
      </c>
      <c r="Q109" s="123" t="s">
        <v>909</v>
      </c>
      <c r="R109" s="123" t="s">
        <v>910</v>
      </c>
      <c r="S109" s="123"/>
      <c r="T109" s="54" t="s">
        <v>911</v>
      </c>
      <c r="U109" s="54" t="s">
        <v>912</v>
      </c>
      <c r="V109" s="123"/>
      <c r="W109" s="123"/>
      <c r="X109" s="123"/>
      <c r="Y109" s="123" t="s">
        <v>312</v>
      </c>
      <c r="Z109" s="54"/>
      <c r="AA109" s="54"/>
      <c r="AB109" s="54" t="s">
        <v>285</v>
      </c>
      <c r="AC109" s="54" t="s">
        <v>236</v>
      </c>
      <c r="AD109" s="123" t="s">
        <v>375</v>
      </c>
      <c r="AE109" s="54" t="s">
        <v>475</v>
      </c>
      <c r="AF109" s="54" t="s">
        <v>65</v>
      </c>
      <c r="AG109" s="140">
        <v>39965</v>
      </c>
      <c r="AH109" s="65">
        <f t="shared" si="8"/>
        <v>6</v>
      </c>
      <c r="AI109" s="65"/>
      <c r="AJ109" s="140">
        <v>39965</v>
      </c>
      <c r="AK109" s="65">
        <f t="shared" si="9"/>
        <v>6</v>
      </c>
      <c r="AL109" s="54" t="s">
        <v>66</v>
      </c>
      <c r="AM109" s="138"/>
      <c r="AN109" s="138"/>
      <c r="AO109" s="140"/>
      <c r="AP109" s="65" t="str">
        <f t="shared" si="13"/>
        <v/>
      </c>
      <c r="AQ109" s="123"/>
      <c r="AR109" s="23"/>
      <c r="AS109" s="54" t="s">
        <v>107</v>
      </c>
      <c r="AT109" s="184"/>
      <c r="AU109" s="70">
        <f t="shared" si="12"/>
        <v>3</v>
      </c>
      <c r="AV109" s="70" t="s">
        <v>68</v>
      </c>
    </row>
    <row r="110" spans="1:48" s="136" customFormat="1" ht="19.5" hidden="1" customHeight="1" x14ac:dyDescent="0.2">
      <c r="A110" s="86">
        <v>20086</v>
      </c>
      <c r="B110" s="3" t="s">
        <v>265</v>
      </c>
      <c r="C110" s="3" t="s">
        <v>667</v>
      </c>
      <c r="D110" s="86"/>
      <c r="E110" s="36" t="s">
        <v>94</v>
      </c>
      <c r="F110" s="48">
        <v>28487</v>
      </c>
      <c r="G110" s="36"/>
      <c r="H110" s="81" t="s">
        <v>303</v>
      </c>
      <c r="I110" s="36" t="s">
        <v>913</v>
      </c>
      <c r="J110" s="48">
        <v>39822</v>
      </c>
      <c r="K110" s="36" t="s">
        <v>303</v>
      </c>
      <c r="L110" s="36" t="s">
        <v>318</v>
      </c>
      <c r="M110" s="36" t="s">
        <v>433</v>
      </c>
      <c r="N110" s="36" t="s">
        <v>320</v>
      </c>
      <c r="O110" s="101"/>
      <c r="P110" s="159" t="s">
        <v>914</v>
      </c>
      <c r="Q110" s="36"/>
      <c r="R110" s="36" t="s">
        <v>915</v>
      </c>
      <c r="S110" s="36"/>
      <c r="T110" s="81"/>
      <c r="U110" s="81" t="s">
        <v>916</v>
      </c>
      <c r="V110" s="36"/>
      <c r="W110" s="36"/>
      <c r="X110" s="36"/>
      <c r="Y110" s="36" t="s">
        <v>206</v>
      </c>
      <c r="Z110" s="81"/>
      <c r="AA110" s="54"/>
      <c r="AB110" s="81">
        <v>3</v>
      </c>
      <c r="AC110" s="81" t="s">
        <v>63</v>
      </c>
      <c r="AD110" s="36" t="s">
        <v>917</v>
      </c>
      <c r="AE110" s="81" t="s">
        <v>918</v>
      </c>
      <c r="AF110" s="81" t="s">
        <v>65</v>
      </c>
      <c r="AG110" s="48"/>
      <c r="AH110" s="134" t="str">
        <f t="shared" si="8"/>
        <v/>
      </c>
      <c r="AI110" s="134"/>
      <c r="AJ110" s="48"/>
      <c r="AK110" s="134" t="str">
        <f t="shared" si="9"/>
        <v/>
      </c>
      <c r="AL110" s="54" t="s">
        <v>82</v>
      </c>
      <c r="AM110" s="54"/>
      <c r="AN110" s="54"/>
      <c r="AO110" s="190"/>
      <c r="AQ110" s="123"/>
      <c r="AR110" s="23"/>
      <c r="AS110" s="54"/>
      <c r="AT110" s="158"/>
      <c r="AU110" s="70">
        <f t="shared" si="12"/>
        <v>12</v>
      </c>
      <c r="AV110" s="70" t="s">
        <v>68</v>
      </c>
    </row>
    <row r="111" spans="1:48" s="136" customFormat="1" ht="19.5" hidden="1" customHeight="1" x14ac:dyDescent="0.2">
      <c r="A111" s="86">
        <v>20087</v>
      </c>
      <c r="B111" s="3" t="s">
        <v>919</v>
      </c>
      <c r="C111" s="3" t="s">
        <v>920</v>
      </c>
      <c r="D111" s="86"/>
      <c r="E111" s="36" t="s">
        <v>94</v>
      </c>
      <c r="F111" s="48">
        <v>31278</v>
      </c>
      <c r="G111" s="36" t="s">
        <v>921</v>
      </c>
      <c r="H111" s="81" t="s">
        <v>922</v>
      </c>
      <c r="I111" s="36" t="s">
        <v>923</v>
      </c>
      <c r="J111" s="48">
        <v>37447</v>
      </c>
      <c r="K111" s="36" t="s">
        <v>921</v>
      </c>
      <c r="L111" s="36" t="s">
        <v>123</v>
      </c>
      <c r="M111" s="36" t="s">
        <v>543</v>
      </c>
      <c r="N111" s="36"/>
      <c r="O111" s="101"/>
      <c r="P111" s="81" t="s">
        <v>924</v>
      </c>
      <c r="Q111" s="36"/>
      <c r="R111" s="36" t="s">
        <v>925</v>
      </c>
      <c r="S111" s="36"/>
      <c r="T111" s="81" t="s">
        <v>926</v>
      </c>
      <c r="U111" s="81" t="s">
        <v>927</v>
      </c>
      <c r="V111" s="36"/>
      <c r="W111" s="36"/>
      <c r="X111" s="36"/>
      <c r="Y111" s="36" t="s">
        <v>616</v>
      </c>
      <c r="Z111" s="81"/>
      <c r="AA111" s="54"/>
      <c r="AB111" s="81" t="s">
        <v>285</v>
      </c>
      <c r="AC111" s="81" t="s">
        <v>236</v>
      </c>
      <c r="AD111" s="36" t="s">
        <v>230</v>
      </c>
      <c r="AE111" s="81"/>
      <c r="AF111" s="81" t="s">
        <v>231</v>
      </c>
      <c r="AG111" s="48"/>
      <c r="AH111" s="134" t="str">
        <f t="shared" si="8"/>
        <v/>
      </c>
      <c r="AI111" s="134"/>
      <c r="AJ111" s="48">
        <v>39979</v>
      </c>
      <c r="AK111" s="134">
        <f t="shared" si="9"/>
        <v>6</v>
      </c>
      <c r="AL111" s="94" t="s">
        <v>82</v>
      </c>
      <c r="AM111" s="78"/>
      <c r="AN111" s="65" t="str">
        <f>IF((AM111=""),"",MONTH(AM111))</f>
        <v/>
      </c>
      <c r="AO111" s="190">
        <v>40638</v>
      </c>
      <c r="AP111" s="136">
        <f t="shared" ref="AP111:AP119" si="14">IF((AO111=""),"",MONTH(AO111))</f>
        <v>4</v>
      </c>
      <c r="AQ111" s="127"/>
      <c r="AR111" s="23"/>
      <c r="AS111" s="94"/>
      <c r="AT111" s="158"/>
      <c r="AU111" s="70">
        <f t="shared" si="12"/>
        <v>8</v>
      </c>
      <c r="AV111" s="70" t="s">
        <v>68</v>
      </c>
    </row>
    <row r="112" spans="1:48" s="136" customFormat="1" ht="19.5" hidden="1" customHeight="1" x14ac:dyDescent="0.2">
      <c r="A112" s="86">
        <v>20088</v>
      </c>
      <c r="B112" s="3" t="s">
        <v>265</v>
      </c>
      <c r="C112" s="3" t="s">
        <v>928</v>
      </c>
      <c r="D112" s="86"/>
      <c r="E112" s="36" t="s">
        <v>94</v>
      </c>
      <c r="F112" s="48">
        <v>31578</v>
      </c>
      <c r="G112" s="36" t="s">
        <v>365</v>
      </c>
      <c r="H112" s="81" t="s">
        <v>366</v>
      </c>
      <c r="I112" s="36" t="s">
        <v>929</v>
      </c>
      <c r="J112" s="48">
        <v>37712</v>
      </c>
      <c r="K112" s="36" t="s">
        <v>365</v>
      </c>
      <c r="L112" s="36" t="s">
        <v>123</v>
      </c>
      <c r="M112" s="36" t="s">
        <v>96</v>
      </c>
      <c r="N112" s="36"/>
      <c r="O112" s="101"/>
      <c r="P112" s="81"/>
      <c r="Q112" s="36"/>
      <c r="R112" s="36" t="s">
        <v>930</v>
      </c>
      <c r="S112" s="36"/>
      <c r="T112" s="81" t="s">
        <v>931</v>
      </c>
      <c r="U112" s="81" t="s">
        <v>932</v>
      </c>
      <c r="V112" s="36"/>
      <c r="W112" s="36"/>
      <c r="X112" s="36"/>
      <c r="Y112" s="36"/>
      <c r="Z112" s="81"/>
      <c r="AA112" s="54"/>
      <c r="AB112" s="81"/>
      <c r="AC112" s="81"/>
      <c r="AD112" s="36"/>
      <c r="AE112" s="81"/>
      <c r="AF112" s="81" t="s">
        <v>65</v>
      </c>
      <c r="AG112" s="48"/>
      <c r="AH112" s="134" t="str">
        <f t="shared" si="8"/>
        <v/>
      </c>
      <c r="AI112" s="134"/>
      <c r="AJ112" s="48"/>
      <c r="AK112" s="134" t="str">
        <f t="shared" si="9"/>
        <v/>
      </c>
      <c r="AL112" s="94" t="s">
        <v>82</v>
      </c>
      <c r="AM112" s="78"/>
      <c r="AN112" s="78"/>
      <c r="AO112" s="190"/>
      <c r="AP112" s="136" t="str">
        <f t="shared" si="14"/>
        <v/>
      </c>
      <c r="AQ112" s="127"/>
      <c r="AR112" s="23"/>
      <c r="AS112" s="94"/>
      <c r="AT112" s="158"/>
      <c r="AU112" s="70">
        <f t="shared" si="12"/>
        <v>6</v>
      </c>
      <c r="AV112" s="70" t="s">
        <v>68</v>
      </c>
    </row>
    <row r="113" spans="1:48" s="136" customFormat="1" ht="19.5" hidden="1" customHeight="1" x14ac:dyDescent="0.2">
      <c r="A113" s="86">
        <v>20089</v>
      </c>
      <c r="B113" s="3" t="s">
        <v>933</v>
      </c>
      <c r="C113" s="3" t="s">
        <v>725</v>
      </c>
      <c r="D113" s="86"/>
      <c r="E113" s="36" t="s">
        <v>94</v>
      </c>
      <c r="F113" s="48">
        <v>29978</v>
      </c>
      <c r="G113" s="36" t="s">
        <v>551</v>
      </c>
      <c r="H113" s="81" t="s">
        <v>552</v>
      </c>
      <c r="I113" s="36" t="s">
        <v>934</v>
      </c>
      <c r="J113" s="48">
        <v>38834</v>
      </c>
      <c r="K113" s="36" t="s">
        <v>551</v>
      </c>
      <c r="L113" s="36" t="s">
        <v>123</v>
      </c>
      <c r="M113" s="36" t="s">
        <v>598</v>
      </c>
      <c r="N113" s="36"/>
      <c r="O113" s="101"/>
      <c r="P113" s="81" t="s">
        <v>935</v>
      </c>
      <c r="Q113" s="36"/>
      <c r="R113" s="36" t="s">
        <v>936</v>
      </c>
      <c r="S113" s="36"/>
      <c r="T113" s="81" t="s">
        <v>937</v>
      </c>
      <c r="U113" s="81" t="s">
        <v>938</v>
      </c>
      <c r="V113" s="36"/>
      <c r="W113" s="36"/>
      <c r="X113" s="36"/>
      <c r="Y113" s="36" t="s">
        <v>595</v>
      </c>
      <c r="Z113" s="81"/>
      <c r="AA113" s="54"/>
      <c r="AB113" s="81" t="s">
        <v>361</v>
      </c>
      <c r="AC113" s="81" t="s">
        <v>63</v>
      </c>
      <c r="AD113" s="36"/>
      <c r="AE113" s="81"/>
      <c r="AF113" s="81" t="s">
        <v>231</v>
      </c>
      <c r="AG113" s="48"/>
      <c r="AH113" s="134" t="str">
        <f t="shared" si="8"/>
        <v/>
      </c>
      <c r="AI113" s="134"/>
      <c r="AJ113" s="48">
        <v>39989</v>
      </c>
      <c r="AK113" s="134">
        <f t="shared" si="9"/>
        <v>6</v>
      </c>
      <c r="AL113" s="94" t="s">
        <v>82</v>
      </c>
      <c r="AM113" s="78"/>
      <c r="AN113" s="78"/>
      <c r="AO113" s="190">
        <v>40917</v>
      </c>
      <c r="AP113" s="136">
        <f t="shared" si="14"/>
        <v>1</v>
      </c>
      <c r="AQ113" s="127"/>
      <c r="AR113" s="23"/>
      <c r="AS113" s="94"/>
      <c r="AT113" s="158"/>
      <c r="AU113" s="70">
        <f t="shared" si="12"/>
        <v>1</v>
      </c>
      <c r="AV113" s="70" t="s">
        <v>68</v>
      </c>
    </row>
    <row r="114" spans="1:48" s="136" customFormat="1" ht="19.5" hidden="1" customHeight="1" x14ac:dyDescent="0.2">
      <c r="A114" s="86">
        <v>20090</v>
      </c>
      <c r="B114" s="3" t="s">
        <v>596</v>
      </c>
      <c r="C114" s="3" t="s">
        <v>939</v>
      </c>
      <c r="D114" s="86"/>
      <c r="E114" s="36" t="s">
        <v>94</v>
      </c>
      <c r="F114" s="48">
        <v>28495</v>
      </c>
      <c r="G114" s="36" t="s">
        <v>303</v>
      </c>
      <c r="H114" s="81" t="s">
        <v>304</v>
      </c>
      <c r="I114" s="36" t="s">
        <v>940</v>
      </c>
      <c r="J114" s="48">
        <v>40024</v>
      </c>
      <c r="K114" s="36" t="s">
        <v>303</v>
      </c>
      <c r="L114" s="36" t="s">
        <v>123</v>
      </c>
      <c r="M114" s="36" t="s">
        <v>543</v>
      </c>
      <c r="N114" s="36" t="s">
        <v>941</v>
      </c>
      <c r="O114" s="101"/>
      <c r="P114" s="81" t="s">
        <v>942</v>
      </c>
      <c r="Q114" s="36" t="s">
        <v>943</v>
      </c>
      <c r="R114" s="36" t="s">
        <v>944</v>
      </c>
      <c r="S114" s="36"/>
      <c r="T114" s="81" t="s">
        <v>945</v>
      </c>
      <c r="U114" s="81" t="s">
        <v>945</v>
      </c>
      <c r="V114" s="36"/>
      <c r="W114" s="36"/>
      <c r="X114" s="36"/>
      <c r="Y114" s="36"/>
      <c r="Z114" s="81"/>
      <c r="AA114" s="54"/>
      <c r="AB114" s="81"/>
      <c r="AC114" s="81"/>
      <c r="AD114" s="36"/>
      <c r="AE114" s="81"/>
      <c r="AF114" s="81" t="s">
        <v>65</v>
      </c>
      <c r="AG114" s="48"/>
      <c r="AH114" s="134" t="str">
        <f t="shared" si="8"/>
        <v/>
      </c>
      <c r="AI114" s="134"/>
      <c r="AJ114" s="48">
        <v>39995</v>
      </c>
      <c r="AK114" s="134">
        <f t="shared" si="9"/>
        <v>7</v>
      </c>
      <c r="AL114" s="94" t="s">
        <v>82</v>
      </c>
      <c r="AM114" s="78"/>
      <c r="AN114" s="78"/>
      <c r="AO114" s="190"/>
      <c r="AP114" s="136" t="str">
        <f t="shared" si="14"/>
        <v/>
      </c>
      <c r="AQ114" s="127"/>
      <c r="AR114" s="23"/>
      <c r="AS114" s="94"/>
      <c r="AT114" s="158"/>
      <c r="AU114" s="70">
        <f t="shared" si="12"/>
        <v>1</v>
      </c>
      <c r="AV114" s="70" t="s">
        <v>68</v>
      </c>
    </row>
    <row r="115" spans="1:48" s="136" customFormat="1" ht="19.5" hidden="1" customHeight="1" x14ac:dyDescent="0.2">
      <c r="A115" s="86">
        <v>20091</v>
      </c>
      <c r="B115" s="3" t="s">
        <v>848</v>
      </c>
      <c r="C115" s="3" t="s">
        <v>946</v>
      </c>
      <c r="D115" s="86"/>
      <c r="E115" s="36" t="s">
        <v>94</v>
      </c>
      <c r="F115" s="48">
        <v>30393</v>
      </c>
      <c r="G115" s="36" t="s">
        <v>303</v>
      </c>
      <c r="H115" s="81" t="s">
        <v>304</v>
      </c>
      <c r="I115" s="36" t="s">
        <v>947</v>
      </c>
      <c r="J115" s="48">
        <v>39928</v>
      </c>
      <c r="K115" s="36" t="s">
        <v>52</v>
      </c>
      <c r="L115" s="36" t="s">
        <v>352</v>
      </c>
      <c r="M115" s="36" t="s">
        <v>948</v>
      </c>
      <c r="N115" s="36"/>
      <c r="O115" s="101"/>
      <c r="P115" s="81" t="s">
        <v>949</v>
      </c>
      <c r="Q115" s="36" t="s">
        <v>419</v>
      </c>
      <c r="R115" s="36" t="s">
        <v>950</v>
      </c>
      <c r="S115" s="36"/>
      <c r="T115" s="81" t="s">
        <v>951</v>
      </c>
      <c r="U115" s="81" t="s">
        <v>952</v>
      </c>
      <c r="V115" s="36"/>
      <c r="W115" s="36"/>
      <c r="X115" s="36"/>
      <c r="Y115" s="36"/>
      <c r="Z115" s="81"/>
      <c r="AA115" s="54"/>
      <c r="AB115" s="81"/>
      <c r="AC115" s="81"/>
      <c r="AD115" s="36"/>
      <c r="AE115" s="81"/>
      <c r="AF115" s="81" t="s">
        <v>65</v>
      </c>
      <c r="AG115" s="48"/>
      <c r="AH115" s="134" t="str">
        <f t="shared" si="8"/>
        <v/>
      </c>
      <c r="AI115" s="134"/>
      <c r="AJ115" s="48">
        <v>39995</v>
      </c>
      <c r="AK115" s="134">
        <f t="shared" si="9"/>
        <v>7</v>
      </c>
      <c r="AL115" s="94" t="s">
        <v>82</v>
      </c>
      <c r="AM115" s="78"/>
      <c r="AN115" s="78"/>
      <c r="AO115" s="190"/>
      <c r="AP115" s="136" t="str">
        <f t="shared" si="14"/>
        <v/>
      </c>
      <c r="AQ115" s="127"/>
      <c r="AR115" s="23"/>
      <c r="AS115" s="94"/>
      <c r="AT115" s="158"/>
      <c r="AU115" s="70">
        <f t="shared" si="12"/>
        <v>3</v>
      </c>
      <c r="AV115" s="70" t="s">
        <v>68</v>
      </c>
    </row>
    <row r="116" spans="1:48" s="136" customFormat="1" ht="19.5" hidden="1" customHeight="1" x14ac:dyDescent="0.2">
      <c r="A116" s="87">
        <v>20092</v>
      </c>
      <c r="B116" s="80" t="s">
        <v>265</v>
      </c>
      <c r="C116" s="80" t="s">
        <v>953</v>
      </c>
      <c r="D116" s="87"/>
      <c r="E116" s="123" t="s">
        <v>94</v>
      </c>
      <c r="F116" s="140">
        <v>25816</v>
      </c>
      <c r="G116" s="123" t="s">
        <v>954</v>
      </c>
      <c r="H116" s="54" t="s">
        <v>955</v>
      </c>
      <c r="I116" s="123" t="s">
        <v>956</v>
      </c>
      <c r="J116" s="140">
        <v>31875</v>
      </c>
      <c r="K116" s="123" t="s">
        <v>957</v>
      </c>
      <c r="L116" s="123" t="s">
        <v>958</v>
      </c>
      <c r="M116" s="123"/>
      <c r="N116" s="123"/>
      <c r="O116" s="106"/>
      <c r="P116" s="54" t="s">
        <v>959</v>
      </c>
      <c r="Q116" s="123" t="s">
        <v>960</v>
      </c>
      <c r="R116" s="123" t="s">
        <v>961</v>
      </c>
      <c r="S116" s="123"/>
      <c r="T116" s="54" t="s">
        <v>962</v>
      </c>
      <c r="U116" s="54" t="s">
        <v>0</v>
      </c>
      <c r="V116" s="123"/>
      <c r="W116" s="123"/>
      <c r="X116" s="123"/>
      <c r="Y116" s="123" t="s">
        <v>312</v>
      </c>
      <c r="Z116" s="54"/>
      <c r="AA116" s="54"/>
      <c r="AB116" s="54" t="s">
        <v>285</v>
      </c>
      <c r="AC116" s="54" t="s">
        <v>236</v>
      </c>
      <c r="AD116" s="123" t="s">
        <v>221</v>
      </c>
      <c r="AE116" s="54" t="s">
        <v>963</v>
      </c>
      <c r="AF116" s="54" t="s">
        <v>65</v>
      </c>
      <c r="AG116" s="140">
        <v>39995</v>
      </c>
      <c r="AH116" s="65">
        <f t="shared" si="8"/>
        <v>7</v>
      </c>
      <c r="AI116" s="65"/>
      <c r="AJ116" s="140">
        <v>39995</v>
      </c>
      <c r="AK116" s="65">
        <f t="shared" si="9"/>
        <v>7</v>
      </c>
      <c r="AL116" s="54" t="s">
        <v>66</v>
      </c>
      <c r="AM116" s="138"/>
      <c r="AN116" s="138"/>
      <c r="AO116" s="140"/>
      <c r="AP116" s="65" t="str">
        <f t="shared" si="14"/>
        <v/>
      </c>
      <c r="AQ116" s="123"/>
      <c r="AR116" s="23"/>
      <c r="AS116" s="54" t="s">
        <v>107</v>
      </c>
      <c r="AT116" s="158"/>
      <c r="AU116" s="70">
        <f t="shared" si="12"/>
        <v>9</v>
      </c>
      <c r="AV116" s="70" t="s">
        <v>68</v>
      </c>
    </row>
    <row r="117" spans="1:48" s="136" customFormat="1" ht="19.5" hidden="1" customHeight="1" x14ac:dyDescent="0.2">
      <c r="A117" s="86">
        <v>20093</v>
      </c>
      <c r="B117" s="3" t="s">
        <v>964</v>
      </c>
      <c r="C117" s="3" t="s">
        <v>160</v>
      </c>
      <c r="D117" s="86"/>
      <c r="E117" s="36" t="s">
        <v>51</v>
      </c>
      <c r="F117" s="48"/>
      <c r="G117" s="36"/>
      <c r="H117" s="81" t="s">
        <v>0</v>
      </c>
      <c r="I117" s="36"/>
      <c r="J117" s="48"/>
      <c r="K117" s="36"/>
      <c r="L117" s="36" t="s">
        <v>123</v>
      </c>
      <c r="M117" s="36"/>
      <c r="N117" s="36"/>
      <c r="O117" s="101"/>
      <c r="P117" s="81"/>
      <c r="Q117" s="36"/>
      <c r="R117" s="36"/>
      <c r="S117" s="36"/>
      <c r="T117" s="81" t="s">
        <v>0</v>
      </c>
      <c r="U117" s="81" t="s">
        <v>0</v>
      </c>
      <c r="V117" s="36"/>
      <c r="W117" s="36"/>
      <c r="X117" s="36"/>
      <c r="Y117" s="36" t="s">
        <v>326</v>
      </c>
      <c r="Z117" s="81"/>
      <c r="AA117" s="54"/>
      <c r="AB117" s="81"/>
      <c r="AC117" s="81"/>
      <c r="AD117" s="36"/>
      <c r="AE117" s="81"/>
      <c r="AF117" s="81"/>
      <c r="AG117" s="48"/>
      <c r="AH117" s="134" t="str">
        <f t="shared" si="8"/>
        <v/>
      </c>
      <c r="AI117" s="134"/>
      <c r="AJ117" s="48"/>
      <c r="AK117" s="134" t="str">
        <f t="shared" si="9"/>
        <v/>
      </c>
      <c r="AL117" s="94" t="s">
        <v>82</v>
      </c>
      <c r="AM117" s="78"/>
      <c r="AN117" s="78"/>
      <c r="AO117" s="190"/>
      <c r="AP117" s="136" t="str">
        <f t="shared" si="14"/>
        <v/>
      </c>
      <c r="AQ117" s="127"/>
      <c r="AR117" s="23"/>
      <c r="AS117" s="94"/>
      <c r="AT117" s="158"/>
      <c r="AU117" s="70" t="str">
        <f t="shared" si="12"/>
        <v/>
      </c>
      <c r="AV117" s="70" t="s">
        <v>68</v>
      </c>
    </row>
    <row r="118" spans="1:48" s="136" customFormat="1" ht="19.5" customHeight="1" x14ac:dyDescent="0.2">
      <c r="A118" s="87">
        <v>20094</v>
      </c>
      <c r="B118" s="80" t="s">
        <v>965</v>
      </c>
      <c r="C118" s="80" t="s">
        <v>131</v>
      </c>
      <c r="D118" s="87"/>
      <c r="E118" s="123" t="s">
        <v>94</v>
      </c>
      <c r="F118" s="140">
        <v>29665</v>
      </c>
      <c r="G118" s="123" t="s">
        <v>303</v>
      </c>
      <c r="H118" s="54" t="s">
        <v>304</v>
      </c>
      <c r="I118" s="123" t="s">
        <v>966</v>
      </c>
      <c r="J118" s="140">
        <v>36586</v>
      </c>
      <c r="K118" s="123" t="s">
        <v>303</v>
      </c>
      <c r="L118" s="123" t="s">
        <v>123</v>
      </c>
      <c r="M118" s="123" t="s">
        <v>543</v>
      </c>
      <c r="N118" s="123" t="s">
        <v>941</v>
      </c>
      <c r="O118" s="106"/>
      <c r="P118" s="54" t="s">
        <v>967</v>
      </c>
      <c r="Q118" s="123" t="s">
        <v>968</v>
      </c>
      <c r="R118" s="123" t="s">
        <v>969</v>
      </c>
      <c r="S118" s="123"/>
      <c r="T118" s="54" t="s">
        <v>970</v>
      </c>
      <c r="U118" s="54" t="s">
        <v>971</v>
      </c>
      <c r="V118" s="123"/>
      <c r="W118" s="123"/>
      <c r="X118" s="123"/>
      <c r="Y118" s="123" t="s">
        <v>972</v>
      </c>
      <c r="Z118" s="54"/>
      <c r="AA118" s="54"/>
      <c r="AB118" s="54" t="s">
        <v>285</v>
      </c>
      <c r="AC118" s="54" t="s">
        <v>236</v>
      </c>
      <c r="AD118" s="123" t="s">
        <v>512</v>
      </c>
      <c r="AE118" s="54" t="s">
        <v>973</v>
      </c>
      <c r="AF118" s="54" t="s">
        <v>65</v>
      </c>
      <c r="AG118" s="140">
        <v>41401</v>
      </c>
      <c r="AH118" s="65">
        <f t="shared" si="8"/>
        <v>5</v>
      </c>
      <c r="AI118" s="65"/>
      <c r="AJ118" s="140">
        <v>41462</v>
      </c>
      <c r="AK118" s="65">
        <f t="shared" si="9"/>
        <v>7</v>
      </c>
      <c r="AL118" s="54" t="s">
        <v>66</v>
      </c>
      <c r="AM118" s="78"/>
      <c r="AN118" s="78"/>
      <c r="AO118" s="190">
        <v>41364</v>
      </c>
      <c r="AP118" s="136">
        <f t="shared" si="14"/>
        <v>3</v>
      </c>
      <c r="AQ118" s="127"/>
      <c r="AR118" s="23"/>
      <c r="AS118" s="54" t="s">
        <v>347</v>
      </c>
      <c r="AT118" s="158"/>
      <c r="AU118" s="70">
        <f t="shared" si="12"/>
        <v>3</v>
      </c>
      <c r="AV118" s="70" t="s">
        <v>68</v>
      </c>
    </row>
    <row r="119" spans="1:48" s="136" customFormat="1" ht="19.5" hidden="1" customHeight="1" x14ac:dyDescent="0.2">
      <c r="A119" s="86">
        <v>20095</v>
      </c>
      <c r="B119" s="3" t="s">
        <v>974</v>
      </c>
      <c r="C119" s="3" t="s">
        <v>364</v>
      </c>
      <c r="D119" s="86"/>
      <c r="E119" s="36" t="s">
        <v>94</v>
      </c>
      <c r="F119" s="48">
        <v>31088</v>
      </c>
      <c r="G119" s="36" t="s">
        <v>171</v>
      </c>
      <c r="H119" s="81" t="s">
        <v>350</v>
      </c>
      <c r="I119" s="36" t="s">
        <v>975</v>
      </c>
      <c r="J119" s="48">
        <v>37433</v>
      </c>
      <c r="K119" s="36" t="s">
        <v>976</v>
      </c>
      <c r="L119" s="36" t="s">
        <v>123</v>
      </c>
      <c r="M119" s="36" t="s">
        <v>448</v>
      </c>
      <c r="N119" s="36"/>
      <c r="O119" s="101"/>
      <c r="P119" s="81" t="s">
        <v>977</v>
      </c>
      <c r="Q119" s="36" t="s">
        <v>978</v>
      </c>
      <c r="R119" s="36" t="s">
        <v>979</v>
      </c>
      <c r="S119" s="36"/>
      <c r="T119" s="81" t="s">
        <v>980</v>
      </c>
      <c r="U119" s="81" t="s">
        <v>981</v>
      </c>
      <c r="V119" s="36"/>
      <c r="W119" s="36"/>
      <c r="X119" s="36"/>
      <c r="Y119" s="36" t="s">
        <v>294</v>
      </c>
      <c r="Z119" s="81"/>
      <c r="AA119" s="54"/>
      <c r="AB119" s="81" t="s">
        <v>285</v>
      </c>
      <c r="AC119" s="81" t="s">
        <v>236</v>
      </c>
      <c r="AD119" s="123" t="s">
        <v>375</v>
      </c>
      <c r="AE119" s="81"/>
      <c r="AF119" s="81" t="s">
        <v>65</v>
      </c>
      <c r="AG119" s="48"/>
      <c r="AH119" s="134" t="str">
        <f t="shared" si="8"/>
        <v/>
      </c>
      <c r="AI119" s="134"/>
      <c r="AJ119" s="48">
        <v>39995</v>
      </c>
      <c r="AK119" s="134">
        <f t="shared" si="9"/>
        <v>7</v>
      </c>
      <c r="AL119" s="94" t="s">
        <v>82</v>
      </c>
      <c r="AM119" s="78"/>
      <c r="AN119" s="78"/>
      <c r="AO119" s="190">
        <v>40650</v>
      </c>
      <c r="AP119" s="136">
        <f t="shared" si="14"/>
        <v>4</v>
      </c>
      <c r="AQ119" s="127"/>
      <c r="AR119" s="23"/>
      <c r="AS119" s="94"/>
      <c r="AT119" s="158"/>
      <c r="AU119" s="70">
        <f t="shared" si="12"/>
        <v>2</v>
      </c>
      <c r="AV119" s="70" t="s">
        <v>68</v>
      </c>
    </row>
    <row r="120" spans="1:48" s="136" customFormat="1" ht="19.5" hidden="1" customHeight="1" x14ac:dyDescent="0.2">
      <c r="A120" s="87">
        <v>20096</v>
      </c>
      <c r="B120" s="80" t="s">
        <v>982</v>
      </c>
      <c r="C120" s="80" t="s">
        <v>466</v>
      </c>
      <c r="D120" s="87"/>
      <c r="E120" s="123" t="s">
        <v>94</v>
      </c>
      <c r="F120" s="140">
        <v>31671</v>
      </c>
      <c r="G120" s="123" t="s">
        <v>412</v>
      </c>
      <c r="H120" s="54" t="s">
        <v>413</v>
      </c>
      <c r="I120" s="123" t="s">
        <v>983</v>
      </c>
      <c r="J120" s="140">
        <v>36964</v>
      </c>
      <c r="K120" s="123" t="s">
        <v>412</v>
      </c>
      <c r="L120" s="123" t="s">
        <v>123</v>
      </c>
      <c r="M120" s="123" t="s">
        <v>543</v>
      </c>
      <c r="N120" s="123" t="s">
        <v>644</v>
      </c>
      <c r="O120" s="106"/>
      <c r="P120" s="54" t="s">
        <v>984</v>
      </c>
      <c r="Q120" s="123"/>
      <c r="R120" s="123" t="s">
        <v>985</v>
      </c>
      <c r="S120" s="123"/>
      <c r="T120" s="54" t="s">
        <v>986</v>
      </c>
      <c r="U120" s="54" t="s">
        <v>987</v>
      </c>
      <c r="V120" s="123"/>
      <c r="W120" s="123"/>
      <c r="X120" s="123"/>
      <c r="Y120" s="123" t="s">
        <v>206</v>
      </c>
      <c r="Z120" s="54"/>
      <c r="AA120" s="54"/>
      <c r="AB120" s="54">
        <v>3</v>
      </c>
      <c r="AC120" s="54" t="s">
        <v>63</v>
      </c>
      <c r="AD120" s="123" t="s">
        <v>207</v>
      </c>
      <c r="AE120" s="198" t="s">
        <v>1136</v>
      </c>
      <c r="AF120" s="54" t="s">
        <v>65</v>
      </c>
      <c r="AG120" s="140"/>
      <c r="AH120" s="65" t="str">
        <f t="shared" si="8"/>
        <v/>
      </c>
      <c r="AI120" s="65"/>
      <c r="AJ120" s="140">
        <v>39995</v>
      </c>
      <c r="AK120" s="65">
        <f t="shared" si="9"/>
        <v>7</v>
      </c>
      <c r="AL120" s="54" t="s">
        <v>66</v>
      </c>
      <c r="AM120" s="138"/>
      <c r="AN120" s="138"/>
      <c r="AO120" s="140"/>
      <c r="AP120" s="65"/>
      <c r="AQ120" s="123"/>
      <c r="AR120" s="23"/>
      <c r="AS120" s="54" t="s">
        <v>347</v>
      </c>
      <c r="AT120" s="158"/>
      <c r="AU120" s="70">
        <f t="shared" si="12"/>
        <v>9</v>
      </c>
      <c r="AV120" s="70" t="s">
        <v>68</v>
      </c>
    </row>
    <row r="121" spans="1:48" s="136" customFormat="1" ht="19.5" hidden="1" customHeight="1" x14ac:dyDescent="0.2">
      <c r="A121" s="86">
        <v>20097</v>
      </c>
      <c r="B121" s="3" t="s">
        <v>989</v>
      </c>
      <c r="C121" s="3" t="s">
        <v>608</v>
      </c>
      <c r="D121" s="86"/>
      <c r="E121" s="36" t="s">
        <v>94</v>
      </c>
      <c r="F121" s="48">
        <v>31032</v>
      </c>
      <c r="G121" s="36" t="s">
        <v>161</v>
      </c>
      <c r="H121" s="81" t="s">
        <v>162</v>
      </c>
      <c r="I121" s="36" t="s">
        <v>990</v>
      </c>
      <c r="J121" s="48">
        <v>36267</v>
      </c>
      <c r="K121" s="36" t="s">
        <v>161</v>
      </c>
      <c r="L121" s="36" t="s">
        <v>341</v>
      </c>
      <c r="M121" s="36" t="s">
        <v>468</v>
      </c>
      <c r="N121" s="36"/>
      <c r="O121" s="101"/>
      <c r="P121" s="81" t="s">
        <v>991</v>
      </c>
      <c r="Q121" s="36" t="s">
        <v>992</v>
      </c>
      <c r="R121" s="36" t="s">
        <v>993</v>
      </c>
      <c r="S121" s="36"/>
      <c r="T121" s="81" t="s">
        <v>994</v>
      </c>
      <c r="U121" s="81" t="s">
        <v>995</v>
      </c>
      <c r="V121" s="36"/>
      <c r="W121" s="36"/>
      <c r="X121" s="36"/>
      <c r="Y121" s="36"/>
      <c r="Z121" s="81"/>
      <c r="AA121" s="54"/>
      <c r="AB121" s="81"/>
      <c r="AC121" s="81"/>
      <c r="AD121" s="36"/>
      <c r="AE121" s="81"/>
      <c r="AF121" s="81" t="s">
        <v>65</v>
      </c>
      <c r="AG121" s="48"/>
      <c r="AH121" s="134" t="str">
        <f t="shared" si="8"/>
        <v/>
      </c>
      <c r="AI121" s="134"/>
      <c r="AJ121" s="48"/>
      <c r="AK121" s="134" t="str">
        <f t="shared" si="9"/>
        <v/>
      </c>
      <c r="AL121" s="94" t="s">
        <v>82</v>
      </c>
      <c r="AM121" s="78"/>
      <c r="AN121" s="78"/>
      <c r="AO121" s="190"/>
      <c r="AP121" s="136" t="str">
        <f t="shared" ref="AP121:AP143" si="15">IF((AO121=""),"",MONTH(AO121))</f>
        <v/>
      </c>
      <c r="AQ121" s="127"/>
      <c r="AR121" s="23"/>
      <c r="AS121" s="94"/>
      <c r="AT121" s="158"/>
      <c r="AU121" s="70">
        <f t="shared" si="12"/>
        <v>12</v>
      </c>
      <c r="AV121" s="70" t="s">
        <v>68</v>
      </c>
    </row>
    <row r="122" spans="1:48" s="136" customFormat="1" ht="19.5" hidden="1" customHeight="1" x14ac:dyDescent="0.2">
      <c r="A122" s="86">
        <v>20098</v>
      </c>
      <c r="B122" s="3" t="s">
        <v>996</v>
      </c>
      <c r="C122" s="3" t="s">
        <v>920</v>
      </c>
      <c r="D122" s="86"/>
      <c r="E122" s="36" t="s">
        <v>94</v>
      </c>
      <c r="F122" s="48">
        <v>30161</v>
      </c>
      <c r="G122" s="36" t="s">
        <v>997</v>
      </c>
      <c r="H122" s="81" t="s">
        <v>998</v>
      </c>
      <c r="I122" s="36" t="s">
        <v>999</v>
      </c>
      <c r="J122" s="48">
        <v>36552</v>
      </c>
      <c r="K122" s="36" t="s">
        <v>997</v>
      </c>
      <c r="L122" s="36" t="s">
        <v>123</v>
      </c>
      <c r="M122" s="36"/>
      <c r="N122" s="36"/>
      <c r="O122" s="101"/>
      <c r="P122" s="81"/>
      <c r="Q122" s="36"/>
      <c r="R122" s="36" t="s">
        <v>1000</v>
      </c>
      <c r="S122" s="36"/>
      <c r="T122" s="81" t="s">
        <v>1001</v>
      </c>
      <c r="U122" s="81" t="s">
        <v>1002</v>
      </c>
      <c r="V122" s="36"/>
      <c r="W122" s="36"/>
      <c r="X122" s="36"/>
      <c r="Y122" s="36"/>
      <c r="Z122" s="81"/>
      <c r="AA122" s="54"/>
      <c r="AB122" s="81"/>
      <c r="AC122" s="81"/>
      <c r="AD122" s="36"/>
      <c r="AE122" s="81"/>
      <c r="AF122" s="81" t="s">
        <v>65</v>
      </c>
      <c r="AG122" s="48"/>
      <c r="AH122" s="134" t="str">
        <f t="shared" si="8"/>
        <v/>
      </c>
      <c r="AI122" s="134"/>
      <c r="AJ122" s="48"/>
      <c r="AK122" s="134" t="str">
        <f t="shared" si="9"/>
        <v/>
      </c>
      <c r="AL122" s="94" t="s">
        <v>82</v>
      </c>
      <c r="AM122" s="78"/>
      <c r="AN122" s="65" t="str">
        <f>IF((AM122=""),"",MONTH(AM122))</f>
        <v/>
      </c>
      <c r="AO122" s="190"/>
      <c r="AP122" s="136" t="str">
        <f t="shared" si="15"/>
        <v/>
      </c>
      <c r="AQ122" s="127"/>
      <c r="AR122" s="23"/>
      <c r="AS122" s="94"/>
      <c r="AT122" s="158"/>
      <c r="AU122" s="70">
        <f t="shared" si="12"/>
        <v>7</v>
      </c>
      <c r="AV122" s="70" t="s">
        <v>68</v>
      </c>
    </row>
    <row r="123" spans="1:48" s="136" customFormat="1" ht="19.5" hidden="1" customHeight="1" x14ac:dyDescent="0.2">
      <c r="A123" s="86">
        <v>20099</v>
      </c>
      <c r="B123" s="3" t="s">
        <v>1003</v>
      </c>
      <c r="C123" s="3" t="s">
        <v>131</v>
      </c>
      <c r="D123" s="86"/>
      <c r="E123" s="36" t="s">
        <v>94</v>
      </c>
      <c r="F123" s="48">
        <v>31263</v>
      </c>
      <c r="G123" s="36" t="s">
        <v>551</v>
      </c>
      <c r="H123" s="81" t="s">
        <v>552</v>
      </c>
      <c r="I123" s="36" t="s">
        <v>1004</v>
      </c>
      <c r="J123" s="48">
        <v>39003</v>
      </c>
      <c r="K123" s="36" t="s">
        <v>52</v>
      </c>
      <c r="L123" s="36" t="s">
        <v>123</v>
      </c>
      <c r="M123" s="36" t="s">
        <v>135</v>
      </c>
      <c r="N123" s="36"/>
      <c r="O123" s="101"/>
      <c r="P123" s="81"/>
      <c r="Q123" s="36" t="s">
        <v>1005</v>
      </c>
      <c r="R123" s="36" t="s">
        <v>1006</v>
      </c>
      <c r="S123" s="36"/>
      <c r="T123" s="81" t="s">
        <v>1007</v>
      </c>
      <c r="U123" s="81" t="s">
        <v>1008</v>
      </c>
      <c r="V123" s="36"/>
      <c r="W123" s="36"/>
      <c r="X123" s="36"/>
      <c r="Y123" s="36"/>
      <c r="Z123" s="81"/>
      <c r="AA123" s="54"/>
      <c r="AB123" s="81"/>
      <c r="AC123" s="81"/>
      <c r="AD123" s="36"/>
      <c r="AE123" s="81"/>
      <c r="AF123" s="81" t="s">
        <v>65</v>
      </c>
      <c r="AG123" s="48"/>
      <c r="AH123" s="134" t="str">
        <f t="shared" si="8"/>
        <v/>
      </c>
      <c r="AI123" s="134"/>
      <c r="AJ123" s="48">
        <v>40000</v>
      </c>
      <c r="AK123" s="134">
        <f t="shared" si="9"/>
        <v>7</v>
      </c>
      <c r="AL123" s="94" t="s">
        <v>82</v>
      </c>
      <c r="AM123" s="78"/>
      <c r="AN123" s="78"/>
      <c r="AO123" s="190"/>
      <c r="AP123" s="136" t="str">
        <f t="shared" si="15"/>
        <v/>
      </c>
      <c r="AQ123" s="127"/>
      <c r="AR123" s="23"/>
      <c r="AS123" s="94"/>
      <c r="AT123" s="194"/>
      <c r="AU123" s="70">
        <f t="shared" si="12"/>
        <v>8</v>
      </c>
      <c r="AV123" s="70" t="s">
        <v>68</v>
      </c>
    </row>
    <row r="124" spans="1:48" ht="12.75" hidden="1" x14ac:dyDescent="0.2">
      <c r="A124" s="86">
        <v>20100</v>
      </c>
      <c r="B124" s="3" t="s">
        <v>1009</v>
      </c>
      <c r="C124" s="3" t="s">
        <v>232</v>
      </c>
      <c r="D124" s="86"/>
      <c r="E124" s="36" t="s">
        <v>94</v>
      </c>
      <c r="F124" s="48"/>
      <c r="G124" s="36"/>
      <c r="H124" s="81" t="s">
        <v>0</v>
      </c>
      <c r="I124" s="36"/>
      <c r="J124" s="48"/>
      <c r="K124" s="36"/>
      <c r="L124" s="36" t="s">
        <v>123</v>
      </c>
      <c r="M124" s="36"/>
      <c r="N124" s="36"/>
      <c r="O124" s="101"/>
      <c r="P124" s="81"/>
      <c r="Q124" s="36"/>
      <c r="R124" s="36"/>
      <c r="S124" s="36"/>
      <c r="T124" s="81" t="s">
        <v>0</v>
      </c>
      <c r="U124" s="81" t="s">
        <v>0</v>
      </c>
      <c r="V124" s="36"/>
      <c r="W124" s="36"/>
      <c r="X124" s="36"/>
      <c r="Y124" s="36" t="s">
        <v>326</v>
      </c>
      <c r="Z124" s="81"/>
      <c r="AA124" s="54"/>
      <c r="AB124" s="81"/>
      <c r="AC124" s="81"/>
      <c r="AD124" s="36"/>
      <c r="AE124" s="81"/>
      <c r="AF124" s="81"/>
      <c r="AG124" s="48"/>
      <c r="AH124" s="134" t="str">
        <f t="shared" si="8"/>
        <v/>
      </c>
      <c r="AI124" s="134"/>
      <c r="AJ124" s="48"/>
      <c r="AK124" s="134" t="str">
        <f t="shared" si="9"/>
        <v/>
      </c>
      <c r="AL124" s="94" t="s">
        <v>82</v>
      </c>
      <c r="AM124" s="78"/>
      <c r="AN124" s="78"/>
      <c r="AO124" s="190"/>
      <c r="AP124" s="136" t="str">
        <f t="shared" si="15"/>
        <v/>
      </c>
      <c r="AQ124" s="127"/>
      <c r="AR124" s="23"/>
      <c r="AS124" s="94"/>
      <c r="AT124" s="136"/>
      <c r="AU124" s="70" t="str">
        <f t="shared" si="12"/>
        <v/>
      </c>
      <c r="AV124" s="70" t="s">
        <v>68</v>
      </c>
    </row>
    <row r="125" spans="1:48" ht="12.75" hidden="1" x14ac:dyDescent="0.2">
      <c r="A125" s="86">
        <v>20101</v>
      </c>
      <c r="B125" s="3" t="s">
        <v>1010</v>
      </c>
      <c r="C125" s="3" t="s">
        <v>266</v>
      </c>
      <c r="D125" s="86"/>
      <c r="E125" s="36" t="s">
        <v>94</v>
      </c>
      <c r="F125" s="48"/>
      <c r="G125" s="36"/>
      <c r="H125" s="81" t="s">
        <v>0</v>
      </c>
      <c r="I125" s="36"/>
      <c r="J125" s="48"/>
      <c r="K125" s="36"/>
      <c r="L125" s="36" t="s">
        <v>123</v>
      </c>
      <c r="M125" s="36"/>
      <c r="N125" s="36"/>
      <c r="O125" s="101"/>
      <c r="P125" s="81"/>
      <c r="Q125" s="36"/>
      <c r="R125" s="36"/>
      <c r="S125" s="36"/>
      <c r="T125" s="81" t="s">
        <v>0</v>
      </c>
      <c r="U125" s="81" t="s">
        <v>0</v>
      </c>
      <c r="V125" s="36"/>
      <c r="W125" s="36"/>
      <c r="X125" s="36"/>
      <c r="Y125" s="36" t="s">
        <v>326</v>
      </c>
      <c r="Z125" s="81"/>
      <c r="AA125" s="54"/>
      <c r="AB125" s="81"/>
      <c r="AC125" s="81"/>
      <c r="AD125" s="36"/>
      <c r="AE125" s="81"/>
      <c r="AF125" s="81"/>
      <c r="AG125" s="48"/>
      <c r="AH125" s="134" t="str">
        <f t="shared" si="8"/>
        <v/>
      </c>
      <c r="AI125" s="134"/>
      <c r="AJ125" s="48"/>
      <c r="AK125" s="134" t="str">
        <f t="shared" si="9"/>
        <v/>
      </c>
      <c r="AL125" s="94" t="s">
        <v>82</v>
      </c>
      <c r="AM125" s="78"/>
      <c r="AN125" s="78"/>
      <c r="AO125" s="190"/>
      <c r="AP125" s="136" t="str">
        <f t="shared" si="15"/>
        <v/>
      </c>
      <c r="AQ125" s="127"/>
      <c r="AR125" s="23"/>
      <c r="AS125" s="94"/>
      <c r="AT125" s="136"/>
      <c r="AU125" s="70" t="str">
        <f t="shared" si="12"/>
        <v/>
      </c>
      <c r="AV125" s="70" t="s">
        <v>68</v>
      </c>
    </row>
    <row r="126" spans="1:48" s="136" customFormat="1" ht="19.5" hidden="1" customHeight="1" x14ac:dyDescent="0.2">
      <c r="A126" s="86">
        <v>20102</v>
      </c>
      <c r="B126" s="3" t="s">
        <v>1011</v>
      </c>
      <c r="C126" s="3" t="s">
        <v>1012</v>
      </c>
      <c r="D126" s="86"/>
      <c r="E126" s="36" t="s">
        <v>94</v>
      </c>
      <c r="F126" s="48">
        <v>31987</v>
      </c>
      <c r="G126" s="36"/>
      <c r="H126" s="81" t="s">
        <v>120</v>
      </c>
      <c r="I126" s="36" t="s">
        <v>1013</v>
      </c>
      <c r="J126" s="48">
        <v>39879</v>
      </c>
      <c r="K126" s="36" t="s">
        <v>120</v>
      </c>
      <c r="L126" s="36" t="s">
        <v>318</v>
      </c>
      <c r="M126" s="36" t="s">
        <v>448</v>
      </c>
      <c r="N126" s="36" t="s">
        <v>320</v>
      </c>
      <c r="O126" s="101"/>
      <c r="P126" s="159">
        <v>0</v>
      </c>
      <c r="Q126" s="36"/>
      <c r="R126" s="36" t="s">
        <v>1014</v>
      </c>
      <c r="S126" s="36"/>
      <c r="T126" s="81"/>
      <c r="U126" s="81" t="s">
        <v>1015</v>
      </c>
      <c r="V126" s="36"/>
      <c r="W126" s="36"/>
      <c r="X126" s="36"/>
      <c r="Y126" s="36" t="s">
        <v>284</v>
      </c>
      <c r="Z126" s="81"/>
      <c r="AA126" s="54"/>
      <c r="AB126" s="81" t="s">
        <v>285</v>
      </c>
      <c r="AC126" s="81" t="s">
        <v>236</v>
      </c>
      <c r="AD126" s="36"/>
      <c r="AE126" s="81"/>
      <c r="AF126" s="81" t="s">
        <v>65</v>
      </c>
      <c r="AG126" s="48"/>
      <c r="AH126" s="134" t="str">
        <f t="shared" si="8"/>
        <v/>
      </c>
      <c r="AI126" s="134"/>
      <c r="AJ126" s="48"/>
      <c r="AK126" s="134" t="str">
        <f t="shared" si="9"/>
        <v/>
      </c>
      <c r="AL126" s="54" t="s">
        <v>82</v>
      </c>
      <c r="AM126" s="54"/>
      <c r="AN126" s="54"/>
      <c r="AO126" s="190"/>
      <c r="AP126" s="136" t="str">
        <f t="shared" si="15"/>
        <v/>
      </c>
      <c r="AQ126" s="123"/>
      <c r="AR126" s="23"/>
      <c r="AS126" s="54"/>
      <c r="AT126" s="184"/>
      <c r="AU126" s="70">
        <f t="shared" si="12"/>
        <v>7</v>
      </c>
      <c r="AV126" s="70" t="s">
        <v>68</v>
      </c>
    </row>
    <row r="127" spans="1:48" s="136" customFormat="1" ht="19.5" hidden="1" customHeight="1" x14ac:dyDescent="0.2">
      <c r="A127" s="86">
        <v>20103</v>
      </c>
      <c r="B127" s="3" t="s">
        <v>1016</v>
      </c>
      <c r="C127" s="3" t="s">
        <v>1017</v>
      </c>
      <c r="D127" s="86"/>
      <c r="E127" s="36" t="s">
        <v>94</v>
      </c>
      <c r="F127" s="48">
        <v>29773</v>
      </c>
      <c r="G127" s="36" t="s">
        <v>52</v>
      </c>
      <c r="H127" s="81" t="s">
        <v>53</v>
      </c>
      <c r="I127" s="36"/>
      <c r="J127" s="48"/>
      <c r="K127" s="36"/>
      <c r="L127" s="36" t="s">
        <v>123</v>
      </c>
      <c r="M127" s="36" t="s">
        <v>1018</v>
      </c>
      <c r="N127" s="36"/>
      <c r="O127" s="101"/>
      <c r="P127" s="81" t="s">
        <v>1019</v>
      </c>
      <c r="Q127" s="36"/>
      <c r="R127" s="36" t="s">
        <v>1020</v>
      </c>
      <c r="S127" s="36"/>
      <c r="T127" s="81" t="s">
        <v>1021</v>
      </c>
      <c r="U127" s="81" t="s">
        <v>1022</v>
      </c>
      <c r="V127" s="36"/>
      <c r="W127" s="36"/>
      <c r="X127" s="36"/>
      <c r="Y127" s="36" t="s">
        <v>284</v>
      </c>
      <c r="Z127" s="81"/>
      <c r="AA127" s="54"/>
      <c r="AB127" s="81" t="s">
        <v>285</v>
      </c>
      <c r="AC127" s="81" t="s">
        <v>236</v>
      </c>
      <c r="AD127" s="36" t="s">
        <v>629</v>
      </c>
      <c r="AE127" s="81"/>
      <c r="AF127" s="81" t="s">
        <v>65</v>
      </c>
      <c r="AG127" s="48"/>
      <c r="AH127" s="134" t="str">
        <f t="shared" si="8"/>
        <v/>
      </c>
      <c r="AI127" s="134"/>
      <c r="AJ127" s="48"/>
      <c r="AK127" s="134" t="str">
        <f t="shared" si="9"/>
        <v/>
      </c>
      <c r="AL127" s="94" t="s">
        <v>82</v>
      </c>
      <c r="AM127" s="78"/>
      <c r="AN127" s="78"/>
      <c r="AO127" s="190">
        <v>40952</v>
      </c>
      <c r="AP127" s="136">
        <f t="shared" si="15"/>
        <v>2</v>
      </c>
      <c r="AQ127" s="127"/>
      <c r="AR127" s="23"/>
      <c r="AS127" s="94"/>
      <c r="AT127" s="158"/>
      <c r="AU127" s="70">
        <f t="shared" si="12"/>
        <v>7</v>
      </c>
      <c r="AV127" s="70" t="s">
        <v>68</v>
      </c>
    </row>
    <row r="128" spans="1:48" s="136" customFormat="1" ht="19.5" hidden="1" customHeight="1" x14ac:dyDescent="0.2">
      <c r="A128" s="86">
        <v>20104</v>
      </c>
      <c r="B128" s="3" t="s">
        <v>1023</v>
      </c>
      <c r="C128" s="3" t="s">
        <v>1024</v>
      </c>
      <c r="D128" s="86"/>
      <c r="E128" s="36" t="s">
        <v>51</v>
      </c>
      <c r="F128" s="48">
        <v>29498</v>
      </c>
      <c r="G128" s="36" t="s">
        <v>132</v>
      </c>
      <c r="H128" s="81" t="s">
        <v>133</v>
      </c>
      <c r="I128" s="36" t="s">
        <v>1025</v>
      </c>
      <c r="J128" s="48">
        <v>39424</v>
      </c>
      <c r="K128" s="36" t="s">
        <v>132</v>
      </c>
      <c r="L128" s="36" t="s">
        <v>123</v>
      </c>
      <c r="M128" s="36" t="s">
        <v>96</v>
      </c>
      <c r="N128" s="36" t="s">
        <v>368</v>
      </c>
      <c r="O128" s="101"/>
      <c r="P128" s="81" t="s">
        <v>1026</v>
      </c>
      <c r="Q128" s="36"/>
      <c r="R128" s="36" t="s">
        <v>1027</v>
      </c>
      <c r="S128" s="36"/>
      <c r="T128" s="81" t="s">
        <v>1028</v>
      </c>
      <c r="U128" s="81" t="s">
        <v>1029</v>
      </c>
      <c r="V128" s="36"/>
      <c r="W128" s="36"/>
      <c r="X128" s="36"/>
      <c r="Y128" s="36" t="s">
        <v>180</v>
      </c>
      <c r="Z128" s="81"/>
      <c r="AA128" s="54"/>
      <c r="AB128" s="81" t="s">
        <v>103</v>
      </c>
      <c r="AC128" s="81" t="s">
        <v>63</v>
      </c>
      <c r="AD128" s="36" t="s">
        <v>230</v>
      </c>
      <c r="AE128" s="81"/>
      <c r="AF128" s="81" t="s">
        <v>65</v>
      </c>
      <c r="AG128" s="48"/>
      <c r="AH128" s="134" t="str">
        <f t="shared" si="8"/>
        <v/>
      </c>
      <c r="AI128" s="134"/>
      <c r="AJ128" s="48">
        <v>40028</v>
      </c>
      <c r="AK128" s="134">
        <f t="shared" si="9"/>
        <v>8</v>
      </c>
      <c r="AL128" s="94" t="s">
        <v>82</v>
      </c>
      <c r="AM128" s="78"/>
      <c r="AN128" s="78"/>
      <c r="AO128" s="190">
        <v>40702</v>
      </c>
      <c r="AP128" s="136">
        <f t="shared" si="15"/>
        <v>6</v>
      </c>
      <c r="AQ128" s="127"/>
      <c r="AR128" s="23"/>
      <c r="AS128" s="94"/>
      <c r="AT128" s="158"/>
      <c r="AU128" s="70">
        <f t="shared" si="12"/>
        <v>10</v>
      </c>
      <c r="AV128" s="70" t="s">
        <v>68</v>
      </c>
    </row>
    <row r="129" spans="1:48" s="136" customFormat="1" ht="38.25" hidden="1" x14ac:dyDescent="0.2">
      <c r="A129" s="86">
        <v>20105</v>
      </c>
      <c r="B129" s="3" t="s">
        <v>1030</v>
      </c>
      <c r="C129" s="3" t="s">
        <v>1031</v>
      </c>
      <c r="D129" s="86"/>
      <c r="E129" s="36" t="s">
        <v>94</v>
      </c>
      <c r="F129" s="48">
        <v>27972</v>
      </c>
      <c r="G129" s="36" t="s">
        <v>52</v>
      </c>
      <c r="H129" s="81" t="s">
        <v>53</v>
      </c>
      <c r="I129" s="36" t="s">
        <v>1032</v>
      </c>
      <c r="J129" s="48">
        <v>38106</v>
      </c>
      <c r="K129" s="36" t="s">
        <v>1033</v>
      </c>
      <c r="L129" s="36" t="s">
        <v>123</v>
      </c>
      <c r="M129" s="36" t="s">
        <v>96</v>
      </c>
      <c r="N129" s="36"/>
      <c r="O129" s="101"/>
      <c r="P129" s="81"/>
      <c r="Q129" s="36" t="s">
        <v>1034</v>
      </c>
      <c r="R129" s="36" t="s">
        <v>1035</v>
      </c>
      <c r="S129" s="36"/>
      <c r="T129" s="81" t="s">
        <v>1036</v>
      </c>
      <c r="U129" s="81" t="s">
        <v>1036</v>
      </c>
      <c r="V129" s="36"/>
      <c r="W129" s="36"/>
      <c r="X129" s="36"/>
      <c r="Y129" s="36"/>
      <c r="Z129" s="81"/>
      <c r="AA129" s="54"/>
      <c r="AB129" s="81"/>
      <c r="AC129" s="81"/>
      <c r="AD129" s="36"/>
      <c r="AE129" s="81"/>
      <c r="AF129" s="81" t="s">
        <v>65</v>
      </c>
      <c r="AG129" s="48"/>
      <c r="AH129" s="134" t="str">
        <f t="shared" si="8"/>
        <v/>
      </c>
      <c r="AI129" s="134"/>
      <c r="AJ129" s="48"/>
      <c r="AK129" s="134" t="str">
        <f t="shared" si="9"/>
        <v/>
      </c>
      <c r="AL129" s="94" t="s">
        <v>82</v>
      </c>
      <c r="AM129" s="78"/>
      <c r="AN129" s="78"/>
      <c r="AO129" s="190">
        <v>40179</v>
      </c>
      <c r="AP129" s="136">
        <f t="shared" si="15"/>
        <v>1</v>
      </c>
      <c r="AQ129" s="127"/>
      <c r="AR129" s="23"/>
      <c r="AS129" s="94"/>
      <c r="AT129" s="194"/>
      <c r="AU129" s="70">
        <f t="shared" si="12"/>
        <v>7</v>
      </c>
      <c r="AV129" s="70" t="s">
        <v>68</v>
      </c>
    </row>
    <row r="130" spans="1:48" ht="38.25" hidden="1" x14ac:dyDescent="0.2">
      <c r="A130" s="86">
        <v>20106</v>
      </c>
      <c r="B130" s="3" t="s">
        <v>1037</v>
      </c>
      <c r="C130" s="3" t="s">
        <v>131</v>
      </c>
      <c r="D130" s="86"/>
      <c r="E130" s="36" t="s">
        <v>94</v>
      </c>
      <c r="F130" s="48">
        <v>31692</v>
      </c>
      <c r="G130" s="36" t="s">
        <v>52</v>
      </c>
      <c r="H130" s="81" t="s">
        <v>53</v>
      </c>
      <c r="I130" s="36" t="s">
        <v>1038</v>
      </c>
      <c r="J130" s="48">
        <v>37481</v>
      </c>
      <c r="K130" s="36" t="s">
        <v>52</v>
      </c>
      <c r="L130" s="36" t="s">
        <v>123</v>
      </c>
      <c r="M130" s="36" t="s">
        <v>632</v>
      </c>
      <c r="N130" s="36"/>
      <c r="O130" s="101"/>
      <c r="P130" s="81" t="s">
        <v>1039</v>
      </c>
      <c r="Q130" s="36" t="s">
        <v>1040</v>
      </c>
      <c r="R130" s="36" t="s">
        <v>1041</v>
      </c>
      <c r="S130" s="36"/>
      <c r="T130" s="81" t="s">
        <v>1042</v>
      </c>
      <c r="U130" s="81" t="s">
        <v>1043</v>
      </c>
      <c r="V130" s="36"/>
      <c r="W130" s="36"/>
      <c r="X130" s="36"/>
      <c r="Y130" s="36" t="s">
        <v>284</v>
      </c>
      <c r="Z130" s="81"/>
      <c r="AA130" s="54"/>
      <c r="AB130" s="81" t="s">
        <v>285</v>
      </c>
      <c r="AC130" s="81" t="s">
        <v>236</v>
      </c>
      <c r="AD130" s="36" t="s">
        <v>629</v>
      </c>
      <c r="AE130" s="81"/>
      <c r="AF130" s="81" t="s">
        <v>65</v>
      </c>
      <c r="AG130" s="48"/>
      <c r="AH130" s="134" t="str">
        <f t="shared" si="8"/>
        <v/>
      </c>
      <c r="AI130" s="134"/>
      <c r="AJ130" s="48">
        <v>40032</v>
      </c>
      <c r="AK130" s="134">
        <f t="shared" si="9"/>
        <v>8</v>
      </c>
      <c r="AL130" s="94" t="s">
        <v>82</v>
      </c>
      <c r="AM130" s="78"/>
      <c r="AN130" s="78"/>
      <c r="AO130" s="190">
        <v>40617</v>
      </c>
      <c r="AP130" s="136">
        <f t="shared" si="15"/>
        <v>3</v>
      </c>
      <c r="AQ130" s="127"/>
      <c r="AR130" s="23"/>
      <c r="AS130" s="94"/>
      <c r="AT130" s="136"/>
      <c r="AU130" s="70">
        <f t="shared" si="12"/>
        <v>10</v>
      </c>
      <c r="AV130" s="70" t="s">
        <v>68</v>
      </c>
    </row>
    <row r="131" spans="1:48" ht="25.5" hidden="1" x14ac:dyDescent="0.2">
      <c r="A131" s="86">
        <v>20107</v>
      </c>
      <c r="B131" s="3" t="s">
        <v>1044</v>
      </c>
      <c r="C131" s="3" t="s">
        <v>685</v>
      </c>
      <c r="D131" s="86"/>
      <c r="E131" s="36" t="s">
        <v>94</v>
      </c>
      <c r="F131" s="48">
        <v>31520</v>
      </c>
      <c r="G131" s="36" t="s">
        <v>1045</v>
      </c>
      <c r="H131" s="81" t="s">
        <v>1046</v>
      </c>
      <c r="I131" s="36" t="s">
        <v>1047</v>
      </c>
      <c r="J131" s="48">
        <v>39941</v>
      </c>
      <c r="K131" s="36" t="s">
        <v>52</v>
      </c>
      <c r="L131" s="36" t="s">
        <v>123</v>
      </c>
      <c r="M131" s="36" t="s">
        <v>1048</v>
      </c>
      <c r="N131" s="36" t="s">
        <v>368</v>
      </c>
      <c r="O131" s="101"/>
      <c r="P131" s="81" t="s">
        <v>1049</v>
      </c>
      <c r="Q131" s="36"/>
      <c r="R131" s="36" t="s">
        <v>1050</v>
      </c>
      <c r="S131" s="36"/>
      <c r="T131" s="81" t="s">
        <v>1051</v>
      </c>
      <c r="U131" s="81" t="s">
        <v>1051</v>
      </c>
      <c r="V131" s="36"/>
      <c r="W131" s="36"/>
      <c r="X131" s="36"/>
      <c r="Y131" s="36" t="s">
        <v>206</v>
      </c>
      <c r="Z131" s="81"/>
      <c r="AA131" s="54"/>
      <c r="AB131" s="81">
        <v>3</v>
      </c>
      <c r="AC131" s="81" t="s">
        <v>63</v>
      </c>
      <c r="AD131" s="36" t="s">
        <v>629</v>
      </c>
      <c r="AE131" s="81"/>
      <c r="AF131" s="81" t="s">
        <v>65</v>
      </c>
      <c r="AG131" s="48"/>
      <c r="AH131" s="134" t="str">
        <f t="shared" ref="AH131:AH194" si="16">IF((AG131=""),"",MONTH(AG131))</f>
        <v/>
      </c>
      <c r="AI131" s="134"/>
      <c r="AJ131" s="48">
        <v>40035</v>
      </c>
      <c r="AK131" s="134">
        <f t="shared" ref="AK131:AK194" si="17">IF((AJ131=""),"",MONTH(AJ131))</f>
        <v>8</v>
      </c>
      <c r="AL131" s="94" t="s">
        <v>82</v>
      </c>
      <c r="AM131" s="78"/>
      <c r="AN131" s="78"/>
      <c r="AO131" s="190">
        <v>40707</v>
      </c>
      <c r="AP131" s="136">
        <f t="shared" si="15"/>
        <v>6</v>
      </c>
      <c r="AQ131" s="127"/>
      <c r="AR131" s="23"/>
      <c r="AS131" s="94"/>
      <c r="AT131" s="136"/>
      <c r="AU131" s="70">
        <f t="shared" si="12"/>
        <v>4</v>
      </c>
      <c r="AV131" s="70" t="s">
        <v>68</v>
      </c>
    </row>
    <row r="132" spans="1:48" s="136" customFormat="1" ht="12.75" hidden="1" x14ac:dyDescent="0.2">
      <c r="A132" s="86">
        <v>20108</v>
      </c>
      <c r="B132" s="3" t="s">
        <v>265</v>
      </c>
      <c r="C132" s="3" t="s">
        <v>893</v>
      </c>
      <c r="D132" s="86"/>
      <c r="E132" s="36" t="s">
        <v>94</v>
      </c>
      <c r="F132" s="48">
        <v>30678</v>
      </c>
      <c r="G132" s="36" t="s">
        <v>303</v>
      </c>
      <c r="H132" s="81" t="s">
        <v>304</v>
      </c>
      <c r="I132" s="36" t="s">
        <v>1052</v>
      </c>
      <c r="J132" s="48">
        <v>38093</v>
      </c>
      <c r="K132" s="36" t="s">
        <v>303</v>
      </c>
      <c r="L132" s="36" t="s">
        <v>123</v>
      </c>
      <c r="M132" s="36" t="s">
        <v>135</v>
      </c>
      <c r="N132" s="36"/>
      <c r="O132" s="101"/>
      <c r="P132" s="81"/>
      <c r="Q132" s="36" t="s">
        <v>1053</v>
      </c>
      <c r="R132" s="36"/>
      <c r="S132" s="36"/>
      <c r="T132" s="81" t="s">
        <v>1054</v>
      </c>
      <c r="U132" s="81" t="s">
        <v>1055</v>
      </c>
      <c r="V132" s="36"/>
      <c r="W132" s="36"/>
      <c r="X132" s="36"/>
      <c r="Y132" s="36"/>
      <c r="Z132" s="81"/>
      <c r="AA132" s="54"/>
      <c r="AB132" s="81"/>
      <c r="AC132" s="81"/>
      <c r="AD132" s="36"/>
      <c r="AE132" s="81"/>
      <c r="AF132" s="81" t="s">
        <v>65</v>
      </c>
      <c r="AG132" s="48"/>
      <c r="AH132" s="134" t="str">
        <f t="shared" si="16"/>
        <v/>
      </c>
      <c r="AI132" s="134"/>
      <c r="AJ132" s="48"/>
      <c r="AK132" s="134" t="str">
        <f t="shared" si="17"/>
        <v/>
      </c>
      <c r="AL132" s="94" t="s">
        <v>82</v>
      </c>
      <c r="AM132" s="78"/>
      <c r="AN132" s="78"/>
      <c r="AO132" s="190"/>
      <c r="AP132" s="136" t="str">
        <f t="shared" si="15"/>
        <v/>
      </c>
      <c r="AQ132" s="127"/>
      <c r="AR132" s="23"/>
      <c r="AS132" s="94"/>
      <c r="AT132" s="184"/>
      <c r="AU132" s="70">
        <f t="shared" si="12"/>
        <v>12</v>
      </c>
      <c r="AV132" s="70" t="s">
        <v>68</v>
      </c>
    </row>
    <row r="133" spans="1:48" s="136" customFormat="1" ht="19.5" hidden="1" customHeight="1" x14ac:dyDescent="0.2">
      <c r="A133" s="86">
        <v>20109</v>
      </c>
      <c r="B133" s="3" t="s">
        <v>1056</v>
      </c>
      <c r="C133" s="3" t="s">
        <v>1012</v>
      </c>
      <c r="D133" s="86"/>
      <c r="E133" s="36" t="s">
        <v>94</v>
      </c>
      <c r="F133" s="48">
        <v>30950</v>
      </c>
      <c r="G133" s="36" t="s">
        <v>303</v>
      </c>
      <c r="H133" s="81" t="s">
        <v>304</v>
      </c>
      <c r="I133" s="36" t="s">
        <v>1057</v>
      </c>
      <c r="J133" s="48">
        <v>39847</v>
      </c>
      <c r="K133" s="36" t="s">
        <v>231</v>
      </c>
      <c r="L133" s="36" t="s">
        <v>123</v>
      </c>
      <c r="M133" s="36" t="s">
        <v>543</v>
      </c>
      <c r="N133" s="36"/>
      <c r="O133" s="101"/>
      <c r="P133" s="81"/>
      <c r="Q133" s="36"/>
      <c r="R133" s="36" t="s">
        <v>1058</v>
      </c>
      <c r="S133" s="36"/>
      <c r="T133" s="81" t="s">
        <v>1059</v>
      </c>
      <c r="U133" s="81" t="s">
        <v>1060</v>
      </c>
      <c r="V133" s="36"/>
      <c r="W133" s="36"/>
      <c r="X133" s="36"/>
      <c r="Y133" s="36"/>
      <c r="Z133" s="81"/>
      <c r="AA133" s="54"/>
      <c r="AB133" s="81" t="s">
        <v>285</v>
      </c>
      <c r="AC133" s="81" t="s">
        <v>236</v>
      </c>
      <c r="AD133" s="36"/>
      <c r="AE133" s="81"/>
      <c r="AF133" s="81" t="s">
        <v>65</v>
      </c>
      <c r="AG133" s="48"/>
      <c r="AH133" s="134" t="str">
        <f t="shared" si="16"/>
        <v/>
      </c>
      <c r="AI133" s="134"/>
      <c r="AJ133" s="48"/>
      <c r="AK133" s="134" t="str">
        <f t="shared" si="17"/>
        <v/>
      </c>
      <c r="AL133" s="94" t="s">
        <v>82</v>
      </c>
      <c r="AM133" s="78"/>
      <c r="AN133" s="78"/>
      <c r="AO133" s="190"/>
      <c r="AP133" s="136" t="str">
        <f t="shared" si="15"/>
        <v/>
      </c>
      <c r="AQ133" s="127"/>
      <c r="AR133" s="23"/>
      <c r="AS133" s="94"/>
      <c r="AT133" s="158"/>
      <c r="AU133" s="70">
        <f t="shared" si="12"/>
        <v>9</v>
      </c>
      <c r="AV133" s="70" t="s">
        <v>68</v>
      </c>
    </row>
    <row r="134" spans="1:48" s="136" customFormat="1" ht="25.5" hidden="1" x14ac:dyDescent="0.2">
      <c r="A134" s="86">
        <v>20110</v>
      </c>
      <c r="B134" s="3" t="s">
        <v>848</v>
      </c>
      <c r="C134" s="3" t="s">
        <v>685</v>
      </c>
      <c r="D134" s="86"/>
      <c r="E134" s="36" t="s">
        <v>94</v>
      </c>
      <c r="F134" s="48">
        <v>31362</v>
      </c>
      <c r="G134" s="36" t="s">
        <v>52</v>
      </c>
      <c r="H134" s="81" t="s">
        <v>53</v>
      </c>
      <c r="I134" s="36" t="s">
        <v>1061</v>
      </c>
      <c r="J134" s="48">
        <v>36763</v>
      </c>
      <c r="K134" s="36" t="s">
        <v>52</v>
      </c>
      <c r="L134" s="36" t="s">
        <v>123</v>
      </c>
      <c r="M134" s="36" t="s">
        <v>468</v>
      </c>
      <c r="N134" s="36" t="s">
        <v>1062</v>
      </c>
      <c r="O134" s="101"/>
      <c r="P134" s="81" t="s">
        <v>1063</v>
      </c>
      <c r="Q134" s="36" t="s">
        <v>1064</v>
      </c>
      <c r="R134" s="36" t="s">
        <v>1065</v>
      </c>
      <c r="S134" s="36"/>
      <c r="T134" s="81" t="s">
        <v>1066</v>
      </c>
      <c r="U134" s="81" t="s">
        <v>1066</v>
      </c>
      <c r="V134" s="36"/>
      <c r="W134" s="36"/>
      <c r="X134" s="36"/>
      <c r="Y134" s="36" t="s">
        <v>284</v>
      </c>
      <c r="Z134" s="81"/>
      <c r="AA134" s="54"/>
      <c r="AB134" s="81" t="s">
        <v>285</v>
      </c>
      <c r="AC134" s="81" t="s">
        <v>236</v>
      </c>
      <c r="AD134" s="36" t="s">
        <v>1067</v>
      </c>
      <c r="AE134" s="81" t="s">
        <v>1068</v>
      </c>
      <c r="AF134" s="81" t="s">
        <v>65</v>
      </c>
      <c r="AG134" s="48">
        <v>40042</v>
      </c>
      <c r="AH134" s="134">
        <f t="shared" si="16"/>
        <v>8</v>
      </c>
      <c r="AI134" s="134"/>
      <c r="AJ134" s="48">
        <v>40042</v>
      </c>
      <c r="AK134" s="134">
        <f t="shared" si="17"/>
        <v>8</v>
      </c>
      <c r="AL134" s="94" t="s">
        <v>82</v>
      </c>
      <c r="AM134" s="78"/>
      <c r="AN134" s="78"/>
      <c r="AO134" s="190">
        <v>41364</v>
      </c>
      <c r="AP134" s="136">
        <f t="shared" si="15"/>
        <v>3</v>
      </c>
      <c r="AQ134" s="127" t="s">
        <v>1069</v>
      </c>
      <c r="AR134" s="23"/>
      <c r="AS134" s="94"/>
      <c r="AT134" s="158"/>
      <c r="AU134" s="70">
        <f t="shared" si="12"/>
        <v>11</v>
      </c>
      <c r="AV134" s="70" t="s">
        <v>68</v>
      </c>
    </row>
    <row r="135" spans="1:48" s="136" customFormat="1" ht="19.5" hidden="1" customHeight="1" x14ac:dyDescent="0.2">
      <c r="A135" s="86">
        <v>20111</v>
      </c>
      <c r="B135" s="3" t="s">
        <v>1070</v>
      </c>
      <c r="C135" s="3" t="s">
        <v>1017</v>
      </c>
      <c r="D135" s="86"/>
      <c r="E135" s="36" t="s">
        <v>94</v>
      </c>
      <c r="F135" s="48">
        <v>30630</v>
      </c>
      <c r="G135" s="36" t="s">
        <v>52</v>
      </c>
      <c r="H135" s="81" t="s">
        <v>53</v>
      </c>
      <c r="I135" s="36" t="s">
        <v>1071</v>
      </c>
      <c r="J135" s="48"/>
      <c r="K135" s="36" t="s">
        <v>52</v>
      </c>
      <c r="L135" s="36" t="s">
        <v>341</v>
      </c>
      <c r="M135" s="36" t="s">
        <v>468</v>
      </c>
      <c r="N135" s="36"/>
      <c r="O135" s="101"/>
      <c r="P135" s="81"/>
      <c r="Q135" s="36"/>
      <c r="R135" s="36" t="s">
        <v>1072</v>
      </c>
      <c r="S135" s="36"/>
      <c r="T135" s="81" t="s">
        <v>1073</v>
      </c>
      <c r="U135" s="81" t="s">
        <v>1073</v>
      </c>
      <c r="V135" s="36"/>
      <c r="W135" s="36"/>
      <c r="X135" s="36"/>
      <c r="Y135" s="36"/>
      <c r="Z135" s="81"/>
      <c r="AA135" s="54"/>
      <c r="AB135" s="81"/>
      <c r="AC135" s="81" t="s">
        <v>236</v>
      </c>
      <c r="AD135" s="36"/>
      <c r="AE135" s="81"/>
      <c r="AF135" s="81" t="s">
        <v>65</v>
      </c>
      <c r="AG135" s="48"/>
      <c r="AH135" s="134" t="str">
        <f t="shared" si="16"/>
        <v/>
      </c>
      <c r="AI135" s="134"/>
      <c r="AJ135" s="48"/>
      <c r="AK135" s="134" t="str">
        <f t="shared" si="17"/>
        <v/>
      </c>
      <c r="AL135" s="94" t="s">
        <v>82</v>
      </c>
      <c r="AM135" s="78"/>
      <c r="AN135" s="78"/>
      <c r="AO135" s="190"/>
      <c r="AP135" s="136" t="str">
        <f t="shared" si="15"/>
        <v/>
      </c>
      <c r="AQ135" s="127"/>
      <c r="AR135" s="23"/>
      <c r="AS135" s="94"/>
      <c r="AT135" s="158"/>
      <c r="AU135" s="70">
        <f t="shared" si="12"/>
        <v>11</v>
      </c>
      <c r="AV135" s="70" t="s">
        <v>68</v>
      </c>
    </row>
    <row r="136" spans="1:48" s="136" customFormat="1" ht="12.75" hidden="1" x14ac:dyDescent="0.2">
      <c r="A136" s="86">
        <v>20112</v>
      </c>
      <c r="B136" s="3" t="s">
        <v>1074</v>
      </c>
      <c r="C136" s="3" t="s">
        <v>1075</v>
      </c>
      <c r="D136" s="86"/>
      <c r="E136" s="36" t="s">
        <v>94</v>
      </c>
      <c r="F136" s="48"/>
      <c r="G136" s="36"/>
      <c r="H136" s="81" t="s">
        <v>0</v>
      </c>
      <c r="I136" s="36"/>
      <c r="J136" s="48"/>
      <c r="K136" s="36"/>
      <c r="L136" s="36" t="s">
        <v>123</v>
      </c>
      <c r="M136" s="36"/>
      <c r="N136" s="36"/>
      <c r="O136" s="101"/>
      <c r="P136" s="81"/>
      <c r="Q136" s="36"/>
      <c r="R136" s="36"/>
      <c r="S136" s="36"/>
      <c r="T136" s="81" t="s">
        <v>0</v>
      </c>
      <c r="U136" s="81" t="s">
        <v>0</v>
      </c>
      <c r="V136" s="36"/>
      <c r="W136" s="36"/>
      <c r="X136" s="36"/>
      <c r="Y136" s="36" t="s">
        <v>326</v>
      </c>
      <c r="Z136" s="81"/>
      <c r="AA136" s="54"/>
      <c r="AB136" s="81"/>
      <c r="AC136" s="81"/>
      <c r="AD136" s="36"/>
      <c r="AE136" s="81"/>
      <c r="AF136" s="81"/>
      <c r="AG136" s="48"/>
      <c r="AH136" s="134" t="str">
        <f t="shared" si="16"/>
        <v/>
      </c>
      <c r="AI136" s="134"/>
      <c r="AJ136" s="48"/>
      <c r="AK136" s="134" t="str">
        <f t="shared" si="17"/>
        <v/>
      </c>
      <c r="AL136" s="94" t="s">
        <v>82</v>
      </c>
      <c r="AM136" s="78"/>
      <c r="AN136" s="78"/>
      <c r="AO136" s="190"/>
      <c r="AP136" s="136" t="str">
        <f t="shared" si="15"/>
        <v/>
      </c>
      <c r="AQ136" s="127"/>
      <c r="AR136" s="23"/>
      <c r="AS136" s="94"/>
      <c r="AT136" s="158"/>
      <c r="AU136" s="70" t="str">
        <f t="shared" si="12"/>
        <v/>
      </c>
      <c r="AV136" s="70" t="s">
        <v>68</v>
      </c>
    </row>
    <row r="137" spans="1:48" s="136" customFormat="1" ht="19.5" hidden="1" customHeight="1" x14ac:dyDescent="0.2">
      <c r="A137" s="87">
        <v>20113</v>
      </c>
      <c r="B137" s="80" t="s">
        <v>1076</v>
      </c>
      <c r="C137" s="80" t="s">
        <v>84</v>
      </c>
      <c r="D137" s="87"/>
      <c r="E137" s="123" t="s">
        <v>51</v>
      </c>
      <c r="F137" s="140">
        <v>30177</v>
      </c>
      <c r="G137" s="123" t="s">
        <v>52</v>
      </c>
      <c r="H137" s="54" t="s">
        <v>53</v>
      </c>
      <c r="I137" s="123" t="s">
        <v>1077</v>
      </c>
      <c r="J137" s="140">
        <v>40077</v>
      </c>
      <c r="K137" s="123" t="s">
        <v>52</v>
      </c>
      <c r="L137" s="123" t="s">
        <v>123</v>
      </c>
      <c r="M137" s="123" t="s">
        <v>124</v>
      </c>
      <c r="N137" s="123"/>
      <c r="O137" s="106"/>
      <c r="P137" s="54" t="s">
        <v>1078</v>
      </c>
      <c r="Q137" s="123"/>
      <c r="R137" s="123" t="s">
        <v>1079</v>
      </c>
      <c r="S137" s="123"/>
      <c r="T137" s="54" t="s">
        <v>1080</v>
      </c>
      <c r="U137" s="54" t="s">
        <v>1080</v>
      </c>
      <c r="V137" s="123"/>
      <c r="W137" s="123"/>
      <c r="X137" s="123"/>
      <c r="Y137" s="123" t="s">
        <v>360</v>
      </c>
      <c r="Z137" s="54"/>
      <c r="AA137" s="54"/>
      <c r="AB137" s="54" t="s">
        <v>1081</v>
      </c>
      <c r="AC137" s="54" t="s">
        <v>63</v>
      </c>
      <c r="AD137" s="123" t="s">
        <v>104</v>
      </c>
      <c r="AE137" s="54"/>
      <c r="AF137" s="54" t="s">
        <v>65</v>
      </c>
      <c r="AG137" s="140">
        <v>40049</v>
      </c>
      <c r="AH137" s="65">
        <f t="shared" si="16"/>
        <v>8</v>
      </c>
      <c r="AI137" s="65"/>
      <c r="AJ137" s="140">
        <v>40049</v>
      </c>
      <c r="AK137" s="65">
        <f t="shared" si="17"/>
        <v>8</v>
      </c>
      <c r="AL137" s="54" t="s">
        <v>66</v>
      </c>
      <c r="AM137" s="138"/>
      <c r="AN137" s="138"/>
      <c r="AO137" s="140"/>
      <c r="AP137" s="65" t="str">
        <f t="shared" si="15"/>
        <v/>
      </c>
      <c r="AQ137" s="123" t="s">
        <v>1082</v>
      </c>
      <c r="AR137" s="23"/>
      <c r="AS137" s="54" t="s">
        <v>107</v>
      </c>
      <c r="AT137" s="194"/>
      <c r="AU137" s="70">
        <f t="shared" si="12"/>
        <v>8</v>
      </c>
      <c r="AV137" s="70" t="s">
        <v>68</v>
      </c>
    </row>
    <row r="138" spans="1:48" ht="25.5" hidden="1" x14ac:dyDescent="0.2">
      <c r="A138" s="87">
        <v>20114</v>
      </c>
      <c r="B138" s="80" t="s">
        <v>1083</v>
      </c>
      <c r="C138" s="80" t="s">
        <v>711</v>
      </c>
      <c r="D138" s="87"/>
      <c r="E138" s="123" t="s">
        <v>94</v>
      </c>
      <c r="F138" s="140">
        <v>31082</v>
      </c>
      <c r="G138" s="123" t="s">
        <v>397</v>
      </c>
      <c r="H138" s="54" t="s">
        <v>398</v>
      </c>
      <c r="I138" s="123" t="s">
        <v>1084</v>
      </c>
      <c r="J138" s="140">
        <v>37364</v>
      </c>
      <c r="K138" s="123" t="s">
        <v>397</v>
      </c>
      <c r="L138" s="123" t="s">
        <v>341</v>
      </c>
      <c r="M138" s="123" t="s">
        <v>124</v>
      </c>
      <c r="N138" s="123" t="s">
        <v>1085</v>
      </c>
      <c r="O138" s="106"/>
      <c r="P138" s="54" t="s">
        <v>1086</v>
      </c>
      <c r="Q138" s="123"/>
      <c r="R138" s="123" t="s">
        <v>1087</v>
      </c>
      <c r="S138" s="123"/>
      <c r="T138" s="54" t="s">
        <v>1088</v>
      </c>
      <c r="U138" s="54" t="s">
        <v>1089</v>
      </c>
      <c r="V138" s="123"/>
      <c r="W138" s="123"/>
      <c r="X138" s="123"/>
      <c r="Y138" s="123" t="s">
        <v>206</v>
      </c>
      <c r="Z138" s="54"/>
      <c r="AA138" s="54"/>
      <c r="AB138" s="54">
        <v>3</v>
      </c>
      <c r="AC138" s="54" t="s">
        <v>63</v>
      </c>
      <c r="AD138" s="123" t="s">
        <v>129</v>
      </c>
      <c r="AE138" s="54" t="s">
        <v>1090</v>
      </c>
      <c r="AF138" s="54" t="s">
        <v>65</v>
      </c>
      <c r="AG138" s="140">
        <v>40049</v>
      </c>
      <c r="AH138" s="65">
        <f t="shared" si="16"/>
        <v>8</v>
      </c>
      <c r="AI138" s="65"/>
      <c r="AJ138" s="140">
        <v>40049</v>
      </c>
      <c r="AK138" s="65">
        <f t="shared" si="17"/>
        <v>8</v>
      </c>
      <c r="AL138" s="54" t="s">
        <v>66</v>
      </c>
      <c r="AM138" s="138"/>
      <c r="AN138" s="138"/>
      <c r="AO138" s="140"/>
      <c r="AP138" s="65" t="str">
        <f t="shared" si="15"/>
        <v/>
      </c>
      <c r="AQ138" s="123"/>
      <c r="AR138" s="23"/>
      <c r="AS138" s="54" t="s">
        <v>107</v>
      </c>
      <c r="AT138" s="136"/>
      <c r="AU138" s="70">
        <f t="shared" si="12"/>
        <v>2</v>
      </c>
      <c r="AV138" s="70" t="s">
        <v>68</v>
      </c>
    </row>
    <row r="139" spans="1:48" s="136" customFormat="1" ht="19.5" hidden="1" customHeight="1" x14ac:dyDescent="0.2">
      <c r="A139" s="86">
        <v>20115</v>
      </c>
      <c r="B139" s="3" t="s">
        <v>1091</v>
      </c>
      <c r="C139" s="3" t="s">
        <v>1092</v>
      </c>
      <c r="D139" s="86"/>
      <c r="E139" s="36" t="s">
        <v>51</v>
      </c>
      <c r="F139" s="48"/>
      <c r="G139" s="36"/>
      <c r="H139" s="81" t="s">
        <v>0</v>
      </c>
      <c r="I139" s="36"/>
      <c r="J139" s="48"/>
      <c r="K139" s="36"/>
      <c r="L139" s="36" t="s">
        <v>123</v>
      </c>
      <c r="M139" s="36"/>
      <c r="N139" s="36"/>
      <c r="O139" s="101"/>
      <c r="P139" s="81"/>
      <c r="Q139" s="36"/>
      <c r="R139" s="36"/>
      <c r="S139" s="36"/>
      <c r="T139" s="81" t="s">
        <v>0</v>
      </c>
      <c r="U139" s="81" t="s">
        <v>0</v>
      </c>
      <c r="V139" s="36"/>
      <c r="W139" s="36"/>
      <c r="X139" s="36"/>
      <c r="Y139" s="36" t="s">
        <v>326</v>
      </c>
      <c r="Z139" s="81"/>
      <c r="AA139" s="54"/>
      <c r="AB139" s="81"/>
      <c r="AC139" s="81"/>
      <c r="AD139" s="36"/>
      <c r="AE139" s="81"/>
      <c r="AF139" s="81"/>
      <c r="AG139" s="48"/>
      <c r="AH139" s="134" t="str">
        <f t="shared" si="16"/>
        <v/>
      </c>
      <c r="AI139" s="134"/>
      <c r="AJ139" s="48"/>
      <c r="AK139" s="134" t="str">
        <f t="shared" si="17"/>
        <v/>
      </c>
      <c r="AL139" s="94" t="s">
        <v>82</v>
      </c>
      <c r="AM139" s="78"/>
      <c r="AN139" s="78"/>
      <c r="AO139" s="190"/>
      <c r="AP139" s="136" t="str">
        <f t="shared" si="15"/>
        <v/>
      </c>
      <c r="AQ139" s="127"/>
      <c r="AR139" s="23"/>
      <c r="AS139" s="94"/>
      <c r="AT139" s="184"/>
      <c r="AU139" s="70" t="str">
        <f t="shared" si="12"/>
        <v/>
      </c>
      <c r="AV139" s="70" t="s">
        <v>68</v>
      </c>
    </row>
    <row r="140" spans="1:48" s="136" customFormat="1" ht="19.5" hidden="1" customHeight="1" x14ac:dyDescent="0.2">
      <c r="A140" s="86">
        <v>20116</v>
      </c>
      <c r="B140" s="3" t="s">
        <v>1093</v>
      </c>
      <c r="C140" s="3" t="s">
        <v>1094</v>
      </c>
      <c r="D140" s="86"/>
      <c r="E140" s="36" t="s">
        <v>94</v>
      </c>
      <c r="F140" s="48">
        <v>31348</v>
      </c>
      <c r="G140" s="36" t="s">
        <v>171</v>
      </c>
      <c r="H140" s="81" t="s">
        <v>350</v>
      </c>
      <c r="I140" s="36" t="s">
        <v>1095</v>
      </c>
      <c r="J140" s="48">
        <v>37588</v>
      </c>
      <c r="K140" s="36" t="s">
        <v>171</v>
      </c>
      <c r="L140" s="36" t="s">
        <v>123</v>
      </c>
      <c r="M140" s="36" t="s">
        <v>759</v>
      </c>
      <c r="N140" s="36" t="s">
        <v>760</v>
      </c>
      <c r="O140" s="101"/>
      <c r="P140" s="81" t="s">
        <v>1096</v>
      </c>
      <c r="Q140" s="36" t="s">
        <v>1097</v>
      </c>
      <c r="R140" s="36" t="s">
        <v>1098</v>
      </c>
      <c r="S140" s="36"/>
      <c r="T140" s="81" t="s">
        <v>1099</v>
      </c>
      <c r="U140" s="81" t="s">
        <v>1100</v>
      </c>
      <c r="V140" s="36"/>
      <c r="W140" s="36"/>
      <c r="X140" s="36"/>
      <c r="Y140" s="36" t="s">
        <v>616</v>
      </c>
      <c r="Z140" s="81"/>
      <c r="AA140" s="54"/>
      <c r="AB140" s="81" t="s">
        <v>285</v>
      </c>
      <c r="AC140" s="81" t="s">
        <v>236</v>
      </c>
      <c r="AD140" s="36" t="s">
        <v>207</v>
      </c>
      <c r="AE140" s="81"/>
      <c r="AF140" s="81" t="s">
        <v>65</v>
      </c>
      <c r="AG140" s="48"/>
      <c r="AH140" s="134" t="str">
        <f t="shared" si="16"/>
        <v/>
      </c>
      <c r="AI140" s="134"/>
      <c r="AJ140" s="48">
        <v>40050</v>
      </c>
      <c r="AK140" s="134">
        <f t="shared" si="17"/>
        <v>8</v>
      </c>
      <c r="AL140" s="94" t="s">
        <v>82</v>
      </c>
      <c r="AM140" s="78"/>
      <c r="AN140" s="78"/>
      <c r="AO140" s="190">
        <v>40624</v>
      </c>
      <c r="AP140" s="136">
        <f t="shared" si="15"/>
        <v>3</v>
      </c>
      <c r="AQ140" s="127"/>
      <c r="AR140" s="23"/>
      <c r="AS140" s="94"/>
      <c r="AT140" s="158"/>
      <c r="AU140" s="70">
        <f t="shared" si="12"/>
        <v>10</v>
      </c>
      <c r="AV140" s="70" t="s">
        <v>68</v>
      </c>
    </row>
    <row r="141" spans="1:48" s="136" customFormat="1" ht="19.5" hidden="1" customHeight="1" x14ac:dyDescent="0.2">
      <c r="A141" s="86">
        <v>20117</v>
      </c>
      <c r="B141" s="3" t="s">
        <v>169</v>
      </c>
      <c r="C141" s="3" t="s">
        <v>232</v>
      </c>
      <c r="D141" s="86"/>
      <c r="E141" s="36" t="s">
        <v>94</v>
      </c>
      <c r="F141" s="48"/>
      <c r="G141" s="36"/>
      <c r="H141" s="81" t="s">
        <v>0</v>
      </c>
      <c r="I141" s="36"/>
      <c r="J141" s="48"/>
      <c r="K141" s="36"/>
      <c r="L141" s="36" t="s">
        <v>123</v>
      </c>
      <c r="M141" s="36"/>
      <c r="N141" s="36"/>
      <c r="O141" s="101"/>
      <c r="P141" s="81"/>
      <c r="Q141" s="36"/>
      <c r="R141" s="36"/>
      <c r="S141" s="36"/>
      <c r="T141" s="81" t="s">
        <v>0</v>
      </c>
      <c r="U141" s="81" t="s">
        <v>0</v>
      </c>
      <c r="V141" s="36"/>
      <c r="W141" s="36"/>
      <c r="X141" s="36"/>
      <c r="Y141" s="36" t="s">
        <v>206</v>
      </c>
      <c r="Z141" s="81"/>
      <c r="AA141" s="54"/>
      <c r="AB141" s="81">
        <v>3</v>
      </c>
      <c r="AC141" s="81" t="s">
        <v>63</v>
      </c>
      <c r="AD141" s="36"/>
      <c r="AE141" s="81"/>
      <c r="AF141" s="81"/>
      <c r="AG141" s="48"/>
      <c r="AH141" s="134" t="str">
        <f t="shared" si="16"/>
        <v/>
      </c>
      <c r="AI141" s="134"/>
      <c r="AJ141" s="48"/>
      <c r="AK141" s="134" t="str">
        <f t="shared" si="17"/>
        <v/>
      </c>
      <c r="AL141" s="94" t="s">
        <v>82</v>
      </c>
      <c r="AM141" s="78"/>
      <c r="AN141" s="78"/>
      <c r="AO141" s="190"/>
      <c r="AP141" s="136" t="str">
        <f t="shared" si="15"/>
        <v/>
      </c>
      <c r="AQ141" s="127"/>
      <c r="AR141" s="23"/>
      <c r="AS141" s="94"/>
      <c r="AT141" s="158"/>
      <c r="AU141" s="70" t="str">
        <f t="shared" si="12"/>
        <v/>
      </c>
      <c r="AV141" s="70" t="s">
        <v>68</v>
      </c>
    </row>
    <row r="142" spans="1:48" s="136" customFormat="1" ht="19.5" hidden="1" customHeight="1" x14ac:dyDescent="0.2">
      <c r="A142" s="87">
        <v>20118</v>
      </c>
      <c r="B142" s="80" t="s">
        <v>1101</v>
      </c>
      <c r="C142" s="80" t="s">
        <v>1102</v>
      </c>
      <c r="D142" s="87"/>
      <c r="E142" s="123" t="s">
        <v>94</v>
      </c>
      <c r="F142" s="140">
        <v>31153</v>
      </c>
      <c r="G142" s="123" t="s">
        <v>231</v>
      </c>
      <c r="H142" s="54" t="s">
        <v>1103</v>
      </c>
      <c r="I142" s="123" t="s">
        <v>1104</v>
      </c>
      <c r="J142" s="140">
        <v>37680</v>
      </c>
      <c r="K142" s="123" t="s">
        <v>1105</v>
      </c>
      <c r="L142" s="123" t="s">
        <v>123</v>
      </c>
      <c r="M142" s="123" t="s">
        <v>1106</v>
      </c>
      <c r="N142" s="123"/>
      <c r="O142" s="106"/>
      <c r="P142" s="54" t="s">
        <v>1107</v>
      </c>
      <c r="Q142" s="123"/>
      <c r="R142" s="123" t="s">
        <v>1108</v>
      </c>
      <c r="S142" s="123"/>
      <c r="T142" s="54" t="s">
        <v>1109</v>
      </c>
      <c r="U142" s="54" t="s">
        <v>1110</v>
      </c>
      <c r="V142" s="123"/>
      <c r="W142" s="123"/>
      <c r="X142" s="123"/>
      <c r="Y142" s="123" t="s">
        <v>374</v>
      </c>
      <c r="Z142" s="54"/>
      <c r="AA142" s="54"/>
      <c r="AB142" s="54">
        <v>3</v>
      </c>
      <c r="AC142" s="54" t="s">
        <v>63</v>
      </c>
      <c r="AD142" s="123" t="s">
        <v>866</v>
      </c>
      <c r="AE142" s="54" t="s">
        <v>901</v>
      </c>
      <c r="AF142" s="54" t="s">
        <v>231</v>
      </c>
      <c r="AG142" s="140">
        <v>40054</v>
      </c>
      <c r="AH142" s="65">
        <f t="shared" si="16"/>
        <v>8</v>
      </c>
      <c r="AI142" s="65"/>
      <c r="AJ142" s="140">
        <v>40054</v>
      </c>
      <c r="AK142" s="65">
        <f t="shared" si="17"/>
        <v>8</v>
      </c>
      <c r="AL142" s="54" t="s">
        <v>66</v>
      </c>
      <c r="AM142" s="138">
        <v>41276</v>
      </c>
      <c r="AN142" s="138">
        <v>41400</v>
      </c>
      <c r="AO142" s="140"/>
      <c r="AP142" s="65" t="str">
        <f t="shared" si="15"/>
        <v/>
      </c>
      <c r="AQ142" s="123"/>
      <c r="AR142" s="23"/>
      <c r="AS142" s="54" t="s">
        <v>347</v>
      </c>
      <c r="AT142" s="158"/>
      <c r="AU142" s="70">
        <f t="shared" si="12"/>
        <v>4</v>
      </c>
      <c r="AV142" s="70" t="s">
        <v>68</v>
      </c>
    </row>
    <row r="143" spans="1:48" s="136" customFormat="1" ht="25.5" hidden="1" x14ac:dyDescent="0.2">
      <c r="A143" s="87">
        <v>20119</v>
      </c>
      <c r="B143" s="80" t="s">
        <v>1111</v>
      </c>
      <c r="C143" s="80" t="s">
        <v>1112</v>
      </c>
      <c r="D143" s="87"/>
      <c r="E143" s="123" t="s">
        <v>51</v>
      </c>
      <c r="F143" s="140">
        <v>31873</v>
      </c>
      <c r="G143" s="123" t="s">
        <v>52</v>
      </c>
      <c r="H143" s="54" t="s">
        <v>53</v>
      </c>
      <c r="I143" s="123" t="s">
        <v>1113</v>
      </c>
      <c r="J143" s="140">
        <v>40982</v>
      </c>
      <c r="K143" s="123" t="s">
        <v>52</v>
      </c>
      <c r="L143" s="123" t="s">
        <v>123</v>
      </c>
      <c r="M143" s="123" t="s">
        <v>448</v>
      </c>
      <c r="N143" s="123" t="s">
        <v>469</v>
      </c>
      <c r="O143" s="106"/>
      <c r="P143" s="54" t="s">
        <v>1114</v>
      </c>
      <c r="Q143" s="123" t="s">
        <v>1115</v>
      </c>
      <c r="R143" s="123" t="s">
        <v>1116</v>
      </c>
      <c r="S143" s="123"/>
      <c r="T143" s="54" t="s">
        <v>1117</v>
      </c>
      <c r="U143" s="54" t="s">
        <v>1117</v>
      </c>
      <c r="V143" s="123"/>
      <c r="W143" s="123"/>
      <c r="X143" s="123"/>
      <c r="Y143" s="123" t="s">
        <v>374</v>
      </c>
      <c r="Z143" s="54"/>
      <c r="AA143" s="54"/>
      <c r="AB143" s="54">
        <v>3</v>
      </c>
      <c r="AC143" s="54" t="s">
        <v>63</v>
      </c>
      <c r="AD143" s="123" t="s">
        <v>1067</v>
      </c>
      <c r="AE143" s="54" t="s">
        <v>1118</v>
      </c>
      <c r="AF143" s="54" t="s">
        <v>65</v>
      </c>
      <c r="AG143" s="140">
        <v>40057</v>
      </c>
      <c r="AH143" s="65">
        <f t="shared" si="16"/>
        <v>9</v>
      </c>
      <c r="AI143" s="65"/>
      <c r="AJ143" s="140">
        <v>40057</v>
      </c>
      <c r="AK143" s="65">
        <f t="shared" si="17"/>
        <v>9</v>
      </c>
      <c r="AL143" s="54" t="s">
        <v>66</v>
      </c>
      <c r="AM143" s="138"/>
      <c r="AN143" s="138"/>
      <c r="AO143" s="140"/>
      <c r="AP143" s="65" t="str">
        <f t="shared" si="15"/>
        <v/>
      </c>
      <c r="AQ143" s="123" t="s">
        <v>1119</v>
      </c>
      <c r="AR143" s="23"/>
      <c r="AS143" s="54" t="s">
        <v>107</v>
      </c>
      <c r="AT143" s="158"/>
      <c r="AU143" s="70">
        <f t="shared" si="12"/>
        <v>4</v>
      </c>
      <c r="AV143" s="70" t="s">
        <v>68</v>
      </c>
    </row>
    <row r="144" spans="1:48" s="136" customFormat="1" ht="19.5" hidden="1" customHeight="1" x14ac:dyDescent="0.2">
      <c r="A144" s="86">
        <v>20120</v>
      </c>
      <c r="B144" s="3" t="s">
        <v>1120</v>
      </c>
      <c r="C144" s="3" t="s">
        <v>1121</v>
      </c>
      <c r="D144" s="86"/>
      <c r="E144" s="36" t="s">
        <v>94</v>
      </c>
      <c r="F144" s="48">
        <v>30601</v>
      </c>
      <c r="G144" s="36"/>
      <c r="H144" s="81" t="s">
        <v>52</v>
      </c>
      <c r="I144" s="36" t="s">
        <v>1122</v>
      </c>
      <c r="J144" s="48">
        <v>35900</v>
      </c>
      <c r="K144" s="36" t="s">
        <v>52</v>
      </c>
      <c r="L144" s="36" t="s">
        <v>1123</v>
      </c>
      <c r="M144" s="36" t="s">
        <v>1124</v>
      </c>
      <c r="N144" s="36" t="s">
        <v>320</v>
      </c>
      <c r="O144" s="101"/>
      <c r="P144" s="159" t="s">
        <v>1125</v>
      </c>
      <c r="Q144" s="36"/>
      <c r="R144" s="36" t="s">
        <v>1126</v>
      </c>
      <c r="S144" s="36"/>
      <c r="T144" s="81"/>
      <c r="U144" s="81" t="s">
        <v>1127</v>
      </c>
      <c r="V144" s="36"/>
      <c r="W144" s="36"/>
      <c r="X144" s="36"/>
      <c r="Y144" s="36" t="s">
        <v>284</v>
      </c>
      <c r="Z144" s="81"/>
      <c r="AA144" s="54"/>
      <c r="AB144" s="81" t="s">
        <v>285</v>
      </c>
      <c r="AC144" s="81" t="s">
        <v>236</v>
      </c>
      <c r="AD144" s="36" t="s">
        <v>207</v>
      </c>
      <c r="AE144" s="81" t="s">
        <v>1128</v>
      </c>
      <c r="AF144" s="81" t="s">
        <v>65</v>
      </c>
      <c r="AG144" s="48"/>
      <c r="AH144" s="134" t="str">
        <f t="shared" si="16"/>
        <v/>
      </c>
      <c r="AI144" s="134"/>
      <c r="AJ144" s="48"/>
      <c r="AK144" s="134" t="str">
        <f t="shared" si="17"/>
        <v/>
      </c>
      <c r="AL144" s="54" t="s">
        <v>82</v>
      </c>
      <c r="AM144" s="54"/>
      <c r="AN144" s="54"/>
      <c r="AO144" s="190"/>
      <c r="AQ144" s="123"/>
      <c r="AR144" s="23"/>
      <c r="AS144" s="54" t="s">
        <v>347</v>
      </c>
      <c r="AT144" s="158"/>
      <c r="AU144" s="70">
        <f t="shared" si="12"/>
        <v>10</v>
      </c>
      <c r="AV144" s="70" t="s">
        <v>68</v>
      </c>
    </row>
    <row r="145" spans="1:48" s="136" customFormat="1" ht="25.5" hidden="1" x14ac:dyDescent="0.2">
      <c r="A145" s="87">
        <v>20121</v>
      </c>
      <c r="B145" s="80" t="s">
        <v>1129</v>
      </c>
      <c r="C145" s="80" t="s">
        <v>1130</v>
      </c>
      <c r="D145" s="87"/>
      <c r="E145" s="123" t="s">
        <v>94</v>
      </c>
      <c r="F145" s="140">
        <v>31310</v>
      </c>
      <c r="G145" s="123" t="s">
        <v>52</v>
      </c>
      <c r="H145" s="54" t="s">
        <v>53</v>
      </c>
      <c r="I145" s="123" t="s">
        <v>1131</v>
      </c>
      <c r="J145" s="140">
        <v>37519</v>
      </c>
      <c r="K145" s="123" t="s">
        <v>52</v>
      </c>
      <c r="L145" s="123" t="s">
        <v>341</v>
      </c>
      <c r="M145" s="123" t="s">
        <v>448</v>
      </c>
      <c r="N145" s="123" t="s">
        <v>152</v>
      </c>
      <c r="O145" s="106"/>
      <c r="P145" s="54" t="s">
        <v>1132</v>
      </c>
      <c r="Q145" s="123" t="s">
        <v>1133</v>
      </c>
      <c r="R145" s="123" t="s">
        <v>1134</v>
      </c>
      <c r="S145" s="123"/>
      <c r="T145" s="54" t="s">
        <v>1135</v>
      </c>
      <c r="U145" s="54" t="s">
        <v>1135</v>
      </c>
      <c r="V145" s="123"/>
      <c r="W145" s="123"/>
      <c r="X145" s="123"/>
      <c r="Y145" s="123" t="s">
        <v>312</v>
      </c>
      <c r="Z145" s="54"/>
      <c r="AA145" s="54"/>
      <c r="AB145" s="54" t="s">
        <v>285</v>
      </c>
      <c r="AC145" s="54" t="s">
        <v>236</v>
      </c>
      <c r="AD145" s="123" t="s">
        <v>207</v>
      </c>
      <c r="AE145" s="54" t="s">
        <v>1136</v>
      </c>
      <c r="AF145" s="54" t="s">
        <v>65</v>
      </c>
      <c r="AG145" s="140">
        <v>40940</v>
      </c>
      <c r="AH145" s="65">
        <f t="shared" si="16"/>
        <v>2</v>
      </c>
      <c r="AI145" s="65"/>
      <c r="AJ145" s="140">
        <v>41000</v>
      </c>
      <c r="AK145" s="65">
        <f t="shared" si="17"/>
        <v>4</v>
      </c>
      <c r="AL145" s="54" t="s">
        <v>66</v>
      </c>
      <c r="AM145" s="138">
        <v>41456</v>
      </c>
      <c r="AN145" s="138">
        <v>41596</v>
      </c>
      <c r="AO145" s="140"/>
      <c r="AP145" s="65" t="str">
        <f t="shared" ref="AP145:AP150" si="18">IF((AO145=""),"",MONTH(AO145))</f>
        <v/>
      </c>
      <c r="AQ145" s="123"/>
      <c r="AR145" s="23"/>
      <c r="AS145" s="54" t="s">
        <v>347</v>
      </c>
      <c r="AT145" s="158"/>
      <c r="AU145" s="70">
        <f t="shared" si="12"/>
        <v>9</v>
      </c>
      <c r="AV145" s="70" t="s">
        <v>68</v>
      </c>
    </row>
    <row r="146" spans="1:48" s="136" customFormat="1" ht="19.5" hidden="1" customHeight="1" x14ac:dyDescent="0.2">
      <c r="A146" s="87">
        <v>20122</v>
      </c>
      <c r="B146" s="80" t="s">
        <v>1137</v>
      </c>
      <c r="C146" s="80" t="s">
        <v>920</v>
      </c>
      <c r="D146" s="87"/>
      <c r="E146" s="123" t="s">
        <v>94</v>
      </c>
      <c r="F146" s="140">
        <v>31923</v>
      </c>
      <c r="G146" s="123" t="s">
        <v>884</v>
      </c>
      <c r="H146" s="54" t="s">
        <v>885</v>
      </c>
      <c r="I146" s="123" t="s">
        <v>1138</v>
      </c>
      <c r="J146" s="140">
        <v>38464</v>
      </c>
      <c r="K146" s="123" t="s">
        <v>1139</v>
      </c>
      <c r="L146" s="123" t="s">
        <v>123</v>
      </c>
      <c r="M146" s="123" t="s">
        <v>1140</v>
      </c>
      <c r="N146" s="123"/>
      <c r="O146" s="106"/>
      <c r="P146" s="54" t="s">
        <v>1141</v>
      </c>
      <c r="Q146" s="123"/>
      <c r="R146" s="123" t="s">
        <v>1142</v>
      </c>
      <c r="S146" s="123"/>
      <c r="T146" s="54" t="s">
        <v>1143</v>
      </c>
      <c r="U146" s="54" t="s">
        <v>1144</v>
      </c>
      <c r="V146" s="123"/>
      <c r="W146" s="123"/>
      <c r="X146" s="123"/>
      <c r="Y146" s="123" t="s">
        <v>360</v>
      </c>
      <c r="Z146" s="54"/>
      <c r="AA146" s="54"/>
      <c r="AB146" s="54" t="s">
        <v>361</v>
      </c>
      <c r="AC146" s="54" t="s">
        <v>362</v>
      </c>
      <c r="AD146" s="123" t="s">
        <v>1145</v>
      </c>
      <c r="AE146" s="54" t="s">
        <v>1146</v>
      </c>
      <c r="AF146" s="54" t="s">
        <v>231</v>
      </c>
      <c r="AG146" s="140">
        <v>40057</v>
      </c>
      <c r="AH146" s="65">
        <f t="shared" si="16"/>
        <v>9</v>
      </c>
      <c r="AI146" s="65"/>
      <c r="AJ146" s="140">
        <v>40057</v>
      </c>
      <c r="AK146" s="65">
        <f t="shared" si="17"/>
        <v>9</v>
      </c>
      <c r="AL146" s="54" t="s">
        <v>66</v>
      </c>
      <c r="AM146" s="138"/>
      <c r="AN146" s="65" t="str">
        <f>IF((AM146=""),"",MONTH(AM146))</f>
        <v/>
      </c>
      <c r="AO146" s="140"/>
      <c r="AP146" s="65" t="str">
        <f t="shared" si="18"/>
        <v/>
      </c>
      <c r="AQ146" s="123"/>
      <c r="AR146" s="23"/>
      <c r="AS146" s="54" t="s">
        <v>107</v>
      </c>
      <c r="AT146" s="158"/>
      <c r="AU146" s="70">
        <f t="shared" si="12"/>
        <v>5</v>
      </c>
      <c r="AV146" s="70" t="s">
        <v>68</v>
      </c>
    </row>
    <row r="147" spans="1:48" s="136" customFormat="1" ht="19.5" hidden="1" customHeight="1" x14ac:dyDescent="0.2">
      <c r="A147" s="86">
        <v>20123</v>
      </c>
      <c r="B147" s="3" t="s">
        <v>1147</v>
      </c>
      <c r="C147" s="3" t="s">
        <v>50</v>
      </c>
      <c r="D147" s="86"/>
      <c r="E147" s="36" t="s">
        <v>51</v>
      </c>
      <c r="F147" s="48">
        <v>32108</v>
      </c>
      <c r="G147" s="36" t="s">
        <v>1148</v>
      </c>
      <c r="H147" s="81" t="s">
        <v>1149</v>
      </c>
      <c r="I147" s="36" t="s">
        <v>1150</v>
      </c>
      <c r="J147" s="48">
        <v>37504</v>
      </c>
      <c r="K147" s="36" t="s">
        <v>1151</v>
      </c>
      <c r="L147" s="36" t="s">
        <v>352</v>
      </c>
      <c r="M147" s="36" t="s">
        <v>1152</v>
      </c>
      <c r="N147" s="36"/>
      <c r="O147" s="101"/>
      <c r="P147" s="81" t="s">
        <v>1153</v>
      </c>
      <c r="Q147" s="36" t="s">
        <v>1154</v>
      </c>
      <c r="R147" s="36" t="s">
        <v>1155</v>
      </c>
      <c r="S147" s="36"/>
      <c r="T147" s="81" t="s">
        <v>1156</v>
      </c>
      <c r="U147" s="81" t="s">
        <v>1157</v>
      </c>
      <c r="V147" s="36"/>
      <c r="W147" s="36"/>
      <c r="X147" s="36"/>
      <c r="Y147" s="36"/>
      <c r="Z147" s="81"/>
      <c r="AA147" s="54"/>
      <c r="AB147" s="81" t="s">
        <v>285</v>
      </c>
      <c r="AC147" s="81" t="s">
        <v>236</v>
      </c>
      <c r="AD147" s="36"/>
      <c r="AE147" s="81"/>
      <c r="AF147" s="81" t="s">
        <v>65</v>
      </c>
      <c r="AG147" s="48"/>
      <c r="AH147" s="134" t="str">
        <f t="shared" si="16"/>
        <v/>
      </c>
      <c r="AI147" s="134"/>
      <c r="AJ147" s="48"/>
      <c r="AK147" s="134" t="str">
        <f t="shared" si="17"/>
        <v/>
      </c>
      <c r="AL147" s="94" t="s">
        <v>82</v>
      </c>
      <c r="AM147" s="78"/>
      <c r="AN147" s="78"/>
      <c r="AO147" s="190"/>
      <c r="AP147" s="136" t="str">
        <f t="shared" si="18"/>
        <v/>
      </c>
      <c r="AQ147" s="127"/>
      <c r="AR147" s="23"/>
      <c r="AS147" s="94"/>
      <c r="AT147" s="158"/>
      <c r="AU147" s="70">
        <f t="shared" si="12"/>
        <v>11</v>
      </c>
      <c r="AV147" s="70" t="s">
        <v>68</v>
      </c>
    </row>
    <row r="148" spans="1:48" s="136" customFormat="1" ht="19.5" hidden="1" customHeight="1" x14ac:dyDescent="0.2">
      <c r="A148" s="87">
        <v>20124</v>
      </c>
      <c r="B148" s="80" t="s">
        <v>854</v>
      </c>
      <c r="C148" s="80" t="s">
        <v>1158</v>
      </c>
      <c r="D148" s="87"/>
      <c r="E148" s="123" t="s">
        <v>94</v>
      </c>
      <c r="F148" s="140">
        <v>30891</v>
      </c>
      <c r="G148" s="123" t="s">
        <v>726</v>
      </c>
      <c r="H148" s="54" t="s">
        <v>727</v>
      </c>
      <c r="I148" s="123" t="s">
        <v>1159</v>
      </c>
      <c r="J148" s="140">
        <v>37338</v>
      </c>
      <c r="K148" s="123" t="s">
        <v>726</v>
      </c>
      <c r="L148" s="123" t="s">
        <v>341</v>
      </c>
      <c r="M148" s="123" t="s">
        <v>1160</v>
      </c>
      <c r="N148" s="123"/>
      <c r="O148" s="106"/>
      <c r="P148" s="54" t="s">
        <v>1161</v>
      </c>
      <c r="Q148" s="123" t="s">
        <v>1162</v>
      </c>
      <c r="R148" s="123" t="s">
        <v>1163</v>
      </c>
      <c r="S148" s="123"/>
      <c r="T148" s="54" t="s">
        <v>1164</v>
      </c>
      <c r="U148" s="54" t="s">
        <v>1165</v>
      </c>
      <c r="V148" s="123"/>
      <c r="W148" s="123"/>
      <c r="X148" s="123"/>
      <c r="Y148" s="123" t="s">
        <v>312</v>
      </c>
      <c r="Z148" s="54"/>
      <c r="AA148" s="54"/>
      <c r="AB148" s="54" t="s">
        <v>285</v>
      </c>
      <c r="AC148" s="54" t="s">
        <v>236</v>
      </c>
      <c r="AD148" s="123" t="s">
        <v>1166</v>
      </c>
      <c r="AE148" s="54" t="s">
        <v>1167</v>
      </c>
      <c r="AF148" s="54" t="s">
        <v>65</v>
      </c>
      <c r="AG148" s="140">
        <v>40057</v>
      </c>
      <c r="AH148" s="65">
        <f t="shared" si="16"/>
        <v>9</v>
      </c>
      <c r="AI148" s="65"/>
      <c r="AJ148" s="140">
        <v>40057</v>
      </c>
      <c r="AK148" s="65">
        <f t="shared" si="17"/>
        <v>9</v>
      </c>
      <c r="AL148" s="54" t="s">
        <v>66</v>
      </c>
      <c r="AM148" s="138"/>
      <c r="AN148" s="138"/>
      <c r="AO148" s="140"/>
      <c r="AP148" s="65" t="str">
        <f t="shared" si="18"/>
        <v/>
      </c>
      <c r="AQ148" s="123"/>
      <c r="AR148" s="23"/>
      <c r="AS148" s="54" t="s">
        <v>67</v>
      </c>
      <c r="AT148" s="158"/>
      <c r="AU148" s="70">
        <f t="shared" si="12"/>
        <v>7</v>
      </c>
      <c r="AV148" s="70" t="s">
        <v>68</v>
      </c>
    </row>
    <row r="149" spans="1:48" s="136" customFormat="1" ht="19.5" hidden="1" customHeight="1" x14ac:dyDescent="0.2">
      <c r="A149" s="86">
        <v>20125</v>
      </c>
      <c r="B149" s="3" t="s">
        <v>1168</v>
      </c>
      <c r="C149" s="3" t="s">
        <v>51</v>
      </c>
      <c r="D149" s="86"/>
      <c r="E149" s="36" t="s">
        <v>51</v>
      </c>
      <c r="F149" s="48">
        <v>31864</v>
      </c>
      <c r="G149" s="36" t="s">
        <v>997</v>
      </c>
      <c r="H149" s="81" t="s">
        <v>998</v>
      </c>
      <c r="I149" s="36" t="s">
        <v>1169</v>
      </c>
      <c r="J149" s="48">
        <v>38975</v>
      </c>
      <c r="K149" s="36" t="s">
        <v>52</v>
      </c>
      <c r="L149" s="36" t="s">
        <v>123</v>
      </c>
      <c r="M149" s="36" t="s">
        <v>1170</v>
      </c>
      <c r="N149" s="36"/>
      <c r="O149" s="101"/>
      <c r="P149" s="81" t="s">
        <v>1171</v>
      </c>
      <c r="Q149" s="36"/>
      <c r="R149" s="36" t="s">
        <v>1172</v>
      </c>
      <c r="S149" s="36"/>
      <c r="T149" s="81" t="s">
        <v>1173</v>
      </c>
      <c r="U149" s="81" t="s">
        <v>1173</v>
      </c>
      <c r="V149" s="36"/>
      <c r="W149" s="36"/>
      <c r="X149" s="36"/>
      <c r="Y149" s="36" t="s">
        <v>284</v>
      </c>
      <c r="Z149" s="81"/>
      <c r="AA149" s="54"/>
      <c r="AB149" s="81" t="s">
        <v>285</v>
      </c>
      <c r="AC149" s="81" t="s">
        <v>236</v>
      </c>
      <c r="AD149" s="36" t="s">
        <v>207</v>
      </c>
      <c r="AE149" s="81" t="s">
        <v>1174</v>
      </c>
      <c r="AF149" s="81" t="s">
        <v>65</v>
      </c>
      <c r="AG149" s="48">
        <v>40057</v>
      </c>
      <c r="AH149" s="134">
        <f t="shared" si="16"/>
        <v>9</v>
      </c>
      <c r="AI149" s="134"/>
      <c r="AJ149" s="48">
        <v>40057</v>
      </c>
      <c r="AK149" s="134">
        <f t="shared" si="17"/>
        <v>9</v>
      </c>
      <c r="AL149" s="94" t="s">
        <v>82</v>
      </c>
      <c r="AM149" s="78"/>
      <c r="AN149" s="78"/>
      <c r="AO149" s="190">
        <v>41358</v>
      </c>
      <c r="AP149" s="136">
        <f t="shared" si="18"/>
        <v>3</v>
      </c>
      <c r="AQ149" s="127"/>
      <c r="AR149" s="23"/>
      <c r="AS149" s="94"/>
      <c r="AT149" s="158"/>
      <c r="AU149" s="70">
        <f t="shared" si="12"/>
        <v>3</v>
      </c>
      <c r="AV149" s="70" t="s">
        <v>68</v>
      </c>
    </row>
    <row r="150" spans="1:48" s="136" customFormat="1" ht="76.5" x14ac:dyDescent="0.2">
      <c r="A150" s="87">
        <v>20126</v>
      </c>
      <c r="B150" s="80" t="s">
        <v>1083</v>
      </c>
      <c r="C150" s="80" t="s">
        <v>496</v>
      </c>
      <c r="D150" s="87"/>
      <c r="E150" s="123" t="s">
        <v>94</v>
      </c>
      <c r="F150" s="140">
        <v>31909</v>
      </c>
      <c r="G150" s="123" t="s">
        <v>303</v>
      </c>
      <c r="H150" s="54" t="s">
        <v>304</v>
      </c>
      <c r="I150" s="123" t="s">
        <v>1175</v>
      </c>
      <c r="J150" s="140">
        <v>37880</v>
      </c>
      <c r="K150" s="123" t="s">
        <v>303</v>
      </c>
      <c r="L150" s="123" t="s">
        <v>123</v>
      </c>
      <c r="M150" s="123" t="s">
        <v>1176</v>
      </c>
      <c r="N150" s="123"/>
      <c r="O150" s="106"/>
      <c r="P150" s="54" t="s">
        <v>1177</v>
      </c>
      <c r="Q150" s="123" t="s">
        <v>1178</v>
      </c>
      <c r="R150" s="123" t="s">
        <v>1179</v>
      </c>
      <c r="S150" s="123"/>
      <c r="T150" s="54" t="s">
        <v>1180</v>
      </c>
      <c r="U150" s="54" t="s">
        <v>1181</v>
      </c>
      <c r="V150" s="123"/>
      <c r="W150" s="123"/>
      <c r="X150" s="123"/>
      <c r="Y150" s="123" t="s">
        <v>1182</v>
      </c>
      <c r="Z150" s="54"/>
      <c r="AA150" s="54"/>
      <c r="AB150" s="54" t="s">
        <v>361</v>
      </c>
      <c r="AC150" s="54" t="s">
        <v>362</v>
      </c>
      <c r="AD150" s="123" t="s">
        <v>1183</v>
      </c>
      <c r="AE150" s="54" t="s">
        <v>1184</v>
      </c>
      <c r="AF150" s="54" t="s">
        <v>231</v>
      </c>
      <c r="AG150" s="140">
        <v>40063</v>
      </c>
      <c r="AH150" s="65">
        <f t="shared" si="16"/>
        <v>9</v>
      </c>
      <c r="AI150" s="65"/>
      <c r="AJ150" s="140">
        <v>40063</v>
      </c>
      <c r="AK150" s="65">
        <f t="shared" si="17"/>
        <v>9</v>
      </c>
      <c r="AL150" s="54" t="s">
        <v>105</v>
      </c>
      <c r="AM150" s="138" t="s">
        <v>1185</v>
      </c>
      <c r="AN150" s="138"/>
      <c r="AO150" s="140"/>
      <c r="AP150" s="65" t="str">
        <f t="shared" si="18"/>
        <v/>
      </c>
      <c r="AQ150" s="123"/>
      <c r="AR150" s="23"/>
      <c r="AS150" s="54" t="s">
        <v>347</v>
      </c>
      <c r="AT150" s="158"/>
      <c r="AU150" s="70">
        <f t="shared" si="12"/>
        <v>5</v>
      </c>
      <c r="AV150" s="70" t="s">
        <v>68</v>
      </c>
    </row>
    <row r="151" spans="1:48" s="136" customFormat="1" ht="25.5" hidden="1" x14ac:dyDescent="0.2">
      <c r="A151" s="86">
        <v>20127</v>
      </c>
      <c r="B151" s="3" t="s">
        <v>801</v>
      </c>
      <c r="C151" s="3" t="s">
        <v>109</v>
      </c>
      <c r="D151" s="86"/>
      <c r="E151" s="36" t="s">
        <v>94</v>
      </c>
      <c r="F151" s="48">
        <v>31449</v>
      </c>
      <c r="G151" s="36"/>
      <c r="H151" s="81" t="s">
        <v>1186</v>
      </c>
      <c r="I151" s="36" t="s">
        <v>1187</v>
      </c>
      <c r="J151" s="48">
        <v>37371</v>
      </c>
      <c r="K151" s="36" t="s">
        <v>1186</v>
      </c>
      <c r="L151" s="36" t="s">
        <v>318</v>
      </c>
      <c r="M151" s="36" t="s">
        <v>1188</v>
      </c>
      <c r="N151" s="36" t="s">
        <v>320</v>
      </c>
      <c r="O151" s="101"/>
      <c r="P151" s="159" t="s">
        <v>1189</v>
      </c>
      <c r="Q151" s="36"/>
      <c r="R151" s="36" t="s">
        <v>1190</v>
      </c>
      <c r="S151" s="36"/>
      <c r="T151" s="81"/>
      <c r="U151" s="81" t="s">
        <v>1191</v>
      </c>
      <c r="V151" s="36"/>
      <c r="W151" s="36"/>
      <c r="X151" s="36"/>
      <c r="Y151" s="36" t="s">
        <v>284</v>
      </c>
      <c r="Z151" s="81"/>
      <c r="AA151" s="54"/>
      <c r="AB151" s="81" t="s">
        <v>285</v>
      </c>
      <c r="AC151" s="81" t="s">
        <v>236</v>
      </c>
      <c r="AD151" s="36" t="s">
        <v>230</v>
      </c>
      <c r="AE151" s="81" t="s">
        <v>1192</v>
      </c>
      <c r="AF151" s="81" t="s">
        <v>231</v>
      </c>
      <c r="AG151" s="48"/>
      <c r="AH151" s="134" t="str">
        <f t="shared" si="16"/>
        <v/>
      </c>
      <c r="AI151" s="134"/>
      <c r="AJ151" s="48"/>
      <c r="AK151" s="134" t="str">
        <f t="shared" si="17"/>
        <v/>
      </c>
      <c r="AL151" s="54" t="s">
        <v>82</v>
      </c>
      <c r="AM151" s="54"/>
      <c r="AN151" s="54"/>
      <c r="AO151" s="190"/>
      <c r="AQ151" s="123"/>
      <c r="AR151" s="23"/>
      <c r="AS151" s="54"/>
      <c r="AT151" s="158"/>
      <c r="AU151" s="70">
        <f t="shared" si="12"/>
        <v>2</v>
      </c>
      <c r="AV151" s="70" t="s">
        <v>68</v>
      </c>
    </row>
    <row r="152" spans="1:48" s="136" customFormat="1" ht="19.5" hidden="1" customHeight="1" x14ac:dyDescent="0.2">
      <c r="A152" s="86">
        <v>20128</v>
      </c>
      <c r="B152" s="3" t="s">
        <v>1193</v>
      </c>
      <c r="C152" s="3" t="s">
        <v>561</v>
      </c>
      <c r="D152" s="86"/>
      <c r="E152" s="36" t="s">
        <v>94</v>
      </c>
      <c r="F152" s="48">
        <v>31049</v>
      </c>
      <c r="G152" s="36" t="s">
        <v>884</v>
      </c>
      <c r="H152" s="81" t="s">
        <v>885</v>
      </c>
      <c r="I152" s="36" t="s">
        <v>1194</v>
      </c>
      <c r="J152" s="48">
        <v>36789</v>
      </c>
      <c r="K152" s="36" t="s">
        <v>1195</v>
      </c>
      <c r="L152" s="36" t="s">
        <v>123</v>
      </c>
      <c r="M152" s="36" t="s">
        <v>498</v>
      </c>
      <c r="N152" s="36" t="s">
        <v>1196</v>
      </c>
      <c r="O152" s="101"/>
      <c r="P152" s="81" t="s">
        <v>1197</v>
      </c>
      <c r="Q152" s="36" t="s">
        <v>1198</v>
      </c>
      <c r="R152" s="36" t="s">
        <v>1199</v>
      </c>
      <c r="S152" s="36"/>
      <c r="T152" s="81" t="s">
        <v>1200</v>
      </c>
      <c r="U152" s="81" t="s">
        <v>1201</v>
      </c>
      <c r="V152" s="36"/>
      <c r="W152" s="36"/>
      <c r="X152" s="36"/>
      <c r="Y152" s="36" t="s">
        <v>616</v>
      </c>
      <c r="Z152" s="81"/>
      <c r="AA152" s="54"/>
      <c r="AB152" s="81" t="s">
        <v>285</v>
      </c>
      <c r="AC152" s="81" t="s">
        <v>236</v>
      </c>
      <c r="AD152" s="36" t="s">
        <v>207</v>
      </c>
      <c r="AE152" s="81"/>
      <c r="AF152" s="81" t="s">
        <v>231</v>
      </c>
      <c r="AG152" s="48"/>
      <c r="AH152" s="134" t="str">
        <f t="shared" si="16"/>
        <v/>
      </c>
      <c r="AI152" s="134"/>
      <c r="AJ152" s="48">
        <v>40063</v>
      </c>
      <c r="AK152" s="134">
        <f t="shared" si="17"/>
        <v>9</v>
      </c>
      <c r="AL152" s="94" t="s">
        <v>82</v>
      </c>
      <c r="AM152" s="78"/>
      <c r="AN152" s="78"/>
      <c r="AO152" s="190">
        <v>40678</v>
      </c>
      <c r="AP152" s="136">
        <f>IF((AO152=""),"",MONTH(AO152))</f>
        <v>5</v>
      </c>
      <c r="AQ152" s="127"/>
      <c r="AR152" s="23"/>
      <c r="AS152" s="94"/>
      <c r="AT152" s="158"/>
      <c r="AU152" s="70">
        <f t="shared" si="12"/>
        <v>1</v>
      </c>
      <c r="AV152" s="70" t="s">
        <v>68</v>
      </c>
    </row>
    <row r="153" spans="1:48" s="136" customFormat="1" ht="19.5" hidden="1" customHeight="1" x14ac:dyDescent="0.2">
      <c r="A153" s="86">
        <v>20129</v>
      </c>
      <c r="B153" s="3" t="s">
        <v>848</v>
      </c>
      <c r="C153" s="3" t="s">
        <v>1202</v>
      </c>
      <c r="D153" s="86"/>
      <c r="E153" s="36" t="s">
        <v>94</v>
      </c>
      <c r="F153" s="48">
        <v>30244</v>
      </c>
      <c r="G153" s="36"/>
      <c r="H153" s="81" t="s">
        <v>824</v>
      </c>
      <c r="I153" s="36" t="s">
        <v>1203</v>
      </c>
      <c r="J153" s="48">
        <v>36606</v>
      </c>
      <c r="K153" s="36" t="s">
        <v>824</v>
      </c>
      <c r="L153" s="36" t="s">
        <v>123</v>
      </c>
      <c r="M153" s="36" t="s">
        <v>1204</v>
      </c>
      <c r="N153" s="36" t="s">
        <v>320</v>
      </c>
      <c r="O153" s="101"/>
      <c r="P153" s="159" t="s">
        <v>1205</v>
      </c>
      <c r="Q153" s="36"/>
      <c r="R153" s="36" t="s">
        <v>1206</v>
      </c>
      <c r="S153" s="36"/>
      <c r="T153" s="81"/>
      <c r="U153" s="81" t="s">
        <v>1207</v>
      </c>
      <c r="V153" s="36"/>
      <c r="W153" s="36"/>
      <c r="X153" s="36"/>
      <c r="Y153" s="36" t="s">
        <v>374</v>
      </c>
      <c r="Z153" s="81"/>
      <c r="AA153" s="54"/>
      <c r="AB153" s="81">
        <v>3</v>
      </c>
      <c r="AC153" s="81" t="s">
        <v>63</v>
      </c>
      <c r="AD153" s="36"/>
      <c r="AE153" s="81"/>
      <c r="AF153" s="81" t="s">
        <v>231</v>
      </c>
      <c r="AG153" s="48"/>
      <c r="AH153" s="134" t="str">
        <f t="shared" si="16"/>
        <v/>
      </c>
      <c r="AI153" s="134"/>
      <c r="AJ153" s="48"/>
      <c r="AK153" s="134" t="str">
        <f t="shared" si="17"/>
        <v/>
      </c>
      <c r="AL153" s="54" t="s">
        <v>82</v>
      </c>
      <c r="AM153" s="54"/>
      <c r="AN153" s="54"/>
      <c r="AO153" s="190"/>
      <c r="AQ153" s="123"/>
      <c r="AR153" s="23"/>
      <c r="AS153" s="54"/>
      <c r="AT153" s="194"/>
      <c r="AU153" s="70">
        <f t="shared" si="12"/>
        <v>10</v>
      </c>
      <c r="AV153" s="70" t="s">
        <v>68</v>
      </c>
    </row>
    <row r="154" spans="1:48" ht="25.5" hidden="1" x14ac:dyDescent="0.2">
      <c r="A154" s="87">
        <v>20130</v>
      </c>
      <c r="B154" s="80" t="s">
        <v>1208</v>
      </c>
      <c r="C154" s="80" t="s">
        <v>109</v>
      </c>
      <c r="D154" s="87"/>
      <c r="E154" s="123" t="s">
        <v>94</v>
      </c>
      <c r="F154" s="140">
        <v>31003</v>
      </c>
      <c r="G154" s="123" t="s">
        <v>1209</v>
      </c>
      <c r="H154" s="54" t="s">
        <v>1210</v>
      </c>
      <c r="I154" s="123" t="s">
        <v>1211</v>
      </c>
      <c r="J154" s="140">
        <v>36539</v>
      </c>
      <c r="K154" s="123" t="s">
        <v>1212</v>
      </c>
      <c r="L154" s="123" t="s">
        <v>123</v>
      </c>
      <c r="M154" s="123" t="s">
        <v>1213</v>
      </c>
      <c r="N154" s="123"/>
      <c r="O154" s="106"/>
      <c r="P154" s="54" t="s">
        <v>1214</v>
      </c>
      <c r="Q154" s="123"/>
      <c r="R154" s="123" t="s">
        <v>1215</v>
      </c>
      <c r="S154" s="123"/>
      <c r="T154" s="54" t="s">
        <v>1216</v>
      </c>
      <c r="U154" s="54" t="s">
        <v>1217</v>
      </c>
      <c r="V154" s="123"/>
      <c r="W154" s="123"/>
      <c r="X154" s="123"/>
      <c r="Y154" s="123" t="s">
        <v>1218</v>
      </c>
      <c r="Z154" s="54"/>
      <c r="AA154" s="54"/>
      <c r="AB154" s="54">
        <v>3</v>
      </c>
      <c r="AC154" s="54" t="s">
        <v>362</v>
      </c>
      <c r="AD154" s="123" t="s">
        <v>1183</v>
      </c>
      <c r="AE154" s="54" t="s">
        <v>1219</v>
      </c>
      <c r="AF154" s="54" t="s">
        <v>231</v>
      </c>
      <c r="AG154" s="140">
        <v>40065</v>
      </c>
      <c r="AH154" s="65">
        <f t="shared" si="16"/>
        <v>9</v>
      </c>
      <c r="AI154" s="65"/>
      <c r="AJ154" s="140">
        <v>40065</v>
      </c>
      <c r="AK154" s="65">
        <f t="shared" si="17"/>
        <v>9</v>
      </c>
      <c r="AL154" s="54" t="s">
        <v>66</v>
      </c>
      <c r="AM154" s="138"/>
      <c r="AN154" s="138"/>
      <c r="AO154" s="140"/>
      <c r="AP154" s="65" t="str">
        <f t="shared" ref="AP154:AP160" si="19">IF((AO154=""),"",MONTH(AO154))</f>
        <v/>
      </c>
      <c r="AQ154" s="123"/>
      <c r="AR154" s="23"/>
      <c r="AS154" s="54" t="s">
        <v>107</v>
      </c>
      <c r="AT154" s="136"/>
      <c r="AU154" s="70">
        <f t="shared" si="12"/>
        <v>11</v>
      </c>
      <c r="AV154" s="70" t="s">
        <v>68</v>
      </c>
    </row>
    <row r="155" spans="1:48" s="136" customFormat="1" ht="12.75" hidden="1" x14ac:dyDescent="0.2">
      <c r="A155" s="86">
        <v>20131</v>
      </c>
      <c r="B155" s="3" t="s">
        <v>1220</v>
      </c>
      <c r="C155" s="3" t="s">
        <v>706</v>
      </c>
      <c r="D155" s="86"/>
      <c r="E155" s="36" t="s">
        <v>94</v>
      </c>
      <c r="F155" s="48">
        <v>31173</v>
      </c>
      <c r="G155" s="36"/>
      <c r="H155" s="81" t="s">
        <v>0</v>
      </c>
      <c r="I155" s="36"/>
      <c r="J155" s="48"/>
      <c r="K155" s="36"/>
      <c r="L155" s="36"/>
      <c r="M155" s="36"/>
      <c r="N155" s="36"/>
      <c r="O155" s="101"/>
      <c r="P155" s="81"/>
      <c r="Q155" s="36"/>
      <c r="R155" s="36"/>
      <c r="S155" s="36"/>
      <c r="T155" s="81" t="s">
        <v>0</v>
      </c>
      <c r="U155" s="81" t="s">
        <v>0</v>
      </c>
      <c r="V155" s="36"/>
      <c r="W155" s="36"/>
      <c r="X155" s="36"/>
      <c r="Y155" s="36"/>
      <c r="Z155" s="81"/>
      <c r="AA155" s="54"/>
      <c r="AB155" s="81" t="s">
        <v>285</v>
      </c>
      <c r="AC155" s="81"/>
      <c r="AD155" s="36"/>
      <c r="AE155" s="81"/>
      <c r="AF155" s="81" t="s">
        <v>231</v>
      </c>
      <c r="AG155" s="48"/>
      <c r="AH155" s="134" t="str">
        <f t="shared" si="16"/>
        <v/>
      </c>
      <c r="AI155" s="134"/>
      <c r="AJ155" s="48"/>
      <c r="AK155" s="134" t="str">
        <f t="shared" si="17"/>
        <v/>
      </c>
      <c r="AL155" s="94" t="s">
        <v>82</v>
      </c>
      <c r="AM155" s="78"/>
      <c r="AN155" s="78"/>
      <c r="AO155" s="190"/>
      <c r="AP155" s="136" t="str">
        <f t="shared" si="19"/>
        <v/>
      </c>
      <c r="AQ155" s="127"/>
      <c r="AR155" s="23"/>
      <c r="AS155" s="94"/>
      <c r="AT155" s="184"/>
      <c r="AU155" s="70">
        <f t="shared" si="12"/>
        <v>5</v>
      </c>
      <c r="AV155" s="70" t="s">
        <v>68</v>
      </c>
    </row>
    <row r="156" spans="1:48" s="136" customFormat="1" ht="19.5" hidden="1" customHeight="1" x14ac:dyDescent="0.2">
      <c r="A156" s="86">
        <v>20132</v>
      </c>
      <c r="B156" s="3" t="s">
        <v>848</v>
      </c>
      <c r="C156" s="3" t="s">
        <v>618</v>
      </c>
      <c r="D156" s="86"/>
      <c r="E156" s="36" t="s">
        <v>94</v>
      </c>
      <c r="F156" s="48">
        <v>30954</v>
      </c>
      <c r="G156" s="36" t="s">
        <v>65</v>
      </c>
      <c r="H156" s="81" t="s">
        <v>1221</v>
      </c>
      <c r="I156" s="36" t="s">
        <v>1222</v>
      </c>
      <c r="J156" s="48">
        <v>36279</v>
      </c>
      <c r="K156" s="36" t="s">
        <v>65</v>
      </c>
      <c r="L156" s="36"/>
      <c r="M156" s="36"/>
      <c r="N156" s="36"/>
      <c r="O156" s="101"/>
      <c r="P156" s="81"/>
      <c r="Q156" s="36"/>
      <c r="R156" s="36" t="s">
        <v>1223</v>
      </c>
      <c r="S156" s="36"/>
      <c r="T156" s="81" t="s">
        <v>1224</v>
      </c>
      <c r="U156" s="81" t="s">
        <v>1224</v>
      </c>
      <c r="V156" s="36"/>
      <c r="W156" s="36"/>
      <c r="X156" s="36"/>
      <c r="Y156" s="36" t="s">
        <v>326</v>
      </c>
      <c r="Z156" s="81"/>
      <c r="AA156" s="54"/>
      <c r="AB156" s="81" t="s">
        <v>285</v>
      </c>
      <c r="AC156" s="81"/>
      <c r="AD156" s="36" t="s">
        <v>230</v>
      </c>
      <c r="AE156" s="81"/>
      <c r="AF156" s="81" t="s">
        <v>65</v>
      </c>
      <c r="AG156" s="48"/>
      <c r="AH156" s="134" t="str">
        <f t="shared" si="16"/>
        <v/>
      </c>
      <c r="AI156" s="134"/>
      <c r="AJ156" s="48">
        <v>40063</v>
      </c>
      <c r="AK156" s="134">
        <f t="shared" si="17"/>
        <v>9</v>
      </c>
      <c r="AL156" s="94" t="s">
        <v>82</v>
      </c>
      <c r="AM156" s="78"/>
      <c r="AN156" s="78"/>
      <c r="AO156" s="190"/>
      <c r="AP156" s="136" t="str">
        <f t="shared" si="19"/>
        <v/>
      </c>
      <c r="AQ156" s="127"/>
      <c r="AR156" s="23"/>
      <c r="AS156" s="94"/>
      <c r="AT156" s="158"/>
      <c r="AU156" s="70">
        <f t="shared" si="12"/>
        <v>9</v>
      </c>
      <c r="AV156" s="70" t="s">
        <v>68</v>
      </c>
    </row>
    <row r="157" spans="1:48" s="136" customFormat="1" ht="19.5" hidden="1" customHeight="1" x14ac:dyDescent="0.2">
      <c r="A157" s="86">
        <v>20133</v>
      </c>
      <c r="B157" s="3" t="s">
        <v>1225</v>
      </c>
      <c r="C157" s="3" t="s">
        <v>1226</v>
      </c>
      <c r="D157" s="86"/>
      <c r="E157" s="36" t="s">
        <v>94</v>
      </c>
      <c r="F157" s="48"/>
      <c r="G157" s="36"/>
      <c r="H157" s="81" t="s">
        <v>0</v>
      </c>
      <c r="I157" s="36"/>
      <c r="J157" s="48"/>
      <c r="K157" s="36"/>
      <c r="L157" s="36" t="s">
        <v>123</v>
      </c>
      <c r="M157" s="36"/>
      <c r="N157" s="36"/>
      <c r="O157" s="101"/>
      <c r="P157" s="81"/>
      <c r="Q157" s="36"/>
      <c r="R157" s="36"/>
      <c r="S157" s="36"/>
      <c r="T157" s="81" t="s">
        <v>0</v>
      </c>
      <c r="U157" s="81" t="s">
        <v>0</v>
      </c>
      <c r="V157" s="36"/>
      <c r="W157" s="36"/>
      <c r="X157" s="36"/>
      <c r="Y157" s="36" t="s">
        <v>326</v>
      </c>
      <c r="Z157" s="81"/>
      <c r="AA157" s="54"/>
      <c r="AB157" s="81"/>
      <c r="AC157" s="81"/>
      <c r="AD157" s="36"/>
      <c r="AE157" s="81"/>
      <c r="AF157" s="81"/>
      <c r="AG157" s="48"/>
      <c r="AH157" s="134" t="str">
        <f t="shared" si="16"/>
        <v/>
      </c>
      <c r="AI157" s="134"/>
      <c r="AJ157" s="48"/>
      <c r="AK157" s="134" t="str">
        <f t="shared" si="17"/>
        <v/>
      </c>
      <c r="AL157" s="94" t="s">
        <v>82</v>
      </c>
      <c r="AM157" s="78"/>
      <c r="AN157" s="78"/>
      <c r="AO157" s="190"/>
      <c r="AP157" s="136" t="str">
        <f t="shared" si="19"/>
        <v/>
      </c>
      <c r="AQ157" s="127"/>
      <c r="AR157" s="23"/>
      <c r="AS157" s="94"/>
      <c r="AT157" s="158"/>
      <c r="AU157" s="70" t="str">
        <f t="shared" si="12"/>
        <v/>
      </c>
      <c r="AV157" s="70" t="s">
        <v>68</v>
      </c>
    </row>
    <row r="158" spans="1:48" s="136" customFormat="1" ht="25.5" hidden="1" x14ac:dyDescent="0.2">
      <c r="A158" s="86">
        <v>20134</v>
      </c>
      <c r="B158" s="3" t="s">
        <v>982</v>
      </c>
      <c r="C158" s="3" t="s">
        <v>823</v>
      </c>
      <c r="D158" s="86"/>
      <c r="E158" s="36" t="s">
        <v>94</v>
      </c>
      <c r="F158" s="48">
        <v>32135</v>
      </c>
      <c r="G158" s="36"/>
      <c r="H158" s="81" t="s">
        <v>365</v>
      </c>
      <c r="I158" s="36" t="s">
        <v>1227</v>
      </c>
      <c r="J158" s="48">
        <v>38315</v>
      </c>
      <c r="K158" s="36" t="s">
        <v>365</v>
      </c>
      <c r="L158" s="36" t="s">
        <v>318</v>
      </c>
      <c r="M158" s="36" t="s">
        <v>1228</v>
      </c>
      <c r="N158" s="36" t="s">
        <v>320</v>
      </c>
      <c r="O158" s="101"/>
      <c r="P158" s="159" t="s">
        <v>1229</v>
      </c>
      <c r="Q158" s="36"/>
      <c r="R158" s="36" t="s">
        <v>1230</v>
      </c>
      <c r="S158" s="36"/>
      <c r="T158" s="81"/>
      <c r="U158" s="81" t="s">
        <v>1231</v>
      </c>
      <c r="V158" s="36"/>
      <c r="W158" s="36"/>
      <c r="X158" s="36"/>
      <c r="Y158" s="36"/>
      <c r="Z158" s="81"/>
      <c r="AA158" s="54"/>
      <c r="AB158" s="81" t="s">
        <v>285</v>
      </c>
      <c r="AC158" s="81"/>
      <c r="AD158" s="36"/>
      <c r="AE158" s="81"/>
      <c r="AF158" s="81" t="s">
        <v>65</v>
      </c>
      <c r="AG158" s="48"/>
      <c r="AH158" s="134" t="str">
        <f t="shared" si="16"/>
        <v/>
      </c>
      <c r="AI158" s="134"/>
      <c r="AJ158" s="48"/>
      <c r="AK158" s="134" t="str">
        <f t="shared" si="17"/>
        <v/>
      </c>
      <c r="AL158" s="54" t="s">
        <v>82</v>
      </c>
      <c r="AM158" s="54"/>
      <c r="AN158" s="54"/>
      <c r="AO158" s="190"/>
      <c r="AP158" s="136" t="str">
        <f t="shared" si="19"/>
        <v/>
      </c>
      <c r="AQ158" s="123"/>
      <c r="AR158" s="23"/>
      <c r="AS158" s="54"/>
      <c r="AT158" s="158"/>
      <c r="AU158" s="70">
        <f t="shared" si="12"/>
        <v>12</v>
      </c>
      <c r="AV158" s="70" t="s">
        <v>68</v>
      </c>
    </row>
    <row r="159" spans="1:48" s="136" customFormat="1" ht="25.5" hidden="1" x14ac:dyDescent="0.2">
      <c r="A159" s="86">
        <v>20135</v>
      </c>
      <c r="B159" s="3" t="s">
        <v>1232</v>
      </c>
      <c r="C159" s="3" t="s">
        <v>638</v>
      </c>
      <c r="D159" s="86"/>
      <c r="E159" s="36" t="s">
        <v>94</v>
      </c>
      <c r="F159" s="48">
        <v>31688</v>
      </c>
      <c r="G159" s="36" t="s">
        <v>365</v>
      </c>
      <c r="H159" s="81" t="s">
        <v>366</v>
      </c>
      <c r="I159" s="36" t="s">
        <v>1233</v>
      </c>
      <c r="J159" s="48">
        <v>37928</v>
      </c>
      <c r="K159" s="36" t="s">
        <v>365</v>
      </c>
      <c r="L159" s="36" t="s">
        <v>123</v>
      </c>
      <c r="M159" s="36" t="s">
        <v>738</v>
      </c>
      <c r="N159" s="36"/>
      <c r="O159" s="101"/>
      <c r="P159" s="81"/>
      <c r="Q159" s="36" t="s">
        <v>1234</v>
      </c>
      <c r="R159" s="36" t="s">
        <v>1235</v>
      </c>
      <c r="S159" s="36"/>
      <c r="T159" s="81" t="s">
        <v>1236</v>
      </c>
      <c r="U159" s="81" t="s">
        <v>1237</v>
      </c>
      <c r="V159" s="36"/>
      <c r="W159" s="36"/>
      <c r="X159" s="36"/>
      <c r="Y159" s="36"/>
      <c r="Z159" s="81"/>
      <c r="AA159" s="54"/>
      <c r="AB159" s="81" t="s">
        <v>285</v>
      </c>
      <c r="AC159" s="81"/>
      <c r="AD159" s="36"/>
      <c r="AE159" s="81"/>
      <c r="AF159" s="81" t="s">
        <v>65</v>
      </c>
      <c r="AG159" s="48"/>
      <c r="AH159" s="134" t="str">
        <f t="shared" si="16"/>
        <v/>
      </c>
      <c r="AI159" s="134"/>
      <c r="AJ159" s="48"/>
      <c r="AK159" s="134" t="str">
        <f t="shared" si="17"/>
        <v/>
      </c>
      <c r="AL159" s="94" t="s">
        <v>82</v>
      </c>
      <c r="AM159" s="78"/>
      <c r="AN159" s="78"/>
      <c r="AO159" s="190"/>
      <c r="AP159" s="136" t="str">
        <f t="shared" si="19"/>
        <v/>
      </c>
      <c r="AQ159" s="127"/>
      <c r="AR159" s="23"/>
      <c r="AS159" s="94"/>
      <c r="AT159" s="158"/>
      <c r="AU159" s="70">
        <f t="shared" si="12"/>
        <v>10</v>
      </c>
      <c r="AV159" s="70" t="s">
        <v>68</v>
      </c>
    </row>
    <row r="160" spans="1:48" s="136" customFormat="1" ht="19.5" hidden="1" customHeight="1" x14ac:dyDescent="0.2">
      <c r="A160" s="87">
        <v>20136</v>
      </c>
      <c r="B160" s="80" t="s">
        <v>1238</v>
      </c>
      <c r="C160" s="80" t="s">
        <v>296</v>
      </c>
      <c r="D160" s="87"/>
      <c r="E160" s="123" t="s">
        <v>51</v>
      </c>
      <c r="F160" s="140">
        <v>28950</v>
      </c>
      <c r="G160" s="123" t="s">
        <v>52</v>
      </c>
      <c r="H160" s="54" t="s">
        <v>53</v>
      </c>
      <c r="I160" s="123" t="s">
        <v>1239</v>
      </c>
      <c r="J160" s="140">
        <v>35161</v>
      </c>
      <c r="K160" s="123" t="s">
        <v>52</v>
      </c>
      <c r="L160" s="123" t="s">
        <v>123</v>
      </c>
      <c r="M160" s="123" t="s">
        <v>433</v>
      </c>
      <c r="N160" s="123" t="s">
        <v>1240</v>
      </c>
      <c r="O160" s="106"/>
      <c r="P160" s="54" t="s">
        <v>1241</v>
      </c>
      <c r="Q160" s="123" t="s">
        <v>1242</v>
      </c>
      <c r="R160" s="123" t="s">
        <v>1243</v>
      </c>
      <c r="S160" s="123"/>
      <c r="T160" s="54" t="s">
        <v>1244</v>
      </c>
      <c r="U160" s="54" t="s">
        <v>1244</v>
      </c>
      <c r="V160" s="123"/>
      <c r="W160" s="123"/>
      <c r="X160" s="123"/>
      <c r="Y160" s="123" t="s">
        <v>102</v>
      </c>
      <c r="Z160" s="54"/>
      <c r="AA160" s="54"/>
      <c r="AB160" s="54" t="s">
        <v>103</v>
      </c>
      <c r="AC160" s="54" t="s">
        <v>63</v>
      </c>
      <c r="AD160" s="123" t="s">
        <v>917</v>
      </c>
      <c r="AE160" s="54"/>
      <c r="AF160" s="54" t="s">
        <v>65</v>
      </c>
      <c r="AG160" s="140">
        <v>40070</v>
      </c>
      <c r="AH160" s="65">
        <f t="shared" si="16"/>
        <v>9</v>
      </c>
      <c r="AI160" s="65"/>
      <c r="AJ160" s="140">
        <v>40070</v>
      </c>
      <c r="AK160" s="65">
        <f t="shared" si="17"/>
        <v>9</v>
      </c>
      <c r="AL160" s="54" t="s">
        <v>66</v>
      </c>
      <c r="AM160" s="138"/>
      <c r="AN160" s="138"/>
      <c r="AO160" s="140"/>
      <c r="AP160" s="65" t="str">
        <f t="shared" si="19"/>
        <v/>
      </c>
      <c r="AQ160" s="123" t="s">
        <v>1245</v>
      </c>
      <c r="AR160" s="23"/>
      <c r="AS160" s="54" t="s">
        <v>107</v>
      </c>
      <c r="AT160" s="194"/>
      <c r="AU160" s="70">
        <f t="shared" si="12"/>
        <v>4</v>
      </c>
      <c r="AV160" s="70" t="s">
        <v>68</v>
      </c>
    </row>
    <row r="161" spans="1:48" s="136" customFormat="1" ht="19.5" hidden="1" customHeight="1" x14ac:dyDescent="0.2">
      <c r="A161" s="86">
        <v>20137</v>
      </c>
      <c r="B161" s="3" t="s">
        <v>1246</v>
      </c>
      <c r="C161" s="3" t="s">
        <v>685</v>
      </c>
      <c r="D161" s="86"/>
      <c r="E161" s="36" t="s">
        <v>94</v>
      </c>
      <c r="F161" s="48">
        <v>32667</v>
      </c>
      <c r="G161" s="36"/>
      <c r="H161" s="81" t="s">
        <v>52</v>
      </c>
      <c r="I161" s="36" t="s">
        <v>1247</v>
      </c>
      <c r="J161" s="48">
        <v>37882</v>
      </c>
      <c r="K161" s="36" t="s">
        <v>52</v>
      </c>
      <c r="L161" s="36" t="s">
        <v>1123</v>
      </c>
      <c r="M161" s="36" t="s">
        <v>1248</v>
      </c>
      <c r="N161" s="36" t="s">
        <v>320</v>
      </c>
      <c r="O161" s="101"/>
      <c r="P161" s="159" t="s">
        <v>1249</v>
      </c>
      <c r="Q161" s="36"/>
      <c r="R161" s="36" t="s">
        <v>1250</v>
      </c>
      <c r="S161" s="36"/>
      <c r="T161" s="81"/>
      <c r="U161" s="81" t="s">
        <v>1251</v>
      </c>
      <c r="V161" s="36"/>
      <c r="W161" s="36"/>
      <c r="X161" s="36"/>
      <c r="Y161" s="36" t="s">
        <v>284</v>
      </c>
      <c r="Z161" s="81"/>
      <c r="AA161" s="54"/>
      <c r="AB161" s="81" t="s">
        <v>285</v>
      </c>
      <c r="AC161" s="81" t="s">
        <v>236</v>
      </c>
      <c r="AD161" s="36" t="s">
        <v>221</v>
      </c>
      <c r="AE161" s="81" t="s">
        <v>963</v>
      </c>
      <c r="AF161" s="81" t="s">
        <v>65</v>
      </c>
      <c r="AG161" s="48"/>
      <c r="AH161" s="134" t="str">
        <f t="shared" si="16"/>
        <v/>
      </c>
      <c r="AI161" s="134"/>
      <c r="AJ161" s="48"/>
      <c r="AK161" s="134" t="str">
        <f t="shared" si="17"/>
        <v/>
      </c>
      <c r="AL161" s="54" t="s">
        <v>82</v>
      </c>
      <c r="AM161" s="54"/>
      <c r="AN161" s="54"/>
      <c r="AO161" s="190"/>
      <c r="AQ161" s="123"/>
      <c r="AR161" s="23"/>
      <c r="AS161" s="54" t="s">
        <v>107</v>
      </c>
      <c r="AT161" s="65"/>
      <c r="AU161" s="70">
        <f t="shared" si="12"/>
        <v>6</v>
      </c>
      <c r="AV161" s="70" t="s">
        <v>68</v>
      </c>
    </row>
    <row r="162" spans="1:48" s="136" customFormat="1" ht="19.5" hidden="1" customHeight="1" x14ac:dyDescent="0.2">
      <c r="A162" s="86">
        <v>20138</v>
      </c>
      <c r="B162" s="3" t="s">
        <v>1252</v>
      </c>
      <c r="C162" s="3" t="s">
        <v>1253</v>
      </c>
      <c r="D162" s="86"/>
      <c r="E162" s="36" t="s">
        <v>94</v>
      </c>
      <c r="F162" s="48">
        <v>31948</v>
      </c>
      <c r="G162" s="36" t="s">
        <v>1148</v>
      </c>
      <c r="H162" s="81" t="s">
        <v>1149</v>
      </c>
      <c r="I162" s="36" t="s">
        <v>1254</v>
      </c>
      <c r="J162" s="48">
        <v>39736</v>
      </c>
      <c r="K162" s="36" t="s">
        <v>1255</v>
      </c>
      <c r="L162" s="36" t="s">
        <v>123</v>
      </c>
      <c r="M162" s="36" t="s">
        <v>844</v>
      </c>
      <c r="N162" s="36" t="s">
        <v>1256</v>
      </c>
      <c r="O162" s="101"/>
      <c r="P162" s="81" t="s">
        <v>1257</v>
      </c>
      <c r="Q162" s="36"/>
      <c r="R162" s="36" t="s">
        <v>1258</v>
      </c>
      <c r="S162" s="36"/>
      <c r="T162" s="81" t="s">
        <v>1259</v>
      </c>
      <c r="U162" s="81" t="s">
        <v>1259</v>
      </c>
      <c r="V162" s="36"/>
      <c r="W162" s="36"/>
      <c r="X162" s="36"/>
      <c r="Y162" s="36" t="s">
        <v>595</v>
      </c>
      <c r="Z162" s="81"/>
      <c r="AA162" s="54"/>
      <c r="AB162" s="81" t="s">
        <v>361</v>
      </c>
      <c r="AC162" s="81" t="s">
        <v>63</v>
      </c>
      <c r="AD162" s="36" t="s">
        <v>230</v>
      </c>
      <c r="AE162" s="81"/>
      <c r="AF162" s="81" t="s">
        <v>231</v>
      </c>
      <c r="AG162" s="48"/>
      <c r="AH162" s="134" t="str">
        <f t="shared" si="16"/>
        <v/>
      </c>
      <c r="AI162" s="134"/>
      <c r="AJ162" s="48">
        <v>40070</v>
      </c>
      <c r="AK162" s="134">
        <f t="shared" si="17"/>
        <v>9</v>
      </c>
      <c r="AL162" s="94" t="s">
        <v>82</v>
      </c>
      <c r="AM162" s="78"/>
      <c r="AN162" s="78"/>
      <c r="AO162" s="190">
        <v>40900</v>
      </c>
      <c r="AP162" s="136">
        <f t="shared" ref="AP162:AP173" si="20">IF((AO162=""),"",MONTH(AO162))</f>
        <v>12</v>
      </c>
      <c r="AQ162" s="127"/>
      <c r="AR162" s="23"/>
      <c r="AS162" s="94"/>
      <c r="AT162" s="23"/>
      <c r="AU162" s="70">
        <f t="shared" si="12"/>
        <v>6</v>
      </c>
      <c r="AV162" s="70" t="s">
        <v>68</v>
      </c>
    </row>
    <row r="163" spans="1:48" ht="25.5" hidden="1" x14ac:dyDescent="0.2">
      <c r="A163" s="87">
        <v>20139</v>
      </c>
      <c r="B163" s="80" t="s">
        <v>1260</v>
      </c>
      <c r="C163" s="80" t="s">
        <v>70</v>
      </c>
      <c r="D163" s="87"/>
      <c r="E163" s="123" t="s">
        <v>51</v>
      </c>
      <c r="F163" s="140">
        <v>30926</v>
      </c>
      <c r="G163" s="123" t="s">
        <v>397</v>
      </c>
      <c r="H163" s="54" t="s">
        <v>398</v>
      </c>
      <c r="I163" s="123" t="s">
        <v>1261</v>
      </c>
      <c r="J163" s="140">
        <v>37957</v>
      </c>
      <c r="K163" s="123" t="s">
        <v>397</v>
      </c>
      <c r="L163" s="123" t="s">
        <v>123</v>
      </c>
      <c r="M163" s="123" t="s">
        <v>448</v>
      </c>
      <c r="N163" s="123" t="s">
        <v>469</v>
      </c>
      <c r="O163" s="106"/>
      <c r="P163" s="54" t="s">
        <v>1262</v>
      </c>
      <c r="Q163" s="123" t="s">
        <v>1263</v>
      </c>
      <c r="R163" s="123" t="s">
        <v>1264</v>
      </c>
      <c r="S163" s="123"/>
      <c r="T163" s="54" t="s">
        <v>1265</v>
      </c>
      <c r="U163" s="54" t="s">
        <v>1266</v>
      </c>
      <c r="V163" s="123"/>
      <c r="W163" s="123"/>
      <c r="X163" s="123"/>
      <c r="Y163" s="123" t="s">
        <v>360</v>
      </c>
      <c r="Z163" s="54"/>
      <c r="AA163" s="54"/>
      <c r="AB163" s="54">
        <v>2</v>
      </c>
      <c r="AC163" s="54" t="s">
        <v>362</v>
      </c>
      <c r="AD163" s="123" t="s">
        <v>1067</v>
      </c>
      <c r="AE163" s="54" t="s">
        <v>1068</v>
      </c>
      <c r="AF163" s="54" t="s">
        <v>65</v>
      </c>
      <c r="AG163" s="140">
        <v>40072</v>
      </c>
      <c r="AH163" s="65">
        <f t="shared" si="16"/>
        <v>9</v>
      </c>
      <c r="AI163" s="65"/>
      <c r="AJ163" s="140">
        <v>40072</v>
      </c>
      <c r="AK163" s="65">
        <f t="shared" si="17"/>
        <v>9</v>
      </c>
      <c r="AL163" s="54" t="s">
        <v>66</v>
      </c>
      <c r="AM163" s="138"/>
      <c r="AN163" s="138"/>
      <c r="AO163" s="140"/>
      <c r="AP163" s="65" t="str">
        <f t="shared" si="20"/>
        <v/>
      </c>
      <c r="AQ163" s="123" t="s">
        <v>1267</v>
      </c>
      <c r="AR163" s="23"/>
      <c r="AS163" s="54" t="s">
        <v>107</v>
      </c>
      <c r="AT163" s="136"/>
      <c r="AU163" s="70">
        <f t="shared" ref="AU163:AU226" si="21">IF((F163=""),"",MONTH(F163))</f>
        <v>9</v>
      </c>
      <c r="AV163" s="70" t="s">
        <v>68</v>
      </c>
    </row>
    <row r="164" spans="1:48" s="136" customFormat="1" ht="19.5" hidden="1" customHeight="1" x14ac:dyDescent="0.2">
      <c r="A164" s="86">
        <v>20140</v>
      </c>
      <c r="B164" s="3" t="s">
        <v>1268</v>
      </c>
      <c r="C164" s="3" t="s">
        <v>378</v>
      </c>
      <c r="D164" s="86"/>
      <c r="E164" s="36" t="s">
        <v>94</v>
      </c>
      <c r="F164" s="48">
        <v>29518</v>
      </c>
      <c r="G164" s="36" t="s">
        <v>52</v>
      </c>
      <c r="H164" s="81" t="s">
        <v>53</v>
      </c>
      <c r="I164" s="36" t="s">
        <v>1269</v>
      </c>
      <c r="J164" s="48">
        <v>35849</v>
      </c>
      <c r="K164" s="36"/>
      <c r="L164" s="36" t="s">
        <v>123</v>
      </c>
      <c r="M164" s="36" t="s">
        <v>111</v>
      </c>
      <c r="N164" s="36"/>
      <c r="O164" s="101"/>
      <c r="P164" s="81"/>
      <c r="Q164" s="36"/>
      <c r="R164" s="36"/>
      <c r="S164" s="36"/>
      <c r="T164" s="81" t="s">
        <v>1270</v>
      </c>
      <c r="U164" s="81" t="s">
        <v>1271</v>
      </c>
      <c r="V164" s="36"/>
      <c r="W164" s="36"/>
      <c r="X164" s="36"/>
      <c r="Y164" s="36"/>
      <c r="Z164" s="81"/>
      <c r="AA164" s="54"/>
      <c r="AB164" s="81">
        <v>1</v>
      </c>
      <c r="AC164" s="81"/>
      <c r="AD164" s="36"/>
      <c r="AE164" s="81"/>
      <c r="AF164" s="81" t="s">
        <v>65</v>
      </c>
      <c r="AG164" s="48"/>
      <c r="AH164" s="134" t="str">
        <f t="shared" si="16"/>
        <v/>
      </c>
      <c r="AI164" s="134"/>
      <c r="AJ164" s="48"/>
      <c r="AK164" s="134" t="str">
        <f t="shared" si="17"/>
        <v/>
      </c>
      <c r="AL164" s="94" t="s">
        <v>82</v>
      </c>
      <c r="AM164" s="78"/>
      <c r="AN164" s="78"/>
      <c r="AO164" s="190"/>
      <c r="AP164" s="136" t="str">
        <f t="shared" si="20"/>
        <v/>
      </c>
      <c r="AQ164" s="127"/>
      <c r="AR164" s="23"/>
      <c r="AS164" s="94"/>
      <c r="AT164" s="184"/>
      <c r="AU164" s="70">
        <f t="shared" si="21"/>
        <v>10</v>
      </c>
      <c r="AV164" s="70" t="s">
        <v>68</v>
      </c>
    </row>
    <row r="165" spans="1:48" s="136" customFormat="1" ht="25.5" hidden="1" x14ac:dyDescent="0.2">
      <c r="A165" s="86">
        <v>20141</v>
      </c>
      <c r="B165" s="3" t="s">
        <v>265</v>
      </c>
      <c r="C165" s="3" t="s">
        <v>1272</v>
      </c>
      <c r="D165" s="86"/>
      <c r="E165" s="36" t="s">
        <v>94</v>
      </c>
      <c r="F165" s="48">
        <v>31651</v>
      </c>
      <c r="G165" s="36" t="s">
        <v>412</v>
      </c>
      <c r="H165" s="81" t="s">
        <v>413</v>
      </c>
      <c r="I165" s="36" t="s">
        <v>1273</v>
      </c>
      <c r="J165" s="48">
        <v>36711</v>
      </c>
      <c r="K165" s="36" t="s">
        <v>884</v>
      </c>
      <c r="L165" s="36" t="s">
        <v>123</v>
      </c>
      <c r="M165" s="36" t="s">
        <v>1213</v>
      </c>
      <c r="N165" s="36"/>
      <c r="O165" s="101"/>
      <c r="P165" s="81" t="s">
        <v>1274</v>
      </c>
      <c r="Q165" s="36"/>
      <c r="R165" s="36" t="s">
        <v>1275</v>
      </c>
      <c r="S165" s="36"/>
      <c r="T165" s="81" t="s">
        <v>1276</v>
      </c>
      <c r="U165" s="81" t="s">
        <v>1277</v>
      </c>
      <c r="V165" s="36"/>
      <c r="W165" s="36"/>
      <c r="X165" s="36"/>
      <c r="Y165" s="36" t="s">
        <v>616</v>
      </c>
      <c r="Z165" s="81"/>
      <c r="AA165" s="54"/>
      <c r="AB165" s="81" t="s">
        <v>285</v>
      </c>
      <c r="AC165" s="81" t="s">
        <v>236</v>
      </c>
      <c r="AD165" s="36"/>
      <c r="AE165" s="81"/>
      <c r="AF165" s="81" t="s">
        <v>65</v>
      </c>
      <c r="AG165" s="48"/>
      <c r="AH165" s="134" t="str">
        <f t="shared" si="16"/>
        <v/>
      </c>
      <c r="AI165" s="134"/>
      <c r="AJ165" s="48">
        <v>40084</v>
      </c>
      <c r="AK165" s="134">
        <f t="shared" si="17"/>
        <v>9</v>
      </c>
      <c r="AL165" s="94" t="s">
        <v>82</v>
      </c>
      <c r="AM165" s="78"/>
      <c r="AN165" s="78"/>
      <c r="AO165" s="190">
        <v>40644</v>
      </c>
      <c r="AP165" s="136">
        <f t="shared" si="20"/>
        <v>4</v>
      </c>
      <c r="AQ165" s="127"/>
      <c r="AR165" s="23"/>
      <c r="AS165" s="94"/>
      <c r="AT165" s="158"/>
      <c r="AU165" s="70">
        <f t="shared" si="21"/>
        <v>8</v>
      </c>
      <c r="AV165" s="70" t="s">
        <v>68</v>
      </c>
    </row>
    <row r="166" spans="1:48" s="136" customFormat="1" ht="25.5" hidden="1" x14ac:dyDescent="0.2">
      <c r="A166" s="86">
        <v>20142</v>
      </c>
      <c r="B166" s="3" t="s">
        <v>1278</v>
      </c>
      <c r="C166" s="3" t="s">
        <v>1279</v>
      </c>
      <c r="D166" s="86"/>
      <c r="E166" s="36" t="s">
        <v>94</v>
      </c>
      <c r="F166" s="48">
        <v>30922</v>
      </c>
      <c r="G166" s="36" t="s">
        <v>1280</v>
      </c>
      <c r="H166" s="81" t="s">
        <v>1281</v>
      </c>
      <c r="I166" s="36" t="s">
        <v>1282</v>
      </c>
      <c r="J166" s="48">
        <v>38413</v>
      </c>
      <c r="K166" s="36" t="s">
        <v>1283</v>
      </c>
      <c r="L166" s="36" t="s">
        <v>123</v>
      </c>
      <c r="M166" s="36" t="s">
        <v>1284</v>
      </c>
      <c r="N166" s="36"/>
      <c r="O166" s="101"/>
      <c r="P166" s="81"/>
      <c r="Q166" s="36"/>
      <c r="R166" s="36" t="s">
        <v>1285</v>
      </c>
      <c r="S166" s="36"/>
      <c r="T166" s="81" t="s">
        <v>1286</v>
      </c>
      <c r="U166" s="81" t="s">
        <v>1287</v>
      </c>
      <c r="V166" s="36"/>
      <c r="W166" s="36"/>
      <c r="X166" s="36"/>
      <c r="Y166" s="36"/>
      <c r="Z166" s="81"/>
      <c r="AA166" s="54"/>
      <c r="AB166" s="81">
        <v>1</v>
      </c>
      <c r="AC166" s="81"/>
      <c r="AD166" s="36"/>
      <c r="AE166" s="81"/>
      <c r="AF166" s="81" t="s">
        <v>65</v>
      </c>
      <c r="AG166" s="48"/>
      <c r="AH166" s="134" t="str">
        <f t="shared" si="16"/>
        <v/>
      </c>
      <c r="AI166" s="134"/>
      <c r="AJ166" s="48"/>
      <c r="AK166" s="134" t="str">
        <f t="shared" si="17"/>
        <v/>
      </c>
      <c r="AL166" s="94" t="s">
        <v>82</v>
      </c>
      <c r="AM166" s="78"/>
      <c r="AN166" s="78"/>
      <c r="AO166" s="190">
        <v>40364</v>
      </c>
      <c r="AP166" s="136">
        <f t="shared" si="20"/>
        <v>7</v>
      </c>
      <c r="AQ166" s="127"/>
      <c r="AR166" s="23"/>
      <c r="AS166" s="94"/>
      <c r="AT166" s="158"/>
      <c r="AU166" s="70">
        <f t="shared" si="21"/>
        <v>8</v>
      </c>
      <c r="AV166" s="70" t="s">
        <v>68</v>
      </c>
    </row>
    <row r="167" spans="1:48" s="136" customFormat="1" ht="25.5" hidden="1" x14ac:dyDescent="0.2">
      <c r="A167" s="86">
        <v>20143</v>
      </c>
      <c r="B167" s="3" t="s">
        <v>265</v>
      </c>
      <c r="C167" s="3" t="s">
        <v>1288</v>
      </c>
      <c r="D167" s="86"/>
      <c r="E167" s="36" t="s">
        <v>94</v>
      </c>
      <c r="F167" s="48">
        <v>31634</v>
      </c>
      <c r="G167" s="36" t="s">
        <v>997</v>
      </c>
      <c r="H167" s="81" t="s">
        <v>998</v>
      </c>
      <c r="I167" s="36" t="s">
        <v>1289</v>
      </c>
      <c r="J167" s="48">
        <v>37828</v>
      </c>
      <c r="K167" s="36" t="s">
        <v>1290</v>
      </c>
      <c r="L167" s="36" t="s">
        <v>123</v>
      </c>
      <c r="M167" s="36" t="s">
        <v>1048</v>
      </c>
      <c r="N167" s="36"/>
      <c r="O167" s="101"/>
      <c r="P167" s="81" t="s">
        <v>1291</v>
      </c>
      <c r="Q167" s="36"/>
      <c r="R167" s="36" t="s">
        <v>1292</v>
      </c>
      <c r="S167" s="36"/>
      <c r="T167" s="81" t="s">
        <v>1293</v>
      </c>
      <c r="U167" s="81" t="s">
        <v>1293</v>
      </c>
      <c r="V167" s="36"/>
      <c r="W167" s="36"/>
      <c r="X167" s="36"/>
      <c r="Y167" s="36"/>
      <c r="Z167" s="81"/>
      <c r="AA167" s="54"/>
      <c r="AB167" s="81" t="s">
        <v>285</v>
      </c>
      <c r="AC167" s="81"/>
      <c r="AD167" s="36"/>
      <c r="AE167" s="81"/>
      <c r="AF167" s="81" t="s">
        <v>65</v>
      </c>
      <c r="AG167" s="48"/>
      <c r="AH167" s="134" t="str">
        <f t="shared" si="16"/>
        <v/>
      </c>
      <c r="AI167" s="134"/>
      <c r="AJ167" s="48"/>
      <c r="AK167" s="134" t="str">
        <f t="shared" si="17"/>
        <v/>
      </c>
      <c r="AL167" s="94" t="s">
        <v>82</v>
      </c>
      <c r="AM167" s="78"/>
      <c r="AN167" s="78"/>
      <c r="AO167" s="190"/>
      <c r="AP167" s="136" t="str">
        <f t="shared" si="20"/>
        <v/>
      </c>
      <c r="AQ167" s="127"/>
      <c r="AR167" s="23"/>
      <c r="AS167" s="94"/>
      <c r="AT167" s="158"/>
      <c r="AU167" s="70">
        <f t="shared" si="21"/>
        <v>8</v>
      </c>
      <c r="AV167" s="70" t="s">
        <v>68</v>
      </c>
    </row>
    <row r="168" spans="1:48" s="136" customFormat="1" ht="19.5" hidden="1" customHeight="1" x14ac:dyDescent="0.2">
      <c r="A168" s="87">
        <v>20144</v>
      </c>
      <c r="B168" s="80" t="s">
        <v>766</v>
      </c>
      <c r="C168" s="80" t="s">
        <v>778</v>
      </c>
      <c r="D168" s="87"/>
      <c r="E168" s="123" t="s">
        <v>94</v>
      </c>
      <c r="F168" s="140">
        <v>31805</v>
      </c>
      <c r="G168" s="123" t="s">
        <v>52</v>
      </c>
      <c r="H168" s="54" t="s">
        <v>53</v>
      </c>
      <c r="I168" s="123" t="s">
        <v>1294</v>
      </c>
      <c r="J168" s="140">
        <v>38173</v>
      </c>
      <c r="K168" s="123" t="s">
        <v>52</v>
      </c>
      <c r="L168" s="123" t="s">
        <v>123</v>
      </c>
      <c r="M168" s="123" t="s">
        <v>1295</v>
      </c>
      <c r="N168" s="123" t="s">
        <v>368</v>
      </c>
      <c r="O168" s="106"/>
      <c r="P168" s="54" t="s">
        <v>1296</v>
      </c>
      <c r="Q168" s="123"/>
      <c r="R168" s="123" t="s">
        <v>1297</v>
      </c>
      <c r="S168" s="123"/>
      <c r="T168" s="54" t="s">
        <v>1298</v>
      </c>
      <c r="U168" s="54" t="s">
        <v>1298</v>
      </c>
      <c r="V168" s="123"/>
      <c r="W168" s="123"/>
      <c r="X168" s="123"/>
      <c r="Y168" s="123" t="s">
        <v>206</v>
      </c>
      <c r="Z168" s="54"/>
      <c r="AA168" s="54"/>
      <c r="AB168" s="54">
        <v>3</v>
      </c>
      <c r="AC168" s="54" t="s">
        <v>63</v>
      </c>
      <c r="AD168" s="123" t="s">
        <v>207</v>
      </c>
      <c r="AE168" s="54" t="s">
        <v>1128</v>
      </c>
      <c r="AF168" s="54" t="s">
        <v>65</v>
      </c>
      <c r="AG168" s="140">
        <v>40087</v>
      </c>
      <c r="AH168" s="65">
        <f t="shared" si="16"/>
        <v>10</v>
      </c>
      <c r="AI168" s="65"/>
      <c r="AJ168" s="140">
        <v>40087</v>
      </c>
      <c r="AK168" s="65">
        <f t="shared" si="17"/>
        <v>10</v>
      </c>
      <c r="AL168" s="54" t="s">
        <v>66</v>
      </c>
      <c r="AM168" s="138"/>
      <c r="AN168" s="138"/>
      <c r="AO168" s="140"/>
      <c r="AP168" s="65" t="str">
        <f t="shared" si="20"/>
        <v/>
      </c>
      <c r="AQ168" s="123"/>
      <c r="AR168" s="23"/>
      <c r="AS168" s="54" t="s">
        <v>347</v>
      </c>
      <c r="AT168" s="158"/>
      <c r="AU168" s="70">
        <f t="shared" si="21"/>
        <v>1</v>
      </c>
      <c r="AV168" s="70" t="s">
        <v>68</v>
      </c>
    </row>
    <row r="169" spans="1:48" s="136" customFormat="1" ht="19.5" hidden="1" customHeight="1" x14ac:dyDescent="0.2">
      <c r="A169" s="87">
        <v>20145</v>
      </c>
      <c r="B169" s="80" t="s">
        <v>572</v>
      </c>
      <c r="C169" s="80" t="s">
        <v>200</v>
      </c>
      <c r="D169" s="87"/>
      <c r="E169" s="123" t="s">
        <v>94</v>
      </c>
      <c r="F169" s="140">
        <v>30857</v>
      </c>
      <c r="G169" s="123" t="s">
        <v>52</v>
      </c>
      <c r="H169" s="54" t="s">
        <v>53</v>
      </c>
      <c r="I169" s="123" t="s">
        <v>1299</v>
      </c>
      <c r="J169" s="140">
        <v>36275</v>
      </c>
      <c r="K169" s="123" t="s">
        <v>52</v>
      </c>
      <c r="L169" s="123" t="s">
        <v>341</v>
      </c>
      <c r="M169" s="123" t="s">
        <v>1300</v>
      </c>
      <c r="N169" s="123"/>
      <c r="O169" s="106"/>
      <c r="P169" s="54" t="s">
        <v>1301</v>
      </c>
      <c r="Q169" s="123"/>
      <c r="R169" s="123" t="s">
        <v>1302</v>
      </c>
      <c r="S169" s="123"/>
      <c r="T169" s="54" t="s">
        <v>1303</v>
      </c>
      <c r="U169" s="54" t="s">
        <v>1303</v>
      </c>
      <c r="V169" s="123"/>
      <c r="W169" s="123"/>
      <c r="X169" s="123"/>
      <c r="Y169" s="123" t="s">
        <v>206</v>
      </c>
      <c r="Z169" s="54"/>
      <c r="AA169" s="54"/>
      <c r="AB169" s="54">
        <v>3</v>
      </c>
      <c r="AC169" s="54" t="s">
        <v>63</v>
      </c>
      <c r="AD169" s="123" t="s">
        <v>375</v>
      </c>
      <c r="AE169" s="54" t="s">
        <v>792</v>
      </c>
      <c r="AF169" s="54" t="s">
        <v>65</v>
      </c>
      <c r="AG169" s="140">
        <v>40087</v>
      </c>
      <c r="AH169" s="65">
        <f t="shared" si="16"/>
        <v>10</v>
      </c>
      <c r="AI169" s="65"/>
      <c r="AJ169" s="140">
        <v>40087</v>
      </c>
      <c r="AK169" s="65">
        <f t="shared" si="17"/>
        <v>10</v>
      </c>
      <c r="AL169" s="54" t="s">
        <v>66</v>
      </c>
      <c r="AM169" s="138"/>
      <c r="AN169" s="138"/>
      <c r="AO169" s="140"/>
      <c r="AP169" s="65" t="str">
        <f t="shared" si="20"/>
        <v/>
      </c>
      <c r="AQ169" s="123"/>
      <c r="AR169" s="23"/>
      <c r="AS169" s="54" t="s">
        <v>107</v>
      </c>
      <c r="AT169" s="158"/>
      <c r="AU169" s="70">
        <f t="shared" si="21"/>
        <v>6</v>
      </c>
      <c r="AV169" s="70" t="s">
        <v>68</v>
      </c>
    </row>
    <row r="170" spans="1:48" s="136" customFormat="1" ht="19.5" hidden="1" customHeight="1" x14ac:dyDescent="0.2">
      <c r="A170" s="86">
        <v>20146</v>
      </c>
      <c r="B170" s="3" t="s">
        <v>49</v>
      </c>
      <c r="C170" s="3" t="s">
        <v>396</v>
      </c>
      <c r="D170" s="86"/>
      <c r="E170" s="36" t="s">
        <v>94</v>
      </c>
      <c r="F170" s="48"/>
      <c r="G170" s="36"/>
      <c r="H170" s="81" t="s">
        <v>0</v>
      </c>
      <c r="I170" s="36"/>
      <c r="J170" s="48"/>
      <c r="K170" s="36"/>
      <c r="L170" s="36" t="s">
        <v>123</v>
      </c>
      <c r="M170" s="36"/>
      <c r="N170" s="36"/>
      <c r="O170" s="101"/>
      <c r="P170" s="81"/>
      <c r="Q170" s="36"/>
      <c r="R170" s="36"/>
      <c r="S170" s="36"/>
      <c r="T170" s="81" t="s">
        <v>0</v>
      </c>
      <c r="U170" s="81" t="s">
        <v>0</v>
      </c>
      <c r="V170" s="36"/>
      <c r="W170" s="36"/>
      <c r="X170" s="36"/>
      <c r="Y170" s="36" t="s">
        <v>206</v>
      </c>
      <c r="Z170" s="81"/>
      <c r="AA170" s="54"/>
      <c r="AB170" s="81">
        <v>3</v>
      </c>
      <c r="AC170" s="81" t="s">
        <v>63</v>
      </c>
      <c r="AD170" s="36"/>
      <c r="AE170" s="81"/>
      <c r="AF170" s="81"/>
      <c r="AG170" s="48"/>
      <c r="AH170" s="134" t="str">
        <f t="shared" si="16"/>
        <v/>
      </c>
      <c r="AI170" s="134"/>
      <c r="AJ170" s="48"/>
      <c r="AK170" s="134" t="str">
        <f t="shared" si="17"/>
        <v/>
      </c>
      <c r="AL170" s="94" t="s">
        <v>82</v>
      </c>
      <c r="AM170" s="78"/>
      <c r="AN170" s="78"/>
      <c r="AO170" s="190"/>
      <c r="AP170" s="136" t="str">
        <f t="shared" si="20"/>
        <v/>
      </c>
      <c r="AQ170" s="127"/>
      <c r="AR170" s="23"/>
      <c r="AS170" s="94"/>
      <c r="AT170" s="194"/>
      <c r="AU170" s="70" t="str">
        <f t="shared" si="21"/>
        <v/>
      </c>
      <c r="AV170" s="70" t="s">
        <v>68</v>
      </c>
    </row>
    <row r="171" spans="1:48" ht="12.75" hidden="1" x14ac:dyDescent="0.2">
      <c r="A171" s="86">
        <v>20147</v>
      </c>
      <c r="B171" s="3" t="s">
        <v>1304</v>
      </c>
      <c r="C171" s="3" t="s">
        <v>685</v>
      </c>
      <c r="D171" s="86"/>
      <c r="E171" s="36" t="s">
        <v>94</v>
      </c>
      <c r="F171" s="48">
        <v>31479</v>
      </c>
      <c r="G171" s="36" t="s">
        <v>52</v>
      </c>
      <c r="H171" s="81" t="s">
        <v>53</v>
      </c>
      <c r="I171" s="36"/>
      <c r="J171" s="48"/>
      <c r="K171" s="36"/>
      <c r="L171" s="36" t="s">
        <v>123</v>
      </c>
      <c r="M171" s="36" t="s">
        <v>96</v>
      </c>
      <c r="N171" s="36"/>
      <c r="O171" s="101"/>
      <c r="P171" s="81" t="s">
        <v>1305</v>
      </c>
      <c r="Q171" s="36"/>
      <c r="R171" s="36"/>
      <c r="S171" s="36"/>
      <c r="T171" s="81" t="s">
        <v>0</v>
      </c>
      <c r="U171" s="81" t="s">
        <v>0</v>
      </c>
      <c r="V171" s="36"/>
      <c r="W171" s="36"/>
      <c r="X171" s="36"/>
      <c r="Y171" s="36"/>
      <c r="Z171" s="81"/>
      <c r="AA171" s="54"/>
      <c r="AB171" s="81" t="s">
        <v>285</v>
      </c>
      <c r="AC171" s="81"/>
      <c r="AD171" s="36"/>
      <c r="AE171" s="81"/>
      <c r="AF171" s="81" t="s">
        <v>65</v>
      </c>
      <c r="AG171" s="48"/>
      <c r="AH171" s="134" t="str">
        <f t="shared" si="16"/>
        <v/>
      </c>
      <c r="AI171" s="134"/>
      <c r="AJ171" s="48"/>
      <c r="AK171" s="134" t="str">
        <f t="shared" si="17"/>
        <v/>
      </c>
      <c r="AL171" s="94" t="s">
        <v>82</v>
      </c>
      <c r="AM171" s="78"/>
      <c r="AN171" s="78"/>
      <c r="AO171" s="190"/>
      <c r="AP171" s="136" t="str">
        <f t="shared" si="20"/>
        <v/>
      </c>
      <c r="AQ171" s="127"/>
      <c r="AR171" s="23"/>
      <c r="AS171" s="94"/>
      <c r="AT171" s="136"/>
      <c r="AU171" s="70">
        <f t="shared" si="21"/>
        <v>3</v>
      </c>
      <c r="AV171" s="70" t="s">
        <v>68</v>
      </c>
    </row>
    <row r="172" spans="1:48" ht="25.5" x14ac:dyDescent="0.2">
      <c r="A172" s="87">
        <v>20148</v>
      </c>
      <c r="B172" s="80" t="s">
        <v>1306</v>
      </c>
      <c r="C172" s="80" t="s">
        <v>618</v>
      </c>
      <c r="D172" s="87"/>
      <c r="E172" s="123" t="s">
        <v>94</v>
      </c>
      <c r="F172" s="140">
        <v>30917</v>
      </c>
      <c r="G172" s="123" t="s">
        <v>1307</v>
      </c>
      <c r="H172" s="54" t="s">
        <v>1308</v>
      </c>
      <c r="I172" s="123" t="s">
        <v>1309</v>
      </c>
      <c r="J172" s="140">
        <v>36227</v>
      </c>
      <c r="K172" s="123" t="s">
        <v>1307</v>
      </c>
      <c r="L172" s="123" t="s">
        <v>123</v>
      </c>
      <c r="M172" s="123" t="s">
        <v>1295</v>
      </c>
      <c r="N172" s="123"/>
      <c r="O172" s="106"/>
      <c r="P172" s="54" t="s">
        <v>1310</v>
      </c>
      <c r="Q172" s="123" t="s">
        <v>1311</v>
      </c>
      <c r="R172" s="123" t="s">
        <v>1312</v>
      </c>
      <c r="S172" s="123"/>
      <c r="T172" s="54" t="s">
        <v>1313</v>
      </c>
      <c r="U172" s="54" t="s">
        <v>1314</v>
      </c>
      <c r="V172" s="123"/>
      <c r="W172" s="123"/>
      <c r="X172" s="123"/>
      <c r="Y172" s="123" t="s">
        <v>1182</v>
      </c>
      <c r="Z172" s="54"/>
      <c r="AA172" s="54"/>
      <c r="AB172" s="54" t="s">
        <v>361</v>
      </c>
      <c r="AC172" s="54" t="s">
        <v>362</v>
      </c>
      <c r="AD172" s="123" t="s">
        <v>1183</v>
      </c>
      <c r="AE172" s="54" t="s">
        <v>1184</v>
      </c>
      <c r="AF172" s="54" t="s">
        <v>231</v>
      </c>
      <c r="AG172" s="140">
        <v>40094</v>
      </c>
      <c r="AH172" s="65">
        <f t="shared" si="16"/>
        <v>10</v>
      </c>
      <c r="AI172" s="65"/>
      <c r="AJ172" s="140">
        <v>40094</v>
      </c>
      <c r="AK172" s="65">
        <f t="shared" si="17"/>
        <v>10</v>
      </c>
      <c r="AL172" s="54" t="s">
        <v>66</v>
      </c>
      <c r="AM172" s="138"/>
      <c r="AN172" s="138"/>
      <c r="AO172" s="140"/>
      <c r="AP172" s="65" t="str">
        <f t="shared" si="20"/>
        <v/>
      </c>
      <c r="AQ172" s="123"/>
      <c r="AR172" s="23"/>
      <c r="AS172" s="54" t="s">
        <v>347</v>
      </c>
      <c r="AT172" s="136"/>
      <c r="AU172" s="70">
        <f t="shared" si="21"/>
        <v>8</v>
      </c>
      <c r="AV172" s="70" t="s">
        <v>68</v>
      </c>
    </row>
    <row r="173" spans="1:48" ht="25.5" hidden="1" x14ac:dyDescent="0.2">
      <c r="A173" s="87">
        <v>20149</v>
      </c>
      <c r="B173" s="80" t="s">
        <v>1315</v>
      </c>
      <c r="C173" s="80" t="s">
        <v>287</v>
      </c>
      <c r="D173" s="87"/>
      <c r="E173" s="123" t="s">
        <v>94</v>
      </c>
      <c r="F173" s="140">
        <v>31306</v>
      </c>
      <c r="G173" s="123" t="s">
        <v>1316</v>
      </c>
      <c r="H173" s="54" t="s">
        <v>1317</v>
      </c>
      <c r="I173" s="123" t="s">
        <v>1318</v>
      </c>
      <c r="J173" s="140">
        <v>37497</v>
      </c>
      <c r="K173" s="123" t="s">
        <v>1316</v>
      </c>
      <c r="L173" s="123" t="s">
        <v>341</v>
      </c>
      <c r="M173" s="123" t="s">
        <v>468</v>
      </c>
      <c r="N173" s="123"/>
      <c r="O173" s="106"/>
      <c r="P173" s="54" t="s">
        <v>1319</v>
      </c>
      <c r="Q173" s="123"/>
      <c r="R173" s="123" t="s">
        <v>1320</v>
      </c>
      <c r="S173" s="123"/>
      <c r="T173" s="54" t="s">
        <v>1321</v>
      </c>
      <c r="U173" s="54" t="s">
        <v>1322</v>
      </c>
      <c r="V173" s="123"/>
      <c r="W173" s="123"/>
      <c r="X173" s="123"/>
      <c r="Y173" s="123" t="s">
        <v>312</v>
      </c>
      <c r="Z173" s="54"/>
      <c r="AA173" s="54"/>
      <c r="AB173" s="54" t="s">
        <v>285</v>
      </c>
      <c r="AC173" s="54" t="s">
        <v>236</v>
      </c>
      <c r="AD173" s="123" t="s">
        <v>375</v>
      </c>
      <c r="AE173" s="54" t="s">
        <v>792</v>
      </c>
      <c r="AF173" s="54" t="s">
        <v>65</v>
      </c>
      <c r="AG173" s="140">
        <v>40094</v>
      </c>
      <c r="AH173" s="65">
        <f t="shared" si="16"/>
        <v>10</v>
      </c>
      <c r="AI173" s="65"/>
      <c r="AJ173" s="140">
        <v>40094</v>
      </c>
      <c r="AK173" s="65">
        <f t="shared" si="17"/>
        <v>10</v>
      </c>
      <c r="AL173" s="54" t="s">
        <v>66</v>
      </c>
      <c r="AM173" s="138"/>
      <c r="AN173" s="138"/>
      <c r="AO173" s="140"/>
      <c r="AP173" s="65" t="str">
        <f t="shared" si="20"/>
        <v/>
      </c>
      <c r="AQ173" s="123"/>
      <c r="AR173" s="23"/>
      <c r="AS173" s="54" t="s">
        <v>107</v>
      </c>
      <c r="AT173" s="136"/>
      <c r="AU173" s="70">
        <f t="shared" si="21"/>
        <v>9</v>
      </c>
      <c r="AV173" s="70" t="s">
        <v>68</v>
      </c>
    </row>
    <row r="174" spans="1:48" s="136" customFormat="1" ht="19.5" hidden="1" customHeight="1" x14ac:dyDescent="0.2">
      <c r="A174" s="86">
        <v>20150</v>
      </c>
      <c r="B174" s="3" t="s">
        <v>1323</v>
      </c>
      <c r="C174" s="3" t="s">
        <v>607</v>
      </c>
      <c r="D174" s="86"/>
      <c r="E174" s="36" t="s">
        <v>94</v>
      </c>
      <c r="F174" s="48">
        <v>31131</v>
      </c>
      <c r="G174" s="36"/>
      <c r="H174" s="81" t="s">
        <v>161</v>
      </c>
      <c r="I174" s="36" t="s">
        <v>1324</v>
      </c>
      <c r="J174" s="48">
        <v>36725</v>
      </c>
      <c r="K174" s="36" t="s">
        <v>161</v>
      </c>
      <c r="L174" s="36" t="s">
        <v>826</v>
      </c>
      <c r="M174" s="36" t="s">
        <v>1325</v>
      </c>
      <c r="N174" s="36" t="s">
        <v>320</v>
      </c>
      <c r="O174" s="101"/>
      <c r="P174" s="159" t="s">
        <v>1326</v>
      </c>
      <c r="Q174" s="36"/>
      <c r="R174" s="36" t="s">
        <v>1327</v>
      </c>
      <c r="S174" s="36"/>
      <c r="T174" s="81"/>
      <c r="U174" s="81" t="s">
        <v>1328</v>
      </c>
      <c r="V174" s="36"/>
      <c r="W174" s="36"/>
      <c r="X174" s="36"/>
      <c r="Y174" s="36" t="s">
        <v>294</v>
      </c>
      <c r="Z174" s="81"/>
      <c r="AA174" s="54"/>
      <c r="AB174" s="81" t="s">
        <v>285</v>
      </c>
      <c r="AC174" s="81" t="s">
        <v>236</v>
      </c>
      <c r="AD174" s="36"/>
      <c r="AE174" s="81"/>
      <c r="AF174" s="81" t="s">
        <v>65</v>
      </c>
      <c r="AG174" s="48"/>
      <c r="AH174" s="134" t="str">
        <f t="shared" si="16"/>
        <v/>
      </c>
      <c r="AI174" s="134"/>
      <c r="AJ174" s="48"/>
      <c r="AK174" s="134" t="str">
        <f t="shared" si="17"/>
        <v/>
      </c>
      <c r="AL174" s="54" t="s">
        <v>82</v>
      </c>
      <c r="AM174" s="54"/>
      <c r="AN174" s="54"/>
      <c r="AO174" s="190"/>
      <c r="AQ174" s="123"/>
      <c r="AR174" s="23"/>
      <c r="AS174" s="54"/>
      <c r="AT174" s="65"/>
      <c r="AU174" s="70">
        <f t="shared" si="21"/>
        <v>3</v>
      </c>
      <c r="AV174" s="70" t="s">
        <v>68</v>
      </c>
    </row>
    <row r="175" spans="1:48" s="136" customFormat="1" ht="19.5" hidden="1" customHeight="1" x14ac:dyDescent="0.2">
      <c r="A175" s="86">
        <v>20152</v>
      </c>
      <c r="B175" s="3" t="s">
        <v>1329</v>
      </c>
      <c r="C175" s="3" t="s">
        <v>266</v>
      </c>
      <c r="D175" s="86"/>
      <c r="E175" s="36" t="s">
        <v>94</v>
      </c>
      <c r="F175" s="48"/>
      <c r="G175" s="36"/>
      <c r="H175" s="81" t="s">
        <v>0</v>
      </c>
      <c r="I175" s="36"/>
      <c r="J175" s="48"/>
      <c r="K175" s="36"/>
      <c r="L175" s="36"/>
      <c r="M175" s="36"/>
      <c r="N175" s="36"/>
      <c r="O175" s="101"/>
      <c r="P175" s="81"/>
      <c r="Q175" s="36"/>
      <c r="R175" s="36" t="s">
        <v>1330</v>
      </c>
      <c r="S175" s="36"/>
      <c r="T175" s="81" t="s">
        <v>0</v>
      </c>
      <c r="U175" s="81" t="s">
        <v>0</v>
      </c>
      <c r="V175" s="36"/>
      <c r="W175" s="36"/>
      <c r="X175" s="36"/>
      <c r="Y175" s="36"/>
      <c r="Z175" s="81"/>
      <c r="AA175" s="54"/>
      <c r="AB175" s="81"/>
      <c r="AC175" s="81"/>
      <c r="AD175" s="36"/>
      <c r="AE175" s="81"/>
      <c r="AF175" s="81" t="s">
        <v>65</v>
      </c>
      <c r="AG175" s="48"/>
      <c r="AH175" s="134" t="str">
        <f t="shared" si="16"/>
        <v/>
      </c>
      <c r="AI175" s="134"/>
      <c r="AJ175" s="48"/>
      <c r="AK175" s="134" t="str">
        <f t="shared" si="17"/>
        <v/>
      </c>
      <c r="AL175" s="94" t="s">
        <v>82</v>
      </c>
      <c r="AM175" s="78"/>
      <c r="AN175" s="78"/>
      <c r="AO175" s="190"/>
      <c r="AP175" s="136" t="str">
        <f t="shared" ref="AP175:AP190" si="22">IF((AO175=""),"",MONTH(AO175))</f>
        <v/>
      </c>
      <c r="AQ175" s="127"/>
      <c r="AR175" s="23"/>
      <c r="AS175" s="94"/>
      <c r="AT175" s="184"/>
      <c r="AU175" s="70" t="str">
        <f t="shared" si="21"/>
        <v/>
      </c>
      <c r="AV175" s="70" t="s">
        <v>68</v>
      </c>
    </row>
    <row r="176" spans="1:48" s="136" customFormat="1" ht="19.5" hidden="1" customHeight="1" x14ac:dyDescent="0.2">
      <c r="A176" s="86">
        <v>20153</v>
      </c>
      <c r="B176" s="3" t="s">
        <v>1331</v>
      </c>
      <c r="C176" s="3" t="s">
        <v>109</v>
      </c>
      <c r="D176" s="86"/>
      <c r="E176" s="36" t="s">
        <v>94</v>
      </c>
      <c r="F176" s="48">
        <v>31297</v>
      </c>
      <c r="G176" s="36" t="s">
        <v>52</v>
      </c>
      <c r="H176" s="81" t="s">
        <v>53</v>
      </c>
      <c r="I176" s="36" t="s">
        <v>1332</v>
      </c>
      <c r="J176" s="48"/>
      <c r="K176" s="36" t="s">
        <v>52</v>
      </c>
      <c r="L176" s="36"/>
      <c r="M176" s="36"/>
      <c r="N176" s="36"/>
      <c r="O176" s="101"/>
      <c r="P176" s="81"/>
      <c r="Q176" s="36" t="s">
        <v>1333</v>
      </c>
      <c r="R176" s="36" t="s">
        <v>1334</v>
      </c>
      <c r="S176" s="36"/>
      <c r="T176" s="81" t="s">
        <v>1335</v>
      </c>
      <c r="U176" s="81" t="s">
        <v>1336</v>
      </c>
      <c r="V176" s="36"/>
      <c r="W176" s="36"/>
      <c r="X176" s="36"/>
      <c r="Y176" s="36"/>
      <c r="Z176" s="81"/>
      <c r="AA176" s="54"/>
      <c r="AB176" s="81"/>
      <c r="AC176" s="81"/>
      <c r="AD176" s="36"/>
      <c r="AE176" s="81"/>
      <c r="AF176" s="81" t="s">
        <v>65</v>
      </c>
      <c r="AG176" s="48"/>
      <c r="AH176" s="134" t="str">
        <f t="shared" si="16"/>
        <v/>
      </c>
      <c r="AI176" s="134"/>
      <c r="AJ176" s="48"/>
      <c r="AK176" s="134" t="str">
        <f t="shared" si="17"/>
        <v/>
      </c>
      <c r="AL176" s="94" t="s">
        <v>82</v>
      </c>
      <c r="AM176" s="78"/>
      <c r="AN176" s="78"/>
      <c r="AO176" s="190"/>
      <c r="AP176" s="136" t="str">
        <f t="shared" si="22"/>
        <v/>
      </c>
      <c r="AQ176" s="127"/>
      <c r="AR176" s="23"/>
      <c r="AS176" s="94"/>
      <c r="AT176" s="158"/>
      <c r="AU176" s="70">
        <f t="shared" si="21"/>
        <v>9</v>
      </c>
      <c r="AV176" s="70" t="s">
        <v>68</v>
      </c>
    </row>
    <row r="177" spans="1:48" s="136" customFormat="1" ht="25.5" hidden="1" x14ac:dyDescent="0.2">
      <c r="A177" s="87">
        <v>20154</v>
      </c>
      <c r="B177" s="80" t="s">
        <v>1337</v>
      </c>
      <c r="C177" s="80" t="s">
        <v>1338</v>
      </c>
      <c r="D177" s="87"/>
      <c r="E177" s="123" t="s">
        <v>51</v>
      </c>
      <c r="F177" s="140">
        <v>31665</v>
      </c>
      <c r="G177" s="123" t="s">
        <v>379</v>
      </c>
      <c r="H177" s="54" t="s">
        <v>380</v>
      </c>
      <c r="I177" s="123" t="s">
        <v>1339</v>
      </c>
      <c r="J177" s="140">
        <v>40249</v>
      </c>
      <c r="K177" s="123" t="s">
        <v>379</v>
      </c>
      <c r="L177" s="123" t="s">
        <v>123</v>
      </c>
      <c r="M177" s="123" t="s">
        <v>578</v>
      </c>
      <c r="N177" s="123" t="s">
        <v>760</v>
      </c>
      <c r="O177" s="106"/>
      <c r="P177" s="54" t="s">
        <v>1340</v>
      </c>
      <c r="Q177" s="123"/>
      <c r="R177" s="123" t="s">
        <v>1341</v>
      </c>
      <c r="S177" s="123"/>
      <c r="T177" s="54" t="s">
        <v>1342</v>
      </c>
      <c r="U177" s="54" t="s">
        <v>1342</v>
      </c>
      <c r="V177" s="123"/>
      <c r="W177" s="123"/>
      <c r="X177" s="123"/>
      <c r="Y177" s="123" t="s">
        <v>374</v>
      </c>
      <c r="Z177" s="54"/>
      <c r="AA177" s="54"/>
      <c r="AB177" s="54">
        <v>3</v>
      </c>
      <c r="AC177" s="54" t="s">
        <v>63</v>
      </c>
      <c r="AD177" s="123" t="s">
        <v>1343</v>
      </c>
      <c r="AE177" s="54" t="s">
        <v>1344</v>
      </c>
      <c r="AF177" s="54" t="s">
        <v>65</v>
      </c>
      <c r="AG177" s="140">
        <v>40101</v>
      </c>
      <c r="AH177" s="65">
        <f t="shared" si="16"/>
        <v>10</v>
      </c>
      <c r="AI177" s="65"/>
      <c r="AJ177" s="140">
        <v>40101</v>
      </c>
      <c r="AK177" s="65">
        <f t="shared" si="17"/>
        <v>10</v>
      </c>
      <c r="AL177" s="54" t="s">
        <v>66</v>
      </c>
      <c r="AM177" s="138"/>
      <c r="AN177" s="138"/>
      <c r="AO177" s="140"/>
      <c r="AP177" s="65" t="str">
        <f t="shared" si="22"/>
        <v/>
      </c>
      <c r="AQ177" s="123"/>
      <c r="AR177" s="23"/>
      <c r="AS177" s="54" t="s">
        <v>107</v>
      </c>
      <c r="AT177" s="158"/>
      <c r="AU177" s="70">
        <f t="shared" si="21"/>
        <v>9</v>
      </c>
      <c r="AV177" s="70" t="s">
        <v>68</v>
      </c>
    </row>
    <row r="178" spans="1:48" s="136" customFormat="1" ht="25.5" hidden="1" x14ac:dyDescent="0.2">
      <c r="A178" s="87">
        <v>20155</v>
      </c>
      <c r="B178" s="80" t="s">
        <v>1345</v>
      </c>
      <c r="C178" s="80" t="s">
        <v>576</v>
      </c>
      <c r="D178" s="87"/>
      <c r="E178" s="123" t="s">
        <v>94</v>
      </c>
      <c r="F178" s="140">
        <v>30787</v>
      </c>
      <c r="G178" s="123" t="s">
        <v>1307</v>
      </c>
      <c r="H178" s="54" t="s">
        <v>1308</v>
      </c>
      <c r="I178" s="123" t="s">
        <v>1346</v>
      </c>
      <c r="J178" s="140">
        <v>39497</v>
      </c>
      <c r="K178" s="123" t="s">
        <v>1307</v>
      </c>
      <c r="L178" s="123" t="s">
        <v>86</v>
      </c>
      <c r="M178" s="123" t="s">
        <v>1347</v>
      </c>
      <c r="N178" s="123"/>
      <c r="O178" s="106"/>
      <c r="P178" s="54" t="s">
        <v>1348</v>
      </c>
      <c r="Q178" s="123" t="s">
        <v>1349</v>
      </c>
      <c r="R178" s="123" t="s">
        <v>1350</v>
      </c>
      <c r="S178" s="123"/>
      <c r="T178" s="54" t="s">
        <v>1351</v>
      </c>
      <c r="U178" s="54" t="s">
        <v>1352</v>
      </c>
      <c r="V178" s="123"/>
      <c r="W178" s="123"/>
      <c r="X178" s="123"/>
      <c r="Y178" s="123" t="s">
        <v>102</v>
      </c>
      <c r="Z178" s="54"/>
      <c r="AA178" s="54"/>
      <c r="AB178" s="54" t="s">
        <v>103</v>
      </c>
      <c r="AC178" s="54" t="s">
        <v>63</v>
      </c>
      <c r="AD178" s="123" t="s">
        <v>866</v>
      </c>
      <c r="AE178" s="54"/>
      <c r="AF178" s="54" t="s">
        <v>231</v>
      </c>
      <c r="AG178" s="140">
        <v>40102</v>
      </c>
      <c r="AH178" s="65">
        <f t="shared" si="16"/>
        <v>10</v>
      </c>
      <c r="AI178" s="65"/>
      <c r="AJ178" s="140">
        <v>40102</v>
      </c>
      <c r="AK178" s="65">
        <f t="shared" si="17"/>
        <v>10</v>
      </c>
      <c r="AL178" s="54" t="s">
        <v>66</v>
      </c>
      <c r="AM178" s="138"/>
      <c r="AN178" s="138"/>
      <c r="AO178" s="140"/>
      <c r="AP178" s="65" t="str">
        <f t="shared" si="22"/>
        <v/>
      </c>
      <c r="AQ178" s="123"/>
      <c r="AR178" s="23"/>
      <c r="AS178" s="54" t="s">
        <v>347</v>
      </c>
      <c r="AT178" s="194"/>
      <c r="AU178" s="70">
        <f t="shared" si="21"/>
        <v>4</v>
      </c>
      <c r="AV178" s="70" t="s">
        <v>68</v>
      </c>
    </row>
    <row r="179" spans="1:48" ht="25.5" hidden="1" x14ac:dyDescent="0.2">
      <c r="A179" s="86">
        <v>20156</v>
      </c>
      <c r="B179" s="3" t="s">
        <v>1353</v>
      </c>
      <c r="C179" s="3" t="s">
        <v>607</v>
      </c>
      <c r="D179" s="86"/>
      <c r="E179" s="36" t="s">
        <v>51</v>
      </c>
      <c r="F179" s="48">
        <v>29740</v>
      </c>
      <c r="G179" s="36" t="s">
        <v>52</v>
      </c>
      <c r="H179" s="81" t="s">
        <v>53</v>
      </c>
      <c r="I179" s="36" t="s">
        <v>1354</v>
      </c>
      <c r="J179" s="48">
        <v>40127</v>
      </c>
      <c r="K179" s="36" t="s">
        <v>52</v>
      </c>
      <c r="L179" s="36" t="s">
        <v>341</v>
      </c>
      <c r="M179" s="36" t="s">
        <v>1355</v>
      </c>
      <c r="N179" s="36"/>
      <c r="O179" s="101"/>
      <c r="P179" s="81" t="s">
        <v>1356</v>
      </c>
      <c r="Q179" s="36" t="s">
        <v>1357</v>
      </c>
      <c r="R179" s="36" t="s">
        <v>1358</v>
      </c>
      <c r="S179" s="36"/>
      <c r="T179" s="81" t="s">
        <v>1359</v>
      </c>
      <c r="U179" s="81" t="s">
        <v>1359</v>
      </c>
      <c r="V179" s="36"/>
      <c r="W179" s="36"/>
      <c r="X179" s="36"/>
      <c r="Y179" s="36"/>
      <c r="Z179" s="81"/>
      <c r="AA179" s="54"/>
      <c r="AB179" s="81"/>
      <c r="AC179" s="81"/>
      <c r="AD179" s="36"/>
      <c r="AE179" s="81"/>
      <c r="AF179" s="81" t="s">
        <v>65</v>
      </c>
      <c r="AG179" s="48"/>
      <c r="AH179" s="134" t="str">
        <f t="shared" si="16"/>
        <v/>
      </c>
      <c r="AI179" s="134"/>
      <c r="AJ179" s="48">
        <v>40105</v>
      </c>
      <c r="AK179" s="134">
        <f t="shared" si="17"/>
        <v>10</v>
      </c>
      <c r="AL179" s="94" t="s">
        <v>82</v>
      </c>
      <c r="AM179" s="78"/>
      <c r="AN179" s="78"/>
      <c r="AO179" s="190"/>
      <c r="AP179" s="136" t="str">
        <f t="shared" si="22"/>
        <v/>
      </c>
      <c r="AQ179" s="127"/>
      <c r="AR179" s="23"/>
      <c r="AS179" s="94"/>
      <c r="AT179" s="136"/>
      <c r="AU179" s="70">
        <f t="shared" si="21"/>
        <v>6</v>
      </c>
      <c r="AV179" s="70" t="s">
        <v>68</v>
      </c>
    </row>
    <row r="180" spans="1:48" s="136" customFormat="1" ht="12.75" hidden="1" x14ac:dyDescent="0.2">
      <c r="A180" s="86">
        <v>20157</v>
      </c>
      <c r="B180" s="3" t="s">
        <v>1360</v>
      </c>
      <c r="C180" s="3" t="s">
        <v>160</v>
      </c>
      <c r="D180" s="86"/>
      <c r="E180" s="36" t="s">
        <v>94</v>
      </c>
      <c r="F180" s="48"/>
      <c r="G180" s="36"/>
      <c r="H180" s="81" t="s">
        <v>0</v>
      </c>
      <c r="I180" s="36"/>
      <c r="J180" s="48"/>
      <c r="K180" s="36"/>
      <c r="L180" s="36" t="s">
        <v>123</v>
      </c>
      <c r="M180" s="36"/>
      <c r="N180" s="36"/>
      <c r="O180" s="101"/>
      <c r="P180" s="81"/>
      <c r="Q180" s="36"/>
      <c r="R180" s="36"/>
      <c r="S180" s="36"/>
      <c r="T180" s="81" t="s">
        <v>0</v>
      </c>
      <c r="U180" s="81" t="s">
        <v>0</v>
      </c>
      <c r="V180" s="36"/>
      <c r="W180" s="36"/>
      <c r="X180" s="36"/>
      <c r="Y180" s="36" t="s">
        <v>1361</v>
      </c>
      <c r="Z180" s="81"/>
      <c r="AA180" s="54"/>
      <c r="AB180" s="81"/>
      <c r="AC180" s="81"/>
      <c r="AD180" s="36"/>
      <c r="AE180" s="81"/>
      <c r="AF180" s="81"/>
      <c r="AG180" s="48"/>
      <c r="AH180" s="134" t="str">
        <f t="shared" si="16"/>
        <v/>
      </c>
      <c r="AI180" s="134"/>
      <c r="AJ180" s="48"/>
      <c r="AK180" s="134" t="str">
        <f t="shared" si="17"/>
        <v/>
      </c>
      <c r="AL180" s="94" t="s">
        <v>82</v>
      </c>
      <c r="AM180" s="78"/>
      <c r="AN180" s="78"/>
      <c r="AO180" s="190"/>
      <c r="AP180" s="136" t="str">
        <f t="shared" si="22"/>
        <v/>
      </c>
      <c r="AQ180" s="127"/>
      <c r="AR180" s="23"/>
      <c r="AS180" s="94"/>
      <c r="AT180" s="23"/>
      <c r="AU180" s="70" t="str">
        <f t="shared" si="21"/>
        <v/>
      </c>
      <c r="AV180" s="70" t="s">
        <v>68</v>
      </c>
    </row>
    <row r="181" spans="1:48" ht="25.5" hidden="1" x14ac:dyDescent="0.2">
      <c r="A181" s="86">
        <v>20158</v>
      </c>
      <c r="B181" s="3" t="s">
        <v>793</v>
      </c>
      <c r="C181" s="3" t="s">
        <v>725</v>
      </c>
      <c r="D181" s="86"/>
      <c r="E181" s="36" t="s">
        <v>94</v>
      </c>
      <c r="F181" s="48">
        <v>31888</v>
      </c>
      <c r="G181" s="36" t="s">
        <v>52</v>
      </c>
      <c r="H181" s="81" t="s">
        <v>53</v>
      </c>
      <c r="I181" s="36" t="s">
        <v>1362</v>
      </c>
      <c r="J181" s="48">
        <v>37418</v>
      </c>
      <c r="K181" s="36" t="s">
        <v>52</v>
      </c>
      <c r="L181" s="36" t="s">
        <v>123</v>
      </c>
      <c r="M181" s="36" t="s">
        <v>468</v>
      </c>
      <c r="N181" s="36"/>
      <c r="O181" s="101"/>
      <c r="P181" s="81" t="s">
        <v>1363</v>
      </c>
      <c r="Q181" s="36" t="s">
        <v>1364</v>
      </c>
      <c r="R181" s="36" t="s">
        <v>1365</v>
      </c>
      <c r="S181" s="36"/>
      <c r="T181" s="81" t="s">
        <v>1366</v>
      </c>
      <c r="U181" s="81" t="s">
        <v>1366</v>
      </c>
      <c r="V181" s="36"/>
      <c r="W181" s="36"/>
      <c r="X181" s="36"/>
      <c r="Y181" s="36" t="s">
        <v>294</v>
      </c>
      <c r="Z181" s="81"/>
      <c r="AA181" s="54"/>
      <c r="AB181" s="81" t="s">
        <v>285</v>
      </c>
      <c r="AC181" s="81" t="s">
        <v>236</v>
      </c>
      <c r="AD181" s="36" t="s">
        <v>629</v>
      </c>
      <c r="AE181" s="81"/>
      <c r="AF181" s="81" t="s">
        <v>65</v>
      </c>
      <c r="AG181" s="48"/>
      <c r="AH181" s="134" t="str">
        <f t="shared" si="16"/>
        <v/>
      </c>
      <c r="AI181" s="134"/>
      <c r="AJ181" s="48"/>
      <c r="AK181" s="134" t="str">
        <f t="shared" si="17"/>
        <v/>
      </c>
      <c r="AL181" s="94" t="s">
        <v>82</v>
      </c>
      <c r="AM181" s="78"/>
      <c r="AN181" s="78"/>
      <c r="AO181" s="190">
        <v>40620</v>
      </c>
      <c r="AP181" s="136">
        <f t="shared" si="22"/>
        <v>3</v>
      </c>
      <c r="AQ181" s="127"/>
      <c r="AR181" s="23"/>
      <c r="AS181" s="94"/>
      <c r="AT181" s="136"/>
      <c r="AU181" s="70">
        <f t="shared" si="21"/>
        <v>4</v>
      </c>
      <c r="AV181" s="70" t="s">
        <v>68</v>
      </c>
    </row>
    <row r="182" spans="1:48" s="136" customFormat="1" ht="19.5" hidden="1" customHeight="1" x14ac:dyDescent="0.2">
      <c r="A182" s="87">
        <v>20159</v>
      </c>
      <c r="B182" s="80" t="s">
        <v>801</v>
      </c>
      <c r="C182" s="80" t="s">
        <v>1075</v>
      </c>
      <c r="D182" s="87"/>
      <c r="E182" s="123" t="s">
        <v>94</v>
      </c>
      <c r="F182" s="140">
        <v>22325</v>
      </c>
      <c r="G182" s="123" t="s">
        <v>52</v>
      </c>
      <c r="H182" s="54" t="s">
        <v>53</v>
      </c>
      <c r="I182" s="123" t="s">
        <v>1367</v>
      </c>
      <c r="J182" s="140">
        <v>40257</v>
      </c>
      <c r="K182" s="123" t="s">
        <v>52</v>
      </c>
      <c r="L182" s="123" t="s">
        <v>958</v>
      </c>
      <c r="M182" s="123"/>
      <c r="N182" s="123"/>
      <c r="O182" s="106"/>
      <c r="P182" s="54" t="s">
        <v>1368</v>
      </c>
      <c r="Q182" s="123"/>
      <c r="R182" s="123" t="s">
        <v>1369</v>
      </c>
      <c r="S182" s="123"/>
      <c r="T182" s="54" t="s">
        <v>1370</v>
      </c>
      <c r="U182" s="54" t="s">
        <v>1370</v>
      </c>
      <c r="V182" s="123"/>
      <c r="W182" s="123"/>
      <c r="X182" s="123"/>
      <c r="Y182" s="123" t="s">
        <v>312</v>
      </c>
      <c r="Z182" s="54"/>
      <c r="AA182" s="54"/>
      <c r="AB182" s="54" t="s">
        <v>285</v>
      </c>
      <c r="AC182" s="54" t="s">
        <v>236</v>
      </c>
      <c r="AD182" s="123" t="s">
        <v>221</v>
      </c>
      <c r="AE182" s="54" t="s">
        <v>963</v>
      </c>
      <c r="AF182" s="54" t="s">
        <v>65</v>
      </c>
      <c r="AG182" s="140">
        <v>40106</v>
      </c>
      <c r="AH182" s="65">
        <f t="shared" si="16"/>
        <v>10</v>
      </c>
      <c r="AI182" s="65"/>
      <c r="AJ182" s="140">
        <v>40106</v>
      </c>
      <c r="AK182" s="65">
        <f t="shared" si="17"/>
        <v>10</v>
      </c>
      <c r="AL182" s="54" t="s">
        <v>66</v>
      </c>
      <c r="AM182" s="138"/>
      <c r="AN182" s="138"/>
      <c r="AO182" s="140"/>
      <c r="AP182" s="65" t="str">
        <f t="shared" si="22"/>
        <v/>
      </c>
      <c r="AQ182" s="123"/>
      <c r="AR182" s="23"/>
      <c r="AS182" s="54" t="s">
        <v>107</v>
      </c>
      <c r="AT182" s="184"/>
      <c r="AU182" s="70">
        <f t="shared" si="21"/>
        <v>2</v>
      </c>
      <c r="AV182" s="70" t="s">
        <v>68</v>
      </c>
    </row>
    <row r="183" spans="1:48" s="136" customFormat="1" ht="19.5" hidden="1" customHeight="1" x14ac:dyDescent="0.2">
      <c r="A183" s="86">
        <v>20160</v>
      </c>
      <c r="B183" s="3" t="s">
        <v>1371</v>
      </c>
      <c r="C183" s="3" t="s">
        <v>250</v>
      </c>
      <c r="D183" s="86"/>
      <c r="E183" s="36" t="s">
        <v>94</v>
      </c>
      <c r="F183" s="48">
        <v>30640</v>
      </c>
      <c r="G183" s="36" t="s">
        <v>52</v>
      </c>
      <c r="H183" s="81" t="s">
        <v>53</v>
      </c>
      <c r="I183" s="36"/>
      <c r="J183" s="48"/>
      <c r="K183" s="36"/>
      <c r="L183" s="36" t="s">
        <v>123</v>
      </c>
      <c r="M183" s="36"/>
      <c r="N183" s="36"/>
      <c r="O183" s="101"/>
      <c r="P183" s="81"/>
      <c r="Q183" s="36"/>
      <c r="R183" s="36"/>
      <c r="S183" s="36"/>
      <c r="T183" s="81" t="s">
        <v>0</v>
      </c>
      <c r="U183" s="81" t="s">
        <v>0</v>
      </c>
      <c r="V183" s="36"/>
      <c r="W183" s="36"/>
      <c r="X183" s="36"/>
      <c r="Y183" s="36"/>
      <c r="Z183" s="81"/>
      <c r="AA183" s="54"/>
      <c r="AB183" s="81"/>
      <c r="AC183" s="81" t="s">
        <v>236</v>
      </c>
      <c r="AD183" s="36"/>
      <c r="AE183" s="81"/>
      <c r="AF183" s="81" t="s">
        <v>65</v>
      </c>
      <c r="AG183" s="48"/>
      <c r="AH183" s="134" t="str">
        <f t="shared" si="16"/>
        <v/>
      </c>
      <c r="AI183" s="134"/>
      <c r="AJ183" s="48">
        <v>40106</v>
      </c>
      <c r="AK183" s="134">
        <f t="shared" si="17"/>
        <v>10</v>
      </c>
      <c r="AL183" s="94" t="s">
        <v>82</v>
      </c>
      <c r="AM183" s="78"/>
      <c r="AN183" s="78"/>
      <c r="AO183" s="190"/>
      <c r="AP183" s="136" t="str">
        <f t="shared" si="22"/>
        <v/>
      </c>
      <c r="AQ183" s="127"/>
      <c r="AR183" s="23"/>
      <c r="AS183" s="94"/>
      <c r="AT183" s="158"/>
      <c r="AU183" s="70">
        <f t="shared" si="21"/>
        <v>11</v>
      </c>
      <c r="AV183" s="70" t="s">
        <v>68</v>
      </c>
    </row>
    <row r="184" spans="1:48" s="136" customFormat="1" ht="19.5" customHeight="1" x14ac:dyDescent="0.2">
      <c r="A184" s="87">
        <v>20161</v>
      </c>
      <c r="B184" s="80" t="s">
        <v>1372</v>
      </c>
      <c r="C184" s="80" t="s">
        <v>160</v>
      </c>
      <c r="D184" s="87"/>
      <c r="E184" s="123" t="s">
        <v>94</v>
      </c>
      <c r="F184" s="140">
        <v>30940</v>
      </c>
      <c r="G184" s="123" t="s">
        <v>815</v>
      </c>
      <c r="H184" s="54" t="s">
        <v>816</v>
      </c>
      <c r="I184" s="123" t="s">
        <v>1373</v>
      </c>
      <c r="J184" s="140">
        <v>37345</v>
      </c>
      <c r="K184" s="123" t="s">
        <v>815</v>
      </c>
      <c r="L184" s="123" t="s">
        <v>123</v>
      </c>
      <c r="M184" s="123" t="s">
        <v>543</v>
      </c>
      <c r="N184" s="123"/>
      <c r="O184" s="106"/>
      <c r="P184" s="54" t="s">
        <v>1374</v>
      </c>
      <c r="Q184" s="123"/>
      <c r="R184" s="123" t="s">
        <v>1375</v>
      </c>
      <c r="S184" s="123"/>
      <c r="T184" s="54" t="s">
        <v>1376</v>
      </c>
      <c r="U184" s="54" t="s">
        <v>1376</v>
      </c>
      <c r="V184" s="123"/>
      <c r="W184" s="123"/>
      <c r="X184" s="123"/>
      <c r="Y184" s="123" t="s">
        <v>972</v>
      </c>
      <c r="Z184" s="54"/>
      <c r="AA184" s="54"/>
      <c r="AB184" s="54" t="s">
        <v>285</v>
      </c>
      <c r="AC184" s="54" t="s">
        <v>236</v>
      </c>
      <c r="AD184" s="123" t="s">
        <v>129</v>
      </c>
      <c r="AE184" s="54" t="s">
        <v>1090</v>
      </c>
      <c r="AF184" s="54" t="s">
        <v>65</v>
      </c>
      <c r="AG184" s="140">
        <v>40113</v>
      </c>
      <c r="AH184" s="65">
        <f t="shared" si="16"/>
        <v>10</v>
      </c>
      <c r="AI184" s="65"/>
      <c r="AJ184" s="140">
        <v>40113</v>
      </c>
      <c r="AK184" s="65">
        <f t="shared" si="17"/>
        <v>10</v>
      </c>
      <c r="AL184" s="54" t="s">
        <v>66</v>
      </c>
      <c r="AM184" s="138">
        <v>41122</v>
      </c>
      <c r="AN184" s="138">
        <v>41244</v>
      </c>
      <c r="AO184" s="140"/>
      <c r="AP184" s="65" t="str">
        <f t="shared" si="22"/>
        <v/>
      </c>
      <c r="AQ184" s="123"/>
      <c r="AR184" s="23"/>
      <c r="AS184" s="54" t="s">
        <v>347</v>
      </c>
      <c r="AT184" s="158"/>
      <c r="AU184" s="70">
        <f t="shared" si="21"/>
        <v>9</v>
      </c>
      <c r="AV184" s="70" t="s">
        <v>68</v>
      </c>
    </row>
    <row r="185" spans="1:48" s="136" customFormat="1" ht="19.5" hidden="1" customHeight="1" x14ac:dyDescent="0.2">
      <c r="A185" s="87">
        <v>20162</v>
      </c>
      <c r="B185" s="80" t="s">
        <v>1377</v>
      </c>
      <c r="C185" s="80" t="s">
        <v>396</v>
      </c>
      <c r="D185" s="87"/>
      <c r="E185" s="123" t="s">
        <v>94</v>
      </c>
      <c r="F185" s="140">
        <v>31094</v>
      </c>
      <c r="G185" s="123" t="s">
        <v>52</v>
      </c>
      <c r="H185" s="54" t="s">
        <v>53</v>
      </c>
      <c r="I185" s="123" t="s">
        <v>1378</v>
      </c>
      <c r="J185" s="140">
        <v>36422</v>
      </c>
      <c r="K185" s="123" t="s">
        <v>1186</v>
      </c>
      <c r="L185" s="123" t="s">
        <v>123</v>
      </c>
      <c r="M185" s="123" t="s">
        <v>1379</v>
      </c>
      <c r="N185" s="123"/>
      <c r="O185" s="106"/>
      <c r="P185" s="54" t="s">
        <v>1380</v>
      </c>
      <c r="Q185" s="123"/>
      <c r="R185" s="123" t="s">
        <v>1381</v>
      </c>
      <c r="S185" s="123"/>
      <c r="T185" s="54" t="s">
        <v>1382</v>
      </c>
      <c r="U185" s="54" t="s">
        <v>1383</v>
      </c>
      <c r="V185" s="123"/>
      <c r="W185" s="123"/>
      <c r="X185" s="123"/>
      <c r="Y185" s="123" t="s">
        <v>360</v>
      </c>
      <c r="Z185" s="54"/>
      <c r="AA185" s="54"/>
      <c r="AB185" s="54" t="s">
        <v>361</v>
      </c>
      <c r="AC185" s="54" t="s">
        <v>362</v>
      </c>
      <c r="AD185" s="123" t="s">
        <v>375</v>
      </c>
      <c r="AE185" s="54" t="s">
        <v>376</v>
      </c>
      <c r="AF185" s="54" t="s">
        <v>65</v>
      </c>
      <c r="AG185" s="140">
        <v>40112</v>
      </c>
      <c r="AH185" s="65">
        <f t="shared" si="16"/>
        <v>10</v>
      </c>
      <c r="AI185" s="65"/>
      <c r="AJ185" s="140">
        <v>40112</v>
      </c>
      <c r="AK185" s="65">
        <f t="shared" si="17"/>
        <v>10</v>
      </c>
      <c r="AL185" s="54" t="s">
        <v>66</v>
      </c>
      <c r="AM185" s="138"/>
      <c r="AN185" s="138"/>
      <c r="AO185" s="140"/>
      <c r="AP185" s="65" t="str">
        <f t="shared" si="22"/>
        <v/>
      </c>
      <c r="AQ185" s="123"/>
      <c r="AR185" s="23"/>
      <c r="AS185" s="54" t="s">
        <v>107</v>
      </c>
      <c r="AT185" s="158"/>
      <c r="AU185" s="70">
        <f t="shared" si="21"/>
        <v>2</v>
      </c>
      <c r="AV185" s="70" t="s">
        <v>68</v>
      </c>
    </row>
    <row r="186" spans="1:48" s="136" customFormat="1" ht="19.5" customHeight="1" x14ac:dyDescent="0.2">
      <c r="A186" s="87">
        <v>20163</v>
      </c>
      <c r="B186" s="80" t="s">
        <v>1193</v>
      </c>
      <c r="C186" s="80" t="s">
        <v>1384</v>
      </c>
      <c r="D186" s="87"/>
      <c r="E186" s="123" t="s">
        <v>94</v>
      </c>
      <c r="F186" s="140">
        <v>29726</v>
      </c>
      <c r="G186" s="123" t="s">
        <v>52</v>
      </c>
      <c r="H186" s="54" t="s">
        <v>53</v>
      </c>
      <c r="I186" s="123" t="s">
        <v>1385</v>
      </c>
      <c r="J186" s="140">
        <v>40089</v>
      </c>
      <c r="K186" s="123" t="s">
        <v>132</v>
      </c>
      <c r="L186" s="123" t="s">
        <v>123</v>
      </c>
      <c r="M186" s="123" t="s">
        <v>1386</v>
      </c>
      <c r="N186" s="123"/>
      <c r="O186" s="106"/>
      <c r="P186" s="54" t="s">
        <v>1387</v>
      </c>
      <c r="Q186" s="123"/>
      <c r="R186" s="123" t="s">
        <v>1388</v>
      </c>
      <c r="S186" s="123"/>
      <c r="T186" s="54" t="s">
        <v>1389</v>
      </c>
      <c r="U186" s="54" t="s">
        <v>1389</v>
      </c>
      <c r="V186" s="123"/>
      <c r="W186" s="123"/>
      <c r="X186" s="123"/>
      <c r="Y186" s="123" t="s">
        <v>972</v>
      </c>
      <c r="Z186" s="54"/>
      <c r="AA186" s="54"/>
      <c r="AB186" s="54" t="s">
        <v>285</v>
      </c>
      <c r="AC186" s="54" t="s">
        <v>236</v>
      </c>
      <c r="AD186" s="123" t="s">
        <v>404</v>
      </c>
      <c r="AE186" s="54" t="s">
        <v>700</v>
      </c>
      <c r="AF186" s="54" t="s">
        <v>65</v>
      </c>
      <c r="AG186" s="140">
        <v>40115</v>
      </c>
      <c r="AH186" s="65">
        <f t="shared" si="16"/>
        <v>10</v>
      </c>
      <c r="AI186" s="65"/>
      <c r="AJ186" s="140">
        <v>40115</v>
      </c>
      <c r="AK186" s="65">
        <f t="shared" si="17"/>
        <v>10</v>
      </c>
      <c r="AL186" s="54" t="s">
        <v>66</v>
      </c>
      <c r="AM186" s="138"/>
      <c r="AN186" s="138"/>
      <c r="AO186" s="140"/>
      <c r="AP186" s="65" t="str">
        <f t="shared" si="22"/>
        <v/>
      </c>
      <c r="AQ186" s="123"/>
      <c r="AR186" s="23"/>
      <c r="AS186" s="54" t="s">
        <v>347</v>
      </c>
      <c r="AT186" s="194"/>
      <c r="AU186" s="70">
        <f t="shared" si="21"/>
        <v>5</v>
      </c>
      <c r="AV186" s="70" t="s">
        <v>68</v>
      </c>
    </row>
    <row r="187" spans="1:48" ht="12.75" hidden="1" x14ac:dyDescent="0.2">
      <c r="A187" s="86">
        <v>20164</v>
      </c>
      <c r="B187" s="3" t="s">
        <v>1390</v>
      </c>
      <c r="C187" s="3" t="s">
        <v>131</v>
      </c>
      <c r="D187" s="86"/>
      <c r="E187" s="36" t="s">
        <v>94</v>
      </c>
      <c r="F187" s="48"/>
      <c r="G187" s="36"/>
      <c r="H187" s="81" t="s">
        <v>0</v>
      </c>
      <c r="I187" s="36"/>
      <c r="J187" s="48"/>
      <c r="K187" s="36"/>
      <c r="L187" s="36" t="s">
        <v>123</v>
      </c>
      <c r="M187" s="36"/>
      <c r="N187" s="36"/>
      <c r="O187" s="101"/>
      <c r="P187" s="81"/>
      <c r="Q187" s="36"/>
      <c r="R187" s="36"/>
      <c r="S187" s="36"/>
      <c r="T187" s="81" t="s">
        <v>0</v>
      </c>
      <c r="U187" s="81" t="s">
        <v>0</v>
      </c>
      <c r="V187" s="36"/>
      <c r="W187" s="36"/>
      <c r="X187" s="36"/>
      <c r="Y187" s="36" t="s">
        <v>326</v>
      </c>
      <c r="Z187" s="81"/>
      <c r="AA187" s="54"/>
      <c r="AB187" s="81"/>
      <c r="AC187" s="81"/>
      <c r="AD187" s="36"/>
      <c r="AE187" s="81"/>
      <c r="AF187" s="81"/>
      <c r="AG187" s="48"/>
      <c r="AH187" s="134" t="str">
        <f t="shared" si="16"/>
        <v/>
      </c>
      <c r="AI187" s="134"/>
      <c r="AJ187" s="48"/>
      <c r="AK187" s="134" t="str">
        <f t="shared" si="17"/>
        <v/>
      </c>
      <c r="AL187" s="94" t="s">
        <v>82</v>
      </c>
      <c r="AM187" s="78"/>
      <c r="AN187" s="78"/>
      <c r="AO187" s="190"/>
      <c r="AP187" s="136" t="str">
        <f t="shared" si="22"/>
        <v/>
      </c>
      <c r="AQ187" s="127"/>
      <c r="AR187" s="23"/>
      <c r="AS187" s="94"/>
      <c r="AT187" s="136"/>
      <c r="AU187" s="70" t="str">
        <f t="shared" si="21"/>
        <v/>
      </c>
      <c r="AV187" s="70" t="s">
        <v>68</v>
      </c>
    </row>
    <row r="188" spans="1:48" ht="38.25" hidden="1" x14ac:dyDescent="0.2">
      <c r="A188" s="86">
        <v>20165</v>
      </c>
      <c r="B188" s="3" t="s">
        <v>1391</v>
      </c>
      <c r="C188" s="3" t="s">
        <v>1392</v>
      </c>
      <c r="D188" s="86"/>
      <c r="E188" s="36" t="s">
        <v>94</v>
      </c>
      <c r="F188" s="48">
        <v>30720</v>
      </c>
      <c r="G188" s="36" t="s">
        <v>52</v>
      </c>
      <c r="H188" s="81" t="s">
        <v>53</v>
      </c>
      <c r="I188" s="36" t="s">
        <v>1393</v>
      </c>
      <c r="J188" s="48">
        <v>37265</v>
      </c>
      <c r="K188" s="36" t="s">
        <v>365</v>
      </c>
      <c r="L188" s="36" t="s">
        <v>123</v>
      </c>
      <c r="M188" s="36" t="s">
        <v>543</v>
      </c>
      <c r="N188" s="36"/>
      <c r="O188" s="101"/>
      <c r="P188" s="81" t="s">
        <v>1394</v>
      </c>
      <c r="Q188" s="36" t="s">
        <v>1395</v>
      </c>
      <c r="R188" s="36" t="s">
        <v>1396</v>
      </c>
      <c r="S188" s="36"/>
      <c r="T188" s="81" t="s">
        <v>1397</v>
      </c>
      <c r="U188" s="81" t="s">
        <v>1397</v>
      </c>
      <c r="V188" s="36"/>
      <c r="W188" s="36"/>
      <c r="X188" s="36"/>
      <c r="Y188" s="36" t="s">
        <v>616</v>
      </c>
      <c r="Z188" s="81"/>
      <c r="AA188" s="54"/>
      <c r="AB188" s="81" t="s">
        <v>285</v>
      </c>
      <c r="AC188" s="81" t="s">
        <v>236</v>
      </c>
      <c r="AD188" s="36" t="s">
        <v>207</v>
      </c>
      <c r="AE188" s="81"/>
      <c r="AF188" s="81" t="s">
        <v>65</v>
      </c>
      <c r="AG188" s="48"/>
      <c r="AH188" s="134" t="str">
        <f t="shared" si="16"/>
        <v/>
      </c>
      <c r="AI188" s="134"/>
      <c r="AJ188" s="48">
        <v>40119</v>
      </c>
      <c r="AK188" s="134">
        <f t="shared" si="17"/>
        <v>11</v>
      </c>
      <c r="AL188" s="94" t="s">
        <v>82</v>
      </c>
      <c r="AM188" s="78"/>
      <c r="AN188" s="78"/>
      <c r="AO188" s="190">
        <v>40119</v>
      </c>
      <c r="AP188" s="136">
        <f t="shared" si="22"/>
        <v>11</v>
      </c>
      <c r="AQ188" s="127"/>
      <c r="AR188" s="23"/>
      <c r="AS188" s="94"/>
      <c r="AT188" s="136"/>
      <c r="AU188" s="70">
        <f t="shared" si="21"/>
        <v>2</v>
      </c>
      <c r="AV188" s="70" t="s">
        <v>68</v>
      </c>
    </row>
    <row r="189" spans="1:48" s="136" customFormat="1" ht="19.5" hidden="1" customHeight="1" x14ac:dyDescent="0.2">
      <c r="A189" s="86">
        <v>20166</v>
      </c>
      <c r="B189" s="3" t="s">
        <v>1398</v>
      </c>
      <c r="C189" s="3" t="s">
        <v>685</v>
      </c>
      <c r="D189" s="86"/>
      <c r="E189" s="36" t="s">
        <v>94</v>
      </c>
      <c r="F189" s="48"/>
      <c r="G189" s="36"/>
      <c r="H189" s="81" t="s">
        <v>0</v>
      </c>
      <c r="I189" s="36"/>
      <c r="J189" s="48"/>
      <c r="K189" s="36"/>
      <c r="L189" s="36" t="s">
        <v>123</v>
      </c>
      <c r="M189" s="36"/>
      <c r="N189" s="36"/>
      <c r="O189" s="101"/>
      <c r="P189" s="81"/>
      <c r="Q189" s="36"/>
      <c r="R189" s="36"/>
      <c r="S189" s="36"/>
      <c r="T189" s="81" t="s">
        <v>0</v>
      </c>
      <c r="U189" s="81" t="s">
        <v>0</v>
      </c>
      <c r="V189" s="36"/>
      <c r="W189" s="36"/>
      <c r="X189" s="36"/>
      <c r="Y189" s="36" t="s">
        <v>326</v>
      </c>
      <c r="Z189" s="81"/>
      <c r="AA189" s="54"/>
      <c r="AB189" s="81"/>
      <c r="AC189" s="81"/>
      <c r="AD189" s="36"/>
      <c r="AE189" s="81"/>
      <c r="AF189" s="81"/>
      <c r="AG189" s="48"/>
      <c r="AH189" s="134" t="str">
        <f t="shared" si="16"/>
        <v/>
      </c>
      <c r="AI189" s="134"/>
      <c r="AJ189" s="48"/>
      <c r="AK189" s="134" t="str">
        <f t="shared" si="17"/>
        <v/>
      </c>
      <c r="AL189" s="94" t="s">
        <v>82</v>
      </c>
      <c r="AM189" s="78"/>
      <c r="AN189" s="78"/>
      <c r="AO189" s="190"/>
      <c r="AP189" s="136" t="str">
        <f t="shared" si="22"/>
        <v/>
      </c>
      <c r="AQ189" s="127"/>
      <c r="AR189" s="23"/>
      <c r="AS189" s="94"/>
      <c r="AT189" s="23"/>
      <c r="AU189" s="70" t="str">
        <f t="shared" si="21"/>
        <v/>
      </c>
      <c r="AV189" s="70" t="s">
        <v>68</v>
      </c>
    </row>
    <row r="190" spans="1:48" ht="38.25" hidden="1" x14ac:dyDescent="0.2">
      <c r="A190" s="86">
        <v>20167</v>
      </c>
      <c r="B190" s="3" t="s">
        <v>1399</v>
      </c>
      <c r="C190" s="3" t="s">
        <v>1400</v>
      </c>
      <c r="D190" s="86"/>
      <c r="E190" s="36" t="s">
        <v>94</v>
      </c>
      <c r="F190" s="48">
        <v>31778</v>
      </c>
      <c r="G190" s="36" t="s">
        <v>1139</v>
      </c>
      <c r="H190" s="81" t="s">
        <v>1401</v>
      </c>
      <c r="I190" s="36" t="s">
        <v>1402</v>
      </c>
      <c r="J190" s="48">
        <v>38233</v>
      </c>
      <c r="K190" s="36" t="s">
        <v>1139</v>
      </c>
      <c r="L190" s="36" t="s">
        <v>341</v>
      </c>
      <c r="M190" s="36" t="s">
        <v>1403</v>
      </c>
      <c r="N190" s="36"/>
      <c r="O190" s="101"/>
      <c r="P190" s="81" t="s">
        <v>1404</v>
      </c>
      <c r="Q190" s="36"/>
      <c r="R190" s="36" t="s">
        <v>1405</v>
      </c>
      <c r="S190" s="36"/>
      <c r="T190" s="81" t="s">
        <v>1406</v>
      </c>
      <c r="U190" s="81" t="s">
        <v>1407</v>
      </c>
      <c r="V190" s="36"/>
      <c r="W190" s="36"/>
      <c r="X190" s="36"/>
      <c r="Y190" s="36" t="s">
        <v>616</v>
      </c>
      <c r="Z190" s="81"/>
      <c r="AA190" s="54"/>
      <c r="AB190" s="81" t="s">
        <v>285</v>
      </c>
      <c r="AC190" s="81" t="s">
        <v>236</v>
      </c>
      <c r="AD190" s="36" t="s">
        <v>866</v>
      </c>
      <c r="AE190" s="81" t="s">
        <v>867</v>
      </c>
      <c r="AF190" s="81" t="s">
        <v>231</v>
      </c>
      <c r="AG190" s="48">
        <v>40120</v>
      </c>
      <c r="AH190" s="134">
        <f t="shared" si="16"/>
        <v>11</v>
      </c>
      <c r="AI190" s="134"/>
      <c r="AJ190" s="48">
        <v>40120</v>
      </c>
      <c r="AK190" s="134">
        <f t="shared" si="17"/>
        <v>11</v>
      </c>
      <c r="AL190" s="54" t="s">
        <v>82</v>
      </c>
      <c r="AM190" s="138"/>
      <c r="AN190" s="138"/>
      <c r="AO190" s="140">
        <v>41573</v>
      </c>
      <c r="AP190" s="65">
        <f t="shared" si="22"/>
        <v>10</v>
      </c>
      <c r="AQ190" s="123"/>
      <c r="AR190" s="23"/>
      <c r="AS190" s="54" t="s">
        <v>347</v>
      </c>
      <c r="AT190" s="136"/>
      <c r="AU190" s="70">
        <f t="shared" si="21"/>
        <v>1</v>
      </c>
      <c r="AV190" s="70" t="s">
        <v>68</v>
      </c>
    </row>
    <row r="191" spans="1:48" s="136" customFormat="1" ht="19.5" hidden="1" customHeight="1" x14ac:dyDescent="0.2">
      <c r="A191" s="86">
        <v>20168</v>
      </c>
      <c r="B191" s="3" t="s">
        <v>691</v>
      </c>
      <c r="C191" s="3" t="s">
        <v>1408</v>
      </c>
      <c r="D191" s="86"/>
      <c r="E191" s="36" t="s">
        <v>94</v>
      </c>
      <c r="F191" s="48">
        <v>31486</v>
      </c>
      <c r="G191" s="36"/>
      <c r="H191" s="81" t="s">
        <v>1409</v>
      </c>
      <c r="I191" s="36" t="s">
        <v>1410</v>
      </c>
      <c r="J191" s="48">
        <v>37068</v>
      </c>
      <c r="K191" s="36" t="s">
        <v>1409</v>
      </c>
      <c r="L191" s="36" t="s">
        <v>318</v>
      </c>
      <c r="M191" s="36" t="s">
        <v>1411</v>
      </c>
      <c r="N191" s="36" t="s">
        <v>320</v>
      </c>
      <c r="O191" s="101"/>
      <c r="P191" s="159" t="s">
        <v>1412</v>
      </c>
      <c r="Q191" s="36"/>
      <c r="R191" s="36" t="s">
        <v>1413</v>
      </c>
      <c r="S191" s="36"/>
      <c r="T191" s="81"/>
      <c r="U191" s="81" t="s">
        <v>1414</v>
      </c>
      <c r="V191" s="36"/>
      <c r="W191" s="36"/>
      <c r="X191" s="36"/>
      <c r="Y191" s="36" t="s">
        <v>831</v>
      </c>
      <c r="Z191" s="81"/>
      <c r="AA191" s="54"/>
      <c r="AB191" s="81" t="s">
        <v>361</v>
      </c>
      <c r="AC191" s="81" t="s">
        <v>362</v>
      </c>
      <c r="AD191" s="36"/>
      <c r="AE191" s="81"/>
      <c r="AF191" s="81" t="s">
        <v>231</v>
      </c>
      <c r="AG191" s="48"/>
      <c r="AH191" s="134" t="str">
        <f t="shared" si="16"/>
        <v/>
      </c>
      <c r="AI191" s="134"/>
      <c r="AJ191" s="48"/>
      <c r="AK191" s="134" t="str">
        <f t="shared" si="17"/>
        <v/>
      </c>
      <c r="AL191" s="54" t="s">
        <v>82</v>
      </c>
      <c r="AM191" s="54"/>
      <c r="AN191" s="54"/>
      <c r="AO191" s="190"/>
      <c r="AQ191" s="123"/>
      <c r="AR191" s="23"/>
      <c r="AS191" s="54"/>
      <c r="AT191" s="65"/>
      <c r="AU191" s="70">
        <f t="shared" si="21"/>
        <v>3</v>
      </c>
      <c r="AV191" s="70" t="s">
        <v>68</v>
      </c>
    </row>
    <row r="192" spans="1:48" ht="25.5" hidden="1" x14ac:dyDescent="0.2">
      <c r="A192" s="87">
        <v>20169</v>
      </c>
      <c r="B192" s="80" t="s">
        <v>1415</v>
      </c>
      <c r="C192" s="80" t="s">
        <v>170</v>
      </c>
      <c r="D192" s="87"/>
      <c r="E192" s="123" t="s">
        <v>51</v>
      </c>
      <c r="F192" s="140">
        <v>30064</v>
      </c>
      <c r="G192" s="123" t="s">
        <v>52</v>
      </c>
      <c r="H192" s="54" t="s">
        <v>53</v>
      </c>
      <c r="I192" s="123" t="s">
        <v>1416</v>
      </c>
      <c r="J192" s="140">
        <v>39998</v>
      </c>
      <c r="K192" s="123" t="s">
        <v>52</v>
      </c>
      <c r="L192" s="123" t="s">
        <v>123</v>
      </c>
      <c r="M192" s="123" t="s">
        <v>124</v>
      </c>
      <c r="N192" s="123"/>
      <c r="O192" s="106"/>
      <c r="P192" s="54" t="s">
        <v>1417</v>
      </c>
      <c r="Q192" s="123" t="s">
        <v>1418</v>
      </c>
      <c r="R192" s="123" t="s">
        <v>1419</v>
      </c>
      <c r="S192" s="123"/>
      <c r="T192" s="54" t="s">
        <v>1420</v>
      </c>
      <c r="U192" s="54" t="s">
        <v>1420</v>
      </c>
      <c r="V192" s="123"/>
      <c r="W192" s="123"/>
      <c r="X192" s="123"/>
      <c r="Y192" s="123" t="s">
        <v>102</v>
      </c>
      <c r="Z192" s="54"/>
      <c r="AA192" s="54"/>
      <c r="AB192" s="54" t="s">
        <v>103</v>
      </c>
      <c r="AC192" s="54" t="s">
        <v>63</v>
      </c>
      <c r="AD192" s="123" t="s">
        <v>198</v>
      </c>
      <c r="AE192" s="54"/>
      <c r="AF192" s="54" t="s">
        <v>65</v>
      </c>
      <c r="AG192" s="140">
        <v>40122</v>
      </c>
      <c r="AH192" s="65">
        <f t="shared" si="16"/>
        <v>11</v>
      </c>
      <c r="AI192" s="65"/>
      <c r="AJ192" s="140">
        <v>40122</v>
      </c>
      <c r="AK192" s="65">
        <f t="shared" si="17"/>
        <v>11</v>
      </c>
      <c r="AL192" s="54" t="s">
        <v>66</v>
      </c>
      <c r="AM192" s="138"/>
      <c r="AN192" s="138"/>
      <c r="AO192" s="140"/>
      <c r="AP192" s="65" t="str">
        <f>IF((AO192=""),"",MONTH(AO192))</f>
        <v/>
      </c>
      <c r="AQ192" s="123"/>
      <c r="AR192" s="23"/>
      <c r="AS192" s="54" t="s">
        <v>107</v>
      </c>
      <c r="AT192" s="136"/>
      <c r="AU192" s="70">
        <f t="shared" si="21"/>
        <v>4</v>
      </c>
      <c r="AV192" s="70" t="s">
        <v>68</v>
      </c>
    </row>
    <row r="193" spans="1:48" s="136" customFormat="1" ht="19.5" hidden="1" customHeight="1" x14ac:dyDescent="0.2">
      <c r="A193" s="86">
        <v>20170</v>
      </c>
      <c r="B193" s="3" t="s">
        <v>1337</v>
      </c>
      <c r="C193" s="3" t="s">
        <v>1421</v>
      </c>
      <c r="D193" s="86"/>
      <c r="E193" s="36" t="s">
        <v>51</v>
      </c>
      <c r="F193" s="48"/>
      <c r="G193" s="36"/>
      <c r="H193" s="81" t="s">
        <v>52</v>
      </c>
      <c r="I193" s="36" t="s">
        <v>1422</v>
      </c>
      <c r="J193" s="48">
        <v>38252</v>
      </c>
      <c r="K193" s="36" t="s">
        <v>52</v>
      </c>
      <c r="L193" s="36" t="s">
        <v>318</v>
      </c>
      <c r="M193" s="36" t="s">
        <v>382</v>
      </c>
      <c r="N193" s="36" t="s">
        <v>320</v>
      </c>
      <c r="O193" s="101"/>
      <c r="P193" s="159" t="s">
        <v>1423</v>
      </c>
      <c r="Q193" s="36"/>
      <c r="R193" s="36" t="s">
        <v>1424</v>
      </c>
      <c r="S193" s="36"/>
      <c r="T193" s="81"/>
      <c r="U193" s="81" t="s">
        <v>1425</v>
      </c>
      <c r="V193" s="36"/>
      <c r="W193" s="36"/>
      <c r="X193" s="36"/>
      <c r="Y193" s="36" t="s">
        <v>284</v>
      </c>
      <c r="Z193" s="81"/>
      <c r="AA193" s="54"/>
      <c r="AB193" s="81" t="s">
        <v>285</v>
      </c>
      <c r="AC193" s="81" t="s">
        <v>236</v>
      </c>
      <c r="AD193" s="36" t="s">
        <v>629</v>
      </c>
      <c r="AE193" s="81" t="s">
        <v>1426</v>
      </c>
      <c r="AF193" s="81" t="s">
        <v>65</v>
      </c>
      <c r="AG193" s="48"/>
      <c r="AH193" s="134" t="str">
        <f t="shared" si="16"/>
        <v/>
      </c>
      <c r="AI193" s="134"/>
      <c r="AJ193" s="48"/>
      <c r="AK193" s="134" t="str">
        <f t="shared" si="17"/>
        <v/>
      </c>
      <c r="AL193" s="54" t="s">
        <v>82</v>
      </c>
      <c r="AM193" s="54"/>
      <c r="AN193" s="54"/>
      <c r="AO193" s="190"/>
      <c r="AQ193" s="123"/>
      <c r="AR193" s="23"/>
      <c r="AS193" s="54"/>
      <c r="AT193" s="65"/>
      <c r="AU193" s="70" t="str">
        <f t="shared" si="21"/>
        <v/>
      </c>
      <c r="AV193" s="70" t="s">
        <v>68</v>
      </c>
    </row>
    <row r="194" spans="1:48" ht="25.5" hidden="1" x14ac:dyDescent="0.2">
      <c r="A194" s="87">
        <v>20171</v>
      </c>
      <c r="B194" s="80" t="s">
        <v>1427</v>
      </c>
      <c r="C194" s="80" t="s">
        <v>1428</v>
      </c>
      <c r="D194" s="87"/>
      <c r="E194" s="123" t="s">
        <v>94</v>
      </c>
      <c r="F194" s="140">
        <v>30437</v>
      </c>
      <c r="G194" s="123" t="s">
        <v>52</v>
      </c>
      <c r="H194" s="54" t="s">
        <v>53</v>
      </c>
      <c r="I194" s="123" t="s">
        <v>1429</v>
      </c>
      <c r="J194" s="140">
        <v>35907</v>
      </c>
      <c r="K194" s="123" t="s">
        <v>52</v>
      </c>
      <c r="L194" s="123" t="s">
        <v>352</v>
      </c>
      <c r="M194" s="123" t="s">
        <v>1430</v>
      </c>
      <c r="N194" s="123"/>
      <c r="O194" s="106"/>
      <c r="P194" s="54" t="s">
        <v>1431</v>
      </c>
      <c r="Q194" s="123" t="s">
        <v>1432</v>
      </c>
      <c r="R194" s="123" t="s">
        <v>1433</v>
      </c>
      <c r="S194" s="123"/>
      <c r="T194" s="54" t="s">
        <v>1434</v>
      </c>
      <c r="U194" s="54" t="s">
        <v>1434</v>
      </c>
      <c r="V194" s="123"/>
      <c r="W194" s="123"/>
      <c r="X194" s="123"/>
      <c r="Y194" s="123" t="s">
        <v>312</v>
      </c>
      <c r="Z194" s="54"/>
      <c r="AA194" s="54"/>
      <c r="AB194" s="54" t="s">
        <v>285</v>
      </c>
      <c r="AC194" s="54" t="s">
        <v>236</v>
      </c>
      <c r="AD194" s="123" t="s">
        <v>375</v>
      </c>
      <c r="AE194" s="54" t="s">
        <v>475</v>
      </c>
      <c r="AF194" s="54" t="s">
        <v>65</v>
      </c>
      <c r="AG194" s="140">
        <v>40133</v>
      </c>
      <c r="AH194" s="65">
        <f t="shared" si="16"/>
        <v>11</v>
      </c>
      <c r="AI194" s="65"/>
      <c r="AJ194" s="140">
        <v>40133</v>
      </c>
      <c r="AK194" s="65">
        <f t="shared" si="17"/>
        <v>11</v>
      </c>
      <c r="AL194" s="54" t="s">
        <v>66</v>
      </c>
      <c r="AM194" s="138"/>
      <c r="AN194" s="138"/>
      <c r="AO194" s="140"/>
      <c r="AP194" s="65" t="str">
        <f>IF((AO194=""),"",MONTH(AO194))</f>
        <v/>
      </c>
      <c r="AQ194" s="123"/>
      <c r="AR194" s="23"/>
      <c r="AS194" s="54" t="s">
        <v>107</v>
      </c>
      <c r="AT194" s="136"/>
      <c r="AU194" s="70">
        <f t="shared" si="21"/>
        <v>5</v>
      </c>
      <c r="AV194" s="70" t="s">
        <v>68</v>
      </c>
    </row>
    <row r="195" spans="1:48" s="136" customFormat="1" ht="25.5" hidden="1" x14ac:dyDescent="0.2">
      <c r="A195" s="86">
        <v>20172</v>
      </c>
      <c r="B195" s="3" t="s">
        <v>1435</v>
      </c>
      <c r="C195" s="3" t="s">
        <v>685</v>
      </c>
      <c r="D195" s="86"/>
      <c r="E195" s="36" t="s">
        <v>94</v>
      </c>
      <c r="F195" s="48">
        <v>31936</v>
      </c>
      <c r="G195" s="36" t="s">
        <v>726</v>
      </c>
      <c r="H195" s="81" t="s">
        <v>727</v>
      </c>
      <c r="I195" s="36" t="s">
        <v>1436</v>
      </c>
      <c r="J195" s="48">
        <v>37855</v>
      </c>
      <c r="K195" s="36" t="s">
        <v>1437</v>
      </c>
      <c r="L195" s="36" t="s">
        <v>123</v>
      </c>
      <c r="M195" s="36" t="s">
        <v>96</v>
      </c>
      <c r="N195" s="36"/>
      <c r="O195" s="101"/>
      <c r="P195" s="81"/>
      <c r="Q195" s="36"/>
      <c r="R195" s="36" t="s">
        <v>1438</v>
      </c>
      <c r="S195" s="36"/>
      <c r="T195" s="81" t="s">
        <v>1439</v>
      </c>
      <c r="U195" s="81" t="s">
        <v>1439</v>
      </c>
      <c r="V195" s="36"/>
      <c r="W195" s="36"/>
      <c r="X195" s="36"/>
      <c r="Y195" s="36" t="s">
        <v>284</v>
      </c>
      <c r="Z195" s="81"/>
      <c r="AA195" s="54"/>
      <c r="AB195" s="81" t="s">
        <v>285</v>
      </c>
      <c r="AC195" s="81" t="s">
        <v>236</v>
      </c>
      <c r="AD195" s="36"/>
      <c r="AE195" s="81"/>
      <c r="AF195" s="81" t="s">
        <v>65</v>
      </c>
      <c r="AG195" s="48"/>
      <c r="AH195" s="134" t="str">
        <f t="shared" ref="AH195:AH258" si="23">IF((AG195=""),"",MONTH(AG195))</f>
        <v/>
      </c>
      <c r="AI195" s="134"/>
      <c r="AJ195" s="48"/>
      <c r="AK195" s="134" t="str">
        <f t="shared" ref="AK195:AK258" si="24">IF((AJ195=""),"",MONTH(AJ195))</f>
        <v/>
      </c>
      <c r="AL195" s="94" t="s">
        <v>82</v>
      </c>
      <c r="AM195" s="78"/>
      <c r="AN195" s="78"/>
      <c r="AO195" s="190"/>
      <c r="AP195" s="136" t="str">
        <f>IF((AO195=""),"",MONTH(AO195))</f>
        <v/>
      </c>
      <c r="AQ195" s="127"/>
      <c r="AR195" s="23"/>
      <c r="AS195" s="94"/>
      <c r="AT195" s="23"/>
      <c r="AU195" s="70">
        <f t="shared" si="21"/>
        <v>6</v>
      </c>
      <c r="AV195" s="70" t="s">
        <v>68</v>
      </c>
    </row>
    <row r="196" spans="1:48" s="136" customFormat="1" ht="25.5" hidden="1" x14ac:dyDescent="0.2">
      <c r="A196" s="86">
        <v>20173</v>
      </c>
      <c r="B196" s="3" t="s">
        <v>265</v>
      </c>
      <c r="C196" s="3" t="s">
        <v>1440</v>
      </c>
      <c r="D196" s="86"/>
      <c r="E196" s="36" t="s">
        <v>94</v>
      </c>
      <c r="F196" s="48">
        <v>28941</v>
      </c>
      <c r="G196" s="36"/>
      <c r="H196" s="81" t="s">
        <v>412</v>
      </c>
      <c r="I196" s="36" t="s">
        <v>1441</v>
      </c>
      <c r="J196" s="48">
        <v>35457</v>
      </c>
      <c r="K196" s="36" t="s">
        <v>1442</v>
      </c>
      <c r="L196" s="36" t="s">
        <v>318</v>
      </c>
      <c r="M196" s="36" t="s">
        <v>1443</v>
      </c>
      <c r="N196" s="36" t="s">
        <v>320</v>
      </c>
      <c r="O196" s="101"/>
      <c r="P196" s="159">
        <v>0</v>
      </c>
      <c r="Q196" s="36"/>
      <c r="R196" s="36" t="s">
        <v>1444</v>
      </c>
      <c r="S196" s="36"/>
      <c r="T196" s="81"/>
      <c r="U196" s="81" t="s">
        <v>1445</v>
      </c>
      <c r="V196" s="36"/>
      <c r="W196" s="36"/>
      <c r="X196" s="36"/>
      <c r="Y196" s="36" t="s">
        <v>284</v>
      </c>
      <c r="Z196" s="81"/>
      <c r="AA196" s="54"/>
      <c r="AB196" s="81" t="s">
        <v>285</v>
      </c>
      <c r="AC196" s="81" t="s">
        <v>236</v>
      </c>
      <c r="AD196" s="36"/>
      <c r="AE196" s="81"/>
      <c r="AF196" s="81" t="s">
        <v>65</v>
      </c>
      <c r="AG196" s="48"/>
      <c r="AH196" s="134" t="str">
        <f t="shared" si="23"/>
        <v/>
      </c>
      <c r="AI196" s="134"/>
      <c r="AJ196" s="48"/>
      <c r="AK196" s="134" t="str">
        <f t="shared" si="24"/>
        <v/>
      </c>
      <c r="AL196" s="54" t="s">
        <v>82</v>
      </c>
      <c r="AM196" s="54"/>
      <c r="AN196" s="54"/>
      <c r="AO196" s="190"/>
      <c r="AQ196" s="123"/>
      <c r="AR196" s="23"/>
      <c r="AS196" s="54"/>
      <c r="AT196" s="65"/>
      <c r="AU196" s="70">
        <f t="shared" si="21"/>
        <v>3</v>
      </c>
      <c r="AV196" s="70" t="s">
        <v>68</v>
      </c>
    </row>
    <row r="197" spans="1:48" s="136" customFormat="1" ht="25.5" hidden="1" x14ac:dyDescent="0.2">
      <c r="A197" s="86">
        <v>20174</v>
      </c>
      <c r="B197" s="3" t="s">
        <v>1446</v>
      </c>
      <c r="C197" s="3" t="s">
        <v>869</v>
      </c>
      <c r="D197" s="86"/>
      <c r="E197" s="36" t="s">
        <v>94</v>
      </c>
      <c r="F197" s="48">
        <v>29467</v>
      </c>
      <c r="G197" s="36"/>
      <c r="H197" s="81" t="s">
        <v>52</v>
      </c>
      <c r="I197" s="36" t="s">
        <v>1447</v>
      </c>
      <c r="J197" s="48">
        <v>36236</v>
      </c>
      <c r="K197" s="36" t="s">
        <v>954</v>
      </c>
      <c r="L197" s="36" t="s">
        <v>1123</v>
      </c>
      <c r="M197" s="36" t="s">
        <v>1448</v>
      </c>
      <c r="N197" s="36" t="s">
        <v>320</v>
      </c>
      <c r="O197" s="101"/>
      <c r="P197" s="159" t="s">
        <v>1449</v>
      </c>
      <c r="Q197" s="36"/>
      <c r="R197" s="36" t="s">
        <v>1450</v>
      </c>
      <c r="S197" s="36"/>
      <c r="T197" s="81"/>
      <c r="U197" s="81" t="s">
        <v>1451</v>
      </c>
      <c r="V197" s="36"/>
      <c r="W197" s="36"/>
      <c r="X197" s="36"/>
      <c r="Y197" s="36" t="s">
        <v>284</v>
      </c>
      <c r="Z197" s="81"/>
      <c r="AA197" s="54"/>
      <c r="AB197" s="81" t="s">
        <v>285</v>
      </c>
      <c r="AC197" s="81" t="s">
        <v>236</v>
      </c>
      <c r="AD197" s="36"/>
      <c r="AE197" s="81"/>
      <c r="AF197" s="81" t="s">
        <v>65</v>
      </c>
      <c r="AG197" s="48"/>
      <c r="AH197" s="134" t="str">
        <f t="shared" si="23"/>
        <v/>
      </c>
      <c r="AI197" s="134"/>
      <c r="AJ197" s="48"/>
      <c r="AK197" s="134" t="str">
        <f t="shared" si="24"/>
        <v/>
      </c>
      <c r="AL197" s="54" t="s">
        <v>82</v>
      </c>
      <c r="AM197" s="54"/>
      <c r="AN197" s="54"/>
      <c r="AO197" s="190"/>
      <c r="AP197" s="136" t="str">
        <f>IF((AO197=""),"",MONTH(AO197))</f>
        <v/>
      </c>
      <c r="AQ197" s="123"/>
      <c r="AR197" s="23"/>
      <c r="AS197" s="54"/>
      <c r="AT197" s="65"/>
      <c r="AU197" s="70">
        <f t="shared" si="21"/>
        <v>9</v>
      </c>
      <c r="AV197" s="70" t="s">
        <v>68</v>
      </c>
    </row>
    <row r="198" spans="1:48" s="136" customFormat="1" ht="19.5" hidden="1" customHeight="1" x14ac:dyDescent="0.2">
      <c r="A198" s="86">
        <v>20175</v>
      </c>
      <c r="B198" s="3" t="s">
        <v>1452</v>
      </c>
      <c r="C198" s="3" t="s">
        <v>685</v>
      </c>
      <c r="D198" s="86"/>
      <c r="E198" s="36" t="s">
        <v>94</v>
      </c>
      <c r="F198" s="48">
        <v>30533</v>
      </c>
      <c r="G198" s="36" t="s">
        <v>1453</v>
      </c>
      <c r="H198" s="81" t="s">
        <v>1454</v>
      </c>
      <c r="I198" s="36" t="s">
        <v>1455</v>
      </c>
      <c r="J198" s="48">
        <v>35652</v>
      </c>
      <c r="K198" s="36" t="s">
        <v>1456</v>
      </c>
      <c r="L198" s="36" t="s">
        <v>123</v>
      </c>
      <c r="M198" s="36" t="s">
        <v>543</v>
      </c>
      <c r="N198" s="36"/>
      <c r="O198" s="101"/>
      <c r="P198" s="81" t="s">
        <v>1457</v>
      </c>
      <c r="Q198" s="36"/>
      <c r="R198" s="36" t="s">
        <v>1458</v>
      </c>
      <c r="S198" s="36"/>
      <c r="T198" s="81" t="s">
        <v>1459</v>
      </c>
      <c r="U198" s="81" t="s">
        <v>1460</v>
      </c>
      <c r="V198" s="36"/>
      <c r="W198" s="36"/>
      <c r="X198" s="36"/>
      <c r="Y198" s="36" t="s">
        <v>180</v>
      </c>
      <c r="Z198" s="81"/>
      <c r="AA198" s="54"/>
      <c r="AB198" s="81" t="s">
        <v>103</v>
      </c>
      <c r="AC198" s="81" t="s">
        <v>63</v>
      </c>
      <c r="AD198" s="36" t="s">
        <v>866</v>
      </c>
      <c r="AE198" s="81"/>
      <c r="AF198" s="81" t="s">
        <v>231</v>
      </c>
      <c r="AG198" s="48">
        <v>40147</v>
      </c>
      <c r="AH198" s="134">
        <f t="shared" si="23"/>
        <v>11</v>
      </c>
      <c r="AI198" s="134"/>
      <c r="AJ198" s="48">
        <v>40147</v>
      </c>
      <c r="AK198" s="134">
        <f t="shared" si="24"/>
        <v>11</v>
      </c>
      <c r="AL198" s="94" t="s">
        <v>82</v>
      </c>
      <c r="AM198" s="78"/>
      <c r="AN198" s="78"/>
      <c r="AO198" s="190">
        <v>41334</v>
      </c>
      <c r="AP198" s="136">
        <f>IF((AO198=""),"",MONTH(AO198))</f>
        <v>3</v>
      </c>
      <c r="AQ198" s="127"/>
      <c r="AR198" s="23"/>
      <c r="AS198" s="94"/>
      <c r="AT198" s="184"/>
      <c r="AU198" s="70">
        <f t="shared" si="21"/>
        <v>8</v>
      </c>
      <c r="AV198" s="70" t="s">
        <v>68</v>
      </c>
    </row>
    <row r="199" spans="1:48" s="136" customFormat="1" ht="19.5" hidden="1" customHeight="1" x14ac:dyDescent="0.2">
      <c r="A199" s="86">
        <v>20176</v>
      </c>
      <c r="B199" s="3" t="s">
        <v>199</v>
      </c>
      <c r="C199" s="3" t="s">
        <v>1461</v>
      </c>
      <c r="D199" s="86"/>
      <c r="E199" s="36" t="s">
        <v>94</v>
      </c>
      <c r="F199" s="48">
        <v>32037</v>
      </c>
      <c r="G199" s="36" t="s">
        <v>171</v>
      </c>
      <c r="H199" s="81" t="s">
        <v>350</v>
      </c>
      <c r="I199" s="36" t="s">
        <v>1462</v>
      </c>
      <c r="J199" s="48">
        <v>38321</v>
      </c>
      <c r="K199" s="36" t="s">
        <v>171</v>
      </c>
      <c r="L199" s="36" t="s">
        <v>123</v>
      </c>
      <c r="M199" s="36" t="s">
        <v>1295</v>
      </c>
      <c r="N199" s="36" t="s">
        <v>368</v>
      </c>
      <c r="O199" s="101"/>
      <c r="P199" s="81" t="s">
        <v>1463</v>
      </c>
      <c r="Q199" s="36"/>
      <c r="R199" s="36" t="s">
        <v>1464</v>
      </c>
      <c r="S199" s="36"/>
      <c r="T199" s="81" t="s">
        <v>1465</v>
      </c>
      <c r="U199" s="81" t="s">
        <v>1465</v>
      </c>
      <c r="V199" s="36"/>
      <c r="W199" s="36"/>
      <c r="X199" s="36"/>
      <c r="Y199" s="36" t="s">
        <v>294</v>
      </c>
      <c r="Z199" s="81"/>
      <c r="AA199" s="54"/>
      <c r="AB199" s="81" t="s">
        <v>285</v>
      </c>
      <c r="AC199" s="81" t="s">
        <v>236</v>
      </c>
      <c r="AD199" s="36" t="s">
        <v>207</v>
      </c>
      <c r="AE199" s="81"/>
      <c r="AF199" s="81" t="s">
        <v>65</v>
      </c>
      <c r="AG199" s="48"/>
      <c r="AH199" s="134" t="str">
        <f t="shared" si="23"/>
        <v/>
      </c>
      <c r="AI199" s="134"/>
      <c r="AJ199" s="48">
        <v>40148</v>
      </c>
      <c r="AK199" s="134">
        <f t="shared" si="24"/>
        <v>12</v>
      </c>
      <c r="AL199" s="94" t="s">
        <v>82</v>
      </c>
      <c r="AM199" s="78"/>
      <c r="AN199" s="78"/>
      <c r="AO199" s="190">
        <v>40618</v>
      </c>
      <c r="AP199" s="136">
        <f>IF((AO199=""),"",MONTH(AO199))</f>
        <v>3</v>
      </c>
      <c r="AQ199" s="127"/>
      <c r="AR199" s="23"/>
      <c r="AS199" s="94"/>
      <c r="AT199" s="194"/>
      <c r="AU199" s="70">
        <f t="shared" si="21"/>
        <v>9</v>
      </c>
      <c r="AV199" s="70" t="s">
        <v>68</v>
      </c>
    </row>
    <row r="200" spans="1:48" ht="25.5" hidden="1" x14ac:dyDescent="0.2">
      <c r="A200" s="86">
        <v>20177</v>
      </c>
      <c r="B200" s="3" t="s">
        <v>596</v>
      </c>
      <c r="C200" s="3" t="s">
        <v>771</v>
      </c>
      <c r="D200" s="86"/>
      <c r="E200" s="36" t="s">
        <v>94</v>
      </c>
      <c r="F200" s="48">
        <v>31975</v>
      </c>
      <c r="G200" s="36" t="s">
        <v>171</v>
      </c>
      <c r="H200" s="81" t="s">
        <v>350</v>
      </c>
      <c r="I200" s="36" t="s">
        <v>1466</v>
      </c>
      <c r="J200" s="48">
        <v>38279</v>
      </c>
      <c r="K200" s="36" t="s">
        <v>171</v>
      </c>
      <c r="L200" s="36" t="s">
        <v>352</v>
      </c>
      <c r="M200" s="36" t="s">
        <v>1467</v>
      </c>
      <c r="N200" s="36" t="s">
        <v>354</v>
      </c>
      <c r="O200" s="101"/>
      <c r="P200" s="81" t="s">
        <v>1468</v>
      </c>
      <c r="Q200" s="36"/>
      <c r="R200" s="36" t="s">
        <v>1469</v>
      </c>
      <c r="S200" s="36"/>
      <c r="T200" s="81" t="s">
        <v>1470</v>
      </c>
      <c r="U200" s="81" t="s">
        <v>1470</v>
      </c>
      <c r="V200" s="36"/>
      <c r="W200" s="36"/>
      <c r="X200" s="36"/>
      <c r="Y200" s="36" t="s">
        <v>284</v>
      </c>
      <c r="Z200" s="81"/>
      <c r="AA200" s="54"/>
      <c r="AB200" s="81" t="s">
        <v>285</v>
      </c>
      <c r="AC200" s="81" t="s">
        <v>236</v>
      </c>
      <c r="AD200" s="36" t="s">
        <v>207</v>
      </c>
      <c r="AE200" s="81" t="s">
        <v>585</v>
      </c>
      <c r="AF200" s="81" t="s">
        <v>65</v>
      </c>
      <c r="AG200" s="48">
        <v>40148</v>
      </c>
      <c r="AH200" s="134">
        <f t="shared" si="23"/>
        <v>12</v>
      </c>
      <c r="AI200" s="134"/>
      <c r="AJ200" s="48">
        <v>40148</v>
      </c>
      <c r="AK200" s="134">
        <f t="shared" si="24"/>
        <v>12</v>
      </c>
      <c r="AL200" s="81" t="s">
        <v>82</v>
      </c>
      <c r="AM200" s="25">
        <v>41214</v>
      </c>
      <c r="AN200" s="25">
        <v>41396</v>
      </c>
      <c r="AO200" s="48">
        <v>41624</v>
      </c>
      <c r="AP200" s="136">
        <f>IF((AO200=""),"",MONTH(AO200))</f>
        <v>12</v>
      </c>
      <c r="AQ200" s="36"/>
      <c r="AR200" s="116"/>
      <c r="AS200" s="81" t="s">
        <v>347</v>
      </c>
      <c r="AT200" s="134"/>
      <c r="AU200" s="172">
        <f t="shared" si="21"/>
        <v>7</v>
      </c>
      <c r="AV200" s="172" t="s">
        <v>68</v>
      </c>
    </row>
    <row r="201" spans="1:48" s="136" customFormat="1" ht="19.5" hidden="1" customHeight="1" x14ac:dyDescent="0.2">
      <c r="A201" s="86">
        <v>20178</v>
      </c>
      <c r="B201" s="3" t="s">
        <v>1471</v>
      </c>
      <c r="C201" s="3" t="s">
        <v>1472</v>
      </c>
      <c r="D201" s="86"/>
      <c r="E201" s="36" t="s">
        <v>51</v>
      </c>
      <c r="F201" s="48">
        <v>30783</v>
      </c>
      <c r="G201" s="36"/>
      <c r="H201" s="81" t="s">
        <v>365</v>
      </c>
      <c r="I201" s="36" t="s">
        <v>1473</v>
      </c>
      <c r="J201" s="48">
        <v>36390</v>
      </c>
      <c r="K201" s="36" t="s">
        <v>365</v>
      </c>
      <c r="L201" s="36" t="s">
        <v>318</v>
      </c>
      <c r="M201" s="36" t="s">
        <v>124</v>
      </c>
      <c r="N201" s="36" t="s">
        <v>320</v>
      </c>
      <c r="O201" s="101"/>
      <c r="P201" s="159" t="s">
        <v>1474</v>
      </c>
      <c r="Q201" s="36"/>
      <c r="R201" s="36" t="s">
        <v>1475</v>
      </c>
      <c r="S201" s="36"/>
      <c r="T201" s="81"/>
      <c r="U201" s="81"/>
      <c r="V201" s="36"/>
      <c r="W201" s="36"/>
      <c r="X201" s="36"/>
      <c r="Y201" s="36" t="s">
        <v>294</v>
      </c>
      <c r="Z201" s="81"/>
      <c r="AA201" s="54"/>
      <c r="AB201" s="81" t="s">
        <v>285</v>
      </c>
      <c r="AC201" s="81" t="s">
        <v>236</v>
      </c>
      <c r="AD201" s="36"/>
      <c r="AE201" s="81"/>
      <c r="AF201" s="81" t="s">
        <v>65</v>
      </c>
      <c r="AG201" s="48"/>
      <c r="AH201" s="134" t="str">
        <f t="shared" si="23"/>
        <v/>
      </c>
      <c r="AI201" s="134"/>
      <c r="AJ201" s="48"/>
      <c r="AK201" s="134" t="str">
        <f t="shared" si="24"/>
        <v/>
      </c>
      <c r="AL201" s="54" t="s">
        <v>82</v>
      </c>
      <c r="AM201" s="54"/>
      <c r="AN201" s="54"/>
      <c r="AO201" s="190"/>
      <c r="AQ201" s="123"/>
      <c r="AR201" s="23"/>
      <c r="AS201" s="54"/>
      <c r="AT201" s="65"/>
      <c r="AU201" s="70">
        <f t="shared" si="21"/>
        <v>4</v>
      </c>
      <c r="AV201" s="70" t="s">
        <v>68</v>
      </c>
    </row>
    <row r="202" spans="1:48" s="136" customFormat="1" ht="19.5" hidden="1" customHeight="1" x14ac:dyDescent="0.2">
      <c r="A202" s="87">
        <v>20179</v>
      </c>
      <c r="B202" s="80" t="s">
        <v>1111</v>
      </c>
      <c r="C202" s="80" t="s">
        <v>573</v>
      </c>
      <c r="D202" s="87"/>
      <c r="E202" s="123" t="s">
        <v>51</v>
      </c>
      <c r="F202" s="140">
        <v>31888</v>
      </c>
      <c r="G202" s="123" t="s">
        <v>52</v>
      </c>
      <c r="H202" s="54" t="s">
        <v>53</v>
      </c>
      <c r="I202" s="123" t="s">
        <v>1476</v>
      </c>
      <c r="J202" s="140">
        <v>40236</v>
      </c>
      <c r="K202" s="123" t="s">
        <v>52</v>
      </c>
      <c r="L202" s="123" t="s">
        <v>123</v>
      </c>
      <c r="M202" s="123" t="s">
        <v>448</v>
      </c>
      <c r="N202" s="123" t="s">
        <v>469</v>
      </c>
      <c r="O202" s="106"/>
      <c r="P202" s="54" t="s">
        <v>1477</v>
      </c>
      <c r="Q202" s="123" t="s">
        <v>1478</v>
      </c>
      <c r="R202" s="123" t="s">
        <v>1479</v>
      </c>
      <c r="S202" s="123"/>
      <c r="T202" s="54" t="s">
        <v>1480</v>
      </c>
      <c r="U202" s="54" t="s">
        <v>1481</v>
      </c>
      <c r="V202" s="123"/>
      <c r="W202" s="123"/>
      <c r="X202" s="123"/>
      <c r="Y202" s="123" t="s">
        <v>312</v>
      </c>
      <c r="Z202" s="54"/>
      <c r="AA202" s="54"/>
      <c r="AB202" s="54" t="s">
        <v>285</v>
      </c>
      <c r="AC202" s="54" t="s">
        <v>236</v>
      </c>
      <c r="AD202" s="123" t="s">
        <v>158</v>
      </c>
      <c r="AE202" s="54"/>
      <c r="AF202" s="54" t="s">
        <v>65</v>
      </c>
      <c r="AG202" s="140">
        <v>40148</v>
      </c>
      <c r="AH202" s="65">
        <f t="shared" si="23"/>
        <v>12</v>
      </c>
      <c r="AI202" s="65"/>
      <c r="AJ202" s="140">
        <v>40148</v>
      </c>
      <c r="AK202" s="65">
        <f t="shared" si="24"/>
        <v>12</v>
      </c>
      <c r="AL202" s="54" t="s">
        <v>66</v>
      </c>
      <c r="AM202" s="138"/>
      <c r="AN202" s="138"/>
      <c r="AO202" s="140"/>
      <c r="AP202" s="65" t="str">
        <f>IF((AO202=""),"",MONTH(AO202))</f>
        <v/>
      </c>
      <c r="AQ202" s="123" t="s">
        <v>1482</v>
      </c>
      <c r="AR202" s="23"/>
      <c r="AS202" s="54" t="s">
        <v>107</v>
      </c>
      <c r="AT202" s="184"/>
      <c r="AU202" s="70">
        <f t="shared" si="21"/>
        <v>4</v>
      </c>
      <c r="AV202" s="70" t="s">
        <v>68</v>
      </c>
    </row>
    <row r="203" spans="1:48" s="136" customFormat="1" ht="19.5" hidden="1" customHeight="1" x14ac:dyDescent="0.2">
      <c r="A203" s="87">
        <v>20180</v>
      </c>
      <c r="B203" s="80" t="s">
        <v>965</v>
      </c>
      <c r="C203" s="80" t="s">
        <v>638</v>
      </c>
      <c r="D203" s="87"/>
      <c r="E203" s="123" t="s">
        <v>94</v>
      </c>
      <c r="F203" s="140">
        <v>31539</v>
      </c>
      <c r="G203" s="123" t="s">
        <v>1483</v>
      </c>
      <c r="H203" s="54" t="s">
        <v>1484</v>
      </c>
      <c r="I203" s="123" t="s">
        <v>1485</v>
      </c>
      <c r="J203" s="140">
        <v>39109</v>
      </c>
      <c r="K203" s="123" t="s">
        <v>1483</v>
      </c>
      <c r="L203" s="123" t="s">
        <v>341</v>
      </c>
      <c r="M203" s="123" t="s">
        <v>1486</v>
      </c>
      <c r="N203" s="123" t="s">
        <v>1487</v>
      </c>
      <c r="O203" s="106"/>
      <c r="P203" s="54" t="s">
        <v>1488</v>
      </c>
      <c r="Q203" s="123" t="s">
        <v>1489</v>
      </c>
      <c r="R203" s="123" t="s">
        <v>1490</v>
      </c>
      <c r="S203" s="123"/>
      <c r="T203" s="54" t="s">
        <v>1491</v>
      </c>
      <c r="U203" s="54" t="s">
        <v>1491</v>
      </c>
      <c r="V203" s="123"/>
      <c r="W203" s="123"/>
      <c r="X203" s="123"/>
      <c r="Y203" s="123" t="s">
        <v>374</v>
      </c>
      <c r="Z203" s="54"/>
      <c r="AA203" s="54"/>
      <c r="AB203" s="54">
        <v>3</v>
      </c>
      <c r="AC203" s="54" t="s">
        <v>63</v>
      </c>
      <c r="AD203" s="123" t="s">
        <v>1145</v>
      </c>
      <c r="AE203" s="54" t="s">
        <v>1146</v>
      </c>
      <c r="AF203" s="54" t="s">
        <v>231</v>
      </c>
      <c r="AG203" s="140">
        <v>40149</v>
      </c>
      <c r="AH203" s="65">
        <f t="shared" si="23"/>
        <v>12</v>
      </c>
      <c r="AI203" s="65"/>
      <c r="AJ203" s="140">
        <v>40210</v>
      </c>
      <c r="AK203" s="65">
        <f t="shared" si="24"/>
        <v>2</v>
      </c>
      <c r="AL203" s="54" t="s">
        <v>66</v>
      </c>
      <c r="AM203" s="138"/>
      <c r="AN203" s="138"/>
      <c r="AO203" s="140"/>
      <c r="AP203" s="65" t="str">
        <f>IF((AO203=""),"",MONTH(AO203))</f>
        <v/>
      </c>
      <c r="AQ203" s="123"/>
      <c r="AR203" s="23"/>
      <c r="AS203" s="54" t="s">
        <v>107</v>
      </c>
      <c r="AT203" s="194"/>
      <c r="AU203" s="70">
        <f t="shared" si="21"/>
        <v>5</v>
      </c>
      <c r="AV203" s="70" t="s">
        <v>68</v>
      </c>
    </row>
    <row r="204" spans="1:48" s="136" customFormat="1" ht="19.5" hidden="1" customHeight="1" x14ac:dyDescent="0.2">
      <c r="A204" s="86">
        <v>20181</v>
      </c>
      <c r="B204" s="3" t="s">
        <v>1492</v>
      </c>
      <c r="C204" s="3" t="s">
        <v>667</v>
      </c>
      <c r="D204" s="86"/>
      <c r="E204" s="36" t="s">
        <v>1493</v>
      </c>
      <c r="F204" s="48">
        <v>29679</v>
      </c>
      <c r="G204" s="36"/>
      <c r="H204" s="81" t="s">
        <v>379</v>
      </c>
      <c r="I204" s="36" t="s">
        <v>1494</v>
      </c>
      <c r="J204" s="48">
        <v>36228</v>
      </c>
      <c r="K204" s="36" t="s">
        <v>1495</v>
      </c>
      <c r="L204" s="36" t="s">
        <v>318</v>
      </c>
      <c r="M204" s="36" t="s">
        <v>1496</v>
      </c>
      <c r="N204" s="36" t="s">
        <v>320</v>
      </c>
      <c r="O204" s="101"/>
      <c r="P204" s="159">
        <v>0</v>
      </c>
      <c r="Q204" s="36"/>
      <c r="R204" s="36" t="s">
        <v>1497</v>
      </c>
      <c r="S204" s="36"/>
      <c r="T204" s="81"/>
      <c r="U204" s="81" t="s">
        <v>1498</v>
      </c>
      <c r="V204" s="36"/>
      <c r="W204" s="36"/>
      <c r="X204" s="36"/>
      <c r="Y204" s="36"/>
      <c r="Z204" s="81"/>
      <c r="AA204" s="54"/>
      <c r="AB204" s="81"/>
      <c r="AC204" s="81"/>
      <c r="AD204" s="36"/>
      <c r="AE204" s="81"/>
      <c r="AF204" s="81" t="s">
        <v>65</v>
      </c>
      <c r="AG204" s="48"/>
      <c r="AH204" s="134" t="str">
        <f t="shared" si="23"/>
        <v/>
      </c>
      <c r="AI204" s="134"/>
      <c r="AJ204" s="48"/>
      <c r="AK204" s="134" t="str">
        <f t="shared" si="24"/>
        <v/>
      </c>
      <c r="AL204" s="54" t="s">
        <v>82</v>
      </c>
      <c r="AM204" s="54"/>
      <c r="AN204" s="54"/>
      <c r="AO204" s="190"/>
      <c r="AP204" s="136" t="str">
        <f>IF((AO204=""),"",MONTH(AO204))</f>
        <v/>
      </c>
      <c r="AQ204" s="123"/>
      <c r="AR204" s="23"/>
      <c r="AS204" s="54"/>
      <c r="AT204" s="65"/>
      <c r="AU204" s="70">
        <f t="shared" si="21"/>
        <v>4</v>
      </c>
      <c r="AV204" s="70" t="s">
        <v>68</v>
      </c>
    </row>
    <row r="205" spans="1:48" s="136" customFormat="1" ht="19.5" hidden="1" customHeight="1" x14ac:dyDescent="0.2">
      <c r="A205" s="87">
        <v>20182</v>
      </c>
      <c r="B205" s="80" t="s">
        <v>1499</v>
      </c>
      <c r="C205" s="80" t="s">
        <v>70</v>
      </c>
      <c r="D205" s="87"/>
      <c r="E205" s="123" t="s">
        <v>94</v>
      </c>
      <c r="F205" s="140">
        <v>29926</v>
      </c>
      <c r="G205" s="123" t="s">
        <v>52</v>
      </c>
      <c r="H205" s="54" t="s">
        <v>53</v>
      </c>
      <c r="I205" s="123" t="s">
        <v>1500</v>
      </c>
      <c r="J205" s="140">
        <v>36168</v>
      </c>
      <c r="K205" s="123" t="s">
        <v>52</v>
      </c>
      <c r="L205" s="123" t="s">
        <v>123</v>
      </c>
      <c r="M205" s="123" t="s">
        <v>1501</v>
      </c>
      <c r="N205" s="123"/>
      <c r="O205" s="106"/>
      <c r="P205" s="54" t="s">
        <v>1502</v>
      </c>
      <c r="Q205" s="123" t="s">
        <v>1503</v>
      </c>
      <c r="R205" s="123" t="s">
        <v>1504</v>
      </c>
      <c r="S205" s="123"/>
      <c r="T205" s="54" t="s">
        <v>1505</v>
      </c>
      <c r="U205" s="54" t="s">
        <v>1505</v>
      </c>
      <c r="V205" s="123"/>
      <c r="W205" s="123"/>
      <c r="X205" s="123"/>
      <c r="Y205" s="123" t="s">
        <v>206</v>
      </c>
      <c r="Z205" s="54"/>
      <c r="AA205" s="54"/>
      <c r="AB205" s="54">
        <v>3</v>
      </c>
      <c r="AC205" s="54" t="s">
        <v>63</v>
      </c>
      <c r="AD205" s="123" t="s">
        <v>198</v>
      </c>
      <c r="AE205" s="54" t="s">
        <v>313</v>
      </c>
      <c r="AF205" s="54" t="s">
        <v>65</v>
      </c>
      <c r="AG205" s="140">
        <v>40163</v>
      </c>
      <c r="AH205" s="65">
        <f t="shared" si="23"/>
        <v>12</v>
      </c>
      <c r="AI205" s="65"/>
      <c r="AJ205" s="140">
        <v>40163</v>
      </c>
      <c r="AK205" s="65">
        <f t="shared" si="24"/>
        <v>12</v>
      </c>
      <c r="AL205" s="54" t="s">
        <v>66</v>
      </c>
      <c r="AM205" s="138">
        <v>41134</v>
      </c>
      <c r="AN205" s="138">
        <v>41256</v>
      </c>
      <c r="AO205" s="140"/>
      <c r="AP205" s="65" t="str">
        <f>IF((AO205=""),"",MONTH(AO205))</f>
        <v/>
      </c>
      <c r="AQ205" s="123"/>
      <c r="AR205" s="23"/>
      <c r="AS205" s="54" t="s">
        <v>107</v>
      </c>
      <c r="AT205" s="23"/>
      <c r="AU205" s="70">
        <f t="shared" si="21"/>
        <v>12</v>
      </c>
      <c r="AV205" s="70" t="s">
        <v>68</v>
      </c>
    </row>
    <row r="206" spans="1:48" s="136" customFormat="1" ht="19.5" hidden="1" customHeight="1" x14ac:dyDescent="0.2">
      <c r="A206" s="86">
        <v>20183</v>
      </c>
      <c r="B206" s="3" t="s">
        <v>1506</v>
      </c>
      <c r="C206" s="3" t="s">
        <v>685</v>
      </c>
      <c r="D206" s="86"/>
      <c r="E206" s="36" t="s">
        <v>94</v>
      </c>
      <c r="F206" s="48">
        <v>31715</v>
      </c>
      <c r="G206" s="36"/>
      <c r="H206" s="81" t="s">
        <v>132</v>
      </c>
      <c r="I206" s="36" t="s">
        <v>1507</v>
      </c>
      <c r="J206" s="48">
        <v>36853</v>
      </c>
      <c r="K206" s="36" t="s">
        <v>132</v>
      </c>
      <c r="L206" s="36" t="s">
        <v>318</v>
      </c>
      <c r="M206" s="36" t="s">
        <v>1508</v>
      </c>
      <c r="N206" s="36" t="s">
        <v>320</v>
      </c>
      <c r="O206" s="101"/>
      <c r="P206" s="159" t="s">
        <v>1509</v>
      </c>
      <c r="Q206" s="36"/>
      <c r="R206" s="36" t="s">
        <v>1510</v>
      </c>
      <c r="S206" s="36"/>
      <c r="T206" s="81"/>
      <c r="U206" s="81" t="s">
        <v>1511</v>
      </c>
      <c r="V206" s="36"/>
      <c r="W206" s="36"/>
      <c r="X206" s="36"/>
      <c r="Y206" s="36" t="s">
        <v>284</v>
      </c>
      <c r="Z206" s="81"/>
      <c r="AA206" s="54"/>
      <c r="AB206" s="81" t="s">
        <v>285</v>
      </c>
      <c r="AC206" s="81" t="s">
        <v>236</v>
      </c>
      <c r="AD206" s="36" t="s">
        <v>512</v>
      </c>
      <c r="AE206" s="81"/>
      <c r="AF206" s="81" t="s">
        <v>65</v>
      </c>
      <c r="AG206" s="48"/>
      <c r="AH206" s="134" t="str">
        <f t="shared" si="23"/>
        <v/>
      </c>
      <c r="AI206" s="134"/>
      <c r="AJ206" s="48"/>
      <c r="AK206" s="134" t="str">
        <f t="shared" si="24"/>
        <v/>
      </c>
      <c r="AL206" s="54" t="s">
        <v>82</v>
      </c>
      <c r="AM206" s="54"/>
      <c r="AN206" s="54"/>
      <c r="AO206" s="190"/>
      <c r="AQ206" s="123"/>
      <c r="AR206" s="23"/>
      <c r="AS206" s="54"/>
      <c r="AT206" s="65"/>
      <c r="AU206" s="70">
        <f t="shared" si="21"/>
        <v>10</v>
      </c>
      <c r="AV206" s="70" t="s">
        <v>68</v>
      </c>
    </row>
    <row r="207" spans="1:48" ht="25.5" hidden="1" x14ac:dyDescent="0.2">
      <c r="A207" s="86">
        <v>20184</v>
      </c>
      <c r="B207" s="3" t="s">
        <v>169</v>
      </c>
      <c r="C207" s="3" t="s">
        <v>70</v>
      </c>
      <c r="D207" s="86"/>
      <c r="E207" s="36" t="s">
        <v>51</v>
      </c>
      <c r="F207" s="48">
        <v>31120</v>
      </c>
      <c r="G207" s="36"/>
      <c r="H207" s="81" t="s">
        <v>52</v>
      </c>
      <c r="I207" s="36" t="s">
        <v>1512</v>
      </c>
      <c r="J207" s="48">
        <v>36441</v>
      </c>
      <c r="K207" s="36" t="s">
        <v>52</v>
      </c>
      <c r="L207" s="36" t="s">
        <v>318</v>
      </c>
      <c r="M207" s="36" t="s">
        <v>217</v>
      </c>
      <c r="N207" s="36" t="s">
        <v>320</v>
      </c>
      <c r="O207" s="101"/>
      <c r="P207" s="159" t="s">
        <v>1513</v>
      </c>
      <c r="Q207" s="36"/>
      <c r="R207" s="36" t="s">
        <v>1514</v>
      </c>
      <c r="S207" s="36"/>
      <c r="T207" s="81"/>
      <c r="U207" s="81" t="s">
        <v>1515</v>
      </c>
      <c r="V207" s="36"/>
      <c r="W207" s="36"/>
      <c r="X207" s="36"/>
      <c r="Y207" s="36" t="s">
        <v>284</v>
      </c>
      <c r="Z207" s="81"/>
      <c r="AA207" s="54"/>
      <c r="AB207" s="81" t="s">
        <v>285</v>
      </c>
      <c r="AC207" s="81" t="s">
        <v>236</v>
      </c>
      <c r="AD207" s="36" t="s">
        <v>629</v>
      </c>
      <c r="AE207" s="81"/>
      <c r="AF207" s="81" t="s">
        <v>65</v>
      </c>
      <c r="AG207" s="48"/>
      <c r="AH207" s="134" t="str">
        <f t="shared" si="23"/>
        <v/>
      </c>
      <c r="AI207" s="134"/>
      <c r="AJ207" s="48"/>
      <c r="AK207" s="134" t="str">
        <f t="shared" si="24"/>
        <v/>
      </c>
      <c r="AL207" s="54" t="s">
        <v>82</v>
      </c>
      <c r="AM207" s="54"/>
      <c r="AN207" s="54"/>
      <c r="AO207" s="190"/>
      <c r="AP207" s="136"/>
      <c r="AQ207" s="123"/>
      <c r="AR207" s="23"/>
      <c r="AS207" s="54"/>
      <c r="AT207" s="184"/>
      <c r="AU207" s="70">
        <f t="shared" si="21"/>
        <v>3</v>
      </c>
      <c r="AV207" s="70" t="s">
        <v>68</v>
      </c>
    </row>
    <row r="208" spans="1:48" s="136" customFormat="1" ht="38.25" hidden="1" x14ac:dyDescent="0.2">
      <c r="A208" s="87">
        <v>20185</v>
      </c>
      <c r="B208" s="80" t="s">
        <v>265</v>
      </c>
      <c r="C208" s="80" t="s">
        <v>1516</v>
      </c>
      <c r="D208" s="87"/>
      <c r="E208" s="123" t="s">
        <v>94</v>
      </c>
      <c r="F208" s="140">
        <v>31414</v>
      </c>
      <c r="G208" s="123" t="s">
        <v>120</v>
      </c>
      <c r="H208" s="54" t="s">
        <v>121</v>
      </c>
      <c r="I208" s="123" t="s">
        <v>1517</v>
      </c>
      <c r="J208" s="140">
        <v>37175</v>
      </c>
      <c r="K208" s="123" t="s">
        <v>120</v>
      </c>
      <c r="L208" s="123" t="s">
        <v>123</v>
      </c>
      <c r="M208" s="123" t="s">
        <v>1518</v>
      </c>
      <c r="N208" s="123" t="s">
        <v>1519</v>
      </c>
      <c r="O208" s="106"/>
      <c r="P208" s="54" t="s">
        <v>1520</v>
      </c>
      <c r="Q208" s="123"/>
      <c r="R208" s="123" t="s">
        <v>1521</v>
      </c>
      <c r="S208" s="123"/>
      <c r="T208" s="54" t="s">
        <v>1522</v>
      </c>
      <c r="U208" s="54" t="s">
        <v>1523</v>
      </c>
      <c r="V208" s="123"/>
      <c r="W208" s="123"/>
      <c r="X208" s="123"/>
      <c r="Y208" s="123" t="s">
        <v>1524</v>
      </c>
      <c r="Z208" s="54"/>
      <c r="AA208" s="54"/>
      <c r="AB208" s="54" t="s">
        <v>285</v>
      </c>
      <c r="AC208" s="54" t="s">
        <v>236</v>
      </c>
      <c r="AD208" s="123" t="s">
        <v>375</v>
      </c>
      <c r="AE208" s="54" t="s">
        <v>1525</v>
      </c>
      <c r="AF208" s="54" t="s">
        <v>65</v>
      </c>
      <c r="AG208" s="140">
        <v>40183</v>
      </c>
      <c r="AH208" s="65">
        <f t="shared" si="23"/>
        <v>1</v>
      </c>
      <c r="AI208" s="65"/>
      <c r="AJ208" s="140">
        <v>40183</v>
      </c>
      <c r="AK208" s="65">
        <f t="shared" si="24"/>
        <v>1</v>
      </c>
      <c r="AL208" s="54" t="s">
        <v>66</v>
      </c>
      <c r="AM208" s="138"/>
      <c r="AN208" s="138"/>
      <c r="AO208" s="140"/>
      <c r="AP208" s="65" t="str">
        <f>IF((AO208=""),"",MONTH(AO208))</f>
        <v/>
      </c>
      <c r="AQ208" s="123"/>
      <c r="AR208" s="23"/>
      <c r="AS208" s="54" t="s">
        <v>107</v>
      </c>
      <c r="AT208" s="158"/>
      <c r="AU208" s="70">
        <f t="shared" si="21"/>
        <v>1</v>
      </c>
      <c r="AV208" s="70" t="s">
        <v>68</v>
      </c>
    </row>
    <row r="209" spans="1:48" s="136" customFormat="1" ht="12.75" hidden="1" x14ac:dyDescent="0.2">
      <c r="A209" s="86">
        <v>20186</v>
      </c>
      <c r="B209" s="3" t="s">
        <v>848</v>
      </c>
      <c r="C209" s="3" t="s">
        <v>618</v>
      </c>
      <c r="D209" s="86"/>
      <c r="E209" s="36" t="s">
        <v>94</v>
      </c>
      <c r="F209" s="48"/>
      <c r="G209" s="36"/>
      <c r="H209" s="81" t="s">
        <v>0</v>
      </c>
      <c r="I209" s="36"/>
      <c r="J209" s="48"/>
      <c r="K209" s="36"/>
      <c r="L209" s="36" t="s">
        <v>123</v>
      </c>
      <c r="M209" s="36"/>
      <c r="N209" s="36"/>
      <c r="O209" s="101"/>
      <c r="P209" s="81"/>
      <c r="Q209" s="36"/>
      <c r="R209" s="36"/>
      <c r="S209" s="36"/>
      <c r="T209" s="81" t="s">
        <v>0</v>
      </c>
      <c r="U209" s="81" t="s">
        <v>0</v>
      </c>
      <c r="V209" s="36"/>
      <c r="W209" s="36"/>
      <c r="X209" s="36"/>
      <c r="Y209" s="36" t="s">
        <v>326</v>
      </c>
      <c r="Z209" s="81"/>
      <c r="AA209" s="54"/>
      <c r="AB209" s="81"/>
      <c r="AC209" s="81"/>
      <c r="AD209" s="36"/>
      <c r="AE209" s="81"/>
      <c r="AF209" s="81"/>
      <c r="AG209" s="48"/>
      <c r="AH209" s="134" t="str">
        <f t="shared" si="23"/>
        <v/>
      </c>
      <c r="AI209" s="134"/>
      <c r="AJ209" s="48"/>
      <c r="AK209" s="134" t="str">
        <f t="shared" si="24"/>
        <v/>
      </c>
      <c r="AL209" s="94" t="s">
        <v>82</v>
      </c>
      <c r="AM209" s="78"/>
      <c r="AN209" s="78"/>
      <c r="AO209" s="190"/>
      <c r="AP209" s="136" t="str">
        <f>IF((AO209=""),"",MONTH(AO209))</f>
        <v/>
      </c>
      <c r="AQ209" s="127"/>
      <c r="AR209" s="23"/>
      <c r="AS209" s="94"/>
      <c r="AT209" s="194"/>
      <c r="AU209" s="70" t="str">
        <f t="shared" si="21"/>
        <v/>
      </c>
      <c r="AV209" s="70" t="s">
        <v>68</v>
      </c>
    </row>
    <row r="210" spans="1:48" s="136" customFormat="1" ht="19.5" hidden="1" customHeight="1" x14ac:dyDescent="0.2">
      <c r="A210" s="86">
        <v>20187</v>
      </c>
      <c r="B210" s="3" t="s">
        <v>596</v>
      </c>
      <c r="C210" s="3" t="s">
        <v>607</v>
      </c>
      <c r="D210" s="86"/>
      <c r="E210" s="36" t="s">
        <v>94</v>
      </c>
      <c r="F210" s="48">
        <v>31416</v>
      </c>
      <c r="G210" s="36"/>
      <c r="H210" s="81" t="s">
        <v>161</v>
      </c>
      <c r="I210" s="36" t="s">
        <v>1526</v>
      </c>
      <c r="J210" s="48">
        <v>37048</v>
      </c>
      <c r="K210" s="36" t="s">
        <v>1527</v>
      </c>
      <c r="L210" s="36" t="s">
        <v>318</v>
      </c>
      <c r="M210" s="36" t="s">
        <v>1528</v>
      </c>
      <c r="N210" s="36" t="s">
        <v>320</v>
      </c>
      <c r="O210" s="101"/>
      <c r="P210" s="159">
        <v>0</v>
      </c>
      <c r="Q210" s="36"/>
      <c r="R210" s="36" t="s">
        <v>1529</v>
      </c>
      <c r="S210" s="36"/>
      <c r="T210" s="81"/>
      <c r="U210" s="81" t="s">
        <v>1530</v>
      </c>
      <c r="V210" s="36"/>
      <c r="W210" s="36"/>
      <c r="X210" s="36"/>
      <c r="Y210" s="36" t="s">
        <v>284</v>
      </c>
      <c r="Z210" s="81"/>
      <c r="AA210" s="54"/>
      <c r="AB210" s="81" t="s">
        <v>285</v>
      </c>
      <c r="AC210" s="81" t="s">
        <v>236</v>
      </c>
      <c r="AD210" s="36"/>
      <c r="AE210" s="81"/>
      <c r="AF210" s="81" t="s">
        <v>65</v>
      </c>
      <c r="AG210" s="48"/>
      <c r="AH210" s="134" t="str">
        <f t="shared" si="23"/>
        <v/>
      </c>
      <c r="AI210" s="134"/>
      <c r="AJ210" s="48"/>
      <c r="AK210" s="134" t="str">
        <f t="shared" si="24"/>
        <v/>
      </c>
      <c r="AL210" s="54" t="s">
        <v>82</v>
      </c>
      <c r="AM210" s="54"/>
      <c r="AN210" s="54"/>
      <c r="AO210" s="190"/>
      <c r="AQ210" s="123"/>
      <c r="AR210" s="23"/>
      <c r="AS210" s="54"/>
      <c r="AT210" s="65"/>
      <c r="AU210" s="70">
        <f t="shared" si="21"/>
        <v>1</v>
      </c>
      <c r="AV210" s="70" t="s">
        <v>68</v>
      </c>
    </row>
    <row r="211" spans="1:48" s="136" customFormat="1" ht="25.5" hidden="1" x14ac:dyDescent="0.2">
      <c r="A211" s="86">
        <v>20188</v>
      </c>
      <c r="B211" s="3" t="s">
        <v>1531</v>
      </c>
      <c r="C211" s="3" t="s">
        <v>1532</v>
      </c>
      <c r="D211" s="86"/>
      <c r="E211" s="36" t="s">
        <v>94</v>
      </c>
      <c r="F211" s="48">
        <v>31229</v>
      </c>
      <c r="G211" s="36" t="s">
        <v>272</v>
      </c>
      <c r="H211" s="81" t="s">
        <v>273</v>
      </c>
      <c r="I211" s="36" t="s">
        <v>1533</v>
      </c>
      <c r="J211" s="48">
        <v>36330</v>
      </c>
      <c r="K211" s="36" t="s">
        <v>954</v>
      </c>
      <c r="L211" s="36" t="s">
        <v>123</v>
      </c>
      <c r="M211" s="36" t="s">
        <v>96</v>
      </c>
      <c r="N211" s="36" t="s">
        <v>368</v>
      </c>
      <c r="O211" s="101"/>
      <c r="P211" s="81" t="s">
        <v>1534</v>
      </c>
      <c r="Q211" s="36" t="s">
        <v>1535</v>
      </c>
      <c r="R211" s="36" t="s">
        <v>1536</v>
      </c>
      <c r="S211" s="36"/>
      <c r="T211" s="81" t="s">
        <v>1537</v>
      </c>
      <c r="U211" s="81" t="s">
        <v>1538</v>
      </c>
      <c r="V211" s="36"/>
      <c r="W211" s="36"/>
      <c r="X211" s="36"/>
      <c r="Y211" s="36" t="s">
        <v>284</v>
      </c>
      <c r="Z211" s="81"/>
      <c r="AA211" s="54"/>
      <c r="AB211" s="81" t="s">
        <v>285</v>
      </c>
      <c r="AC211" s="81" t="s">
        <v>236</v>
      </c>
      <c r="AD211" s="123" t="s">
        <v>375</v>
      </c>
      <c r="AE211" s="81" t="s">
        <v>1525</v>
      </c>
      <c r="AF211" s="81" t="s">
        <v>65</v>
      </c>
      <c r="AG211" s="48">
        <v>40193</v>
      </c>
      <c r="AH211" s="134">
        <f t="shared" si="23"/>
        <v>1</v>
      </c>
      <c r="AI211" s="134"/>
      <c r="AJ211" s="48">
        <v>40193</v>
      </c>
      <c r="AK211" s="134">
        <f t="shared" si="24"/>
        <v>1</v>
      </c>
      <c r="AL211" s="94" t="s">
        <v>82</v>
      </c>
      <c r="AM211" s="78"/>
      <c r="AN211" s="78"/>
      <c r="AO211" s="190">
        <v>41358</v>
      </c>
      <c r="AP211" s="136">
        <f>IF((AO211=""),"",MONTH(AO211))</f>
        <v>3</v>
      </c>
      <c r="AQ211" s="127"/>
      <c r="AR211" s="23"/>
      <c r="AS211" s="54" t="s">
        <v>107</v>
      </c>
      <c r="AT211" s="184"/>
      <c r="AU211" s="70">
        <f t="shared" si="21"/>
        <v>7</v>
      </c>
      <c r="AV211" s="70" t="s">
        <v>68</v>
      </c>
    </row>
    <row r="212" spans="1:48" s="136" customFormat="1" ht="19.5" hidden="1" customHeight="1" x14ac:dyDescent="0.2">
      <c r="A212" s="86">
        <v>20189</v>
      </c>
      <c r="B212" s="3" t="s">
        <v>199</v>
      </c>
      <c r="C212" s="3" t="s">
        <v>250</v>
      </c>
      <c r="D212" s="86"/>
      <c r="E212" s="36" t="s">
        <v>94</v>
      </c>
      <c r="F212" s="48">
        <v>30986</v>
      </c>
      <c r="G212" s="36"/>
      <c r="H212" s="81" t="s">
        <v>0</v>
      </c>
      <c r="I212" s="36"/>
      <c r="J212" s="48"/>
      <c r="K212" s="36"/>
      <c r="L212" s="36"/>
      <c r="M212" s="36"/>
      <c r="N212" s="36"/>
      <c r="O212" s="101"/>
      <c r="P212" s="81"/>
      <c r="Q212" s="36"/>
      <c r="R212" s="36"/>
      <c r="S212" s="36"/>
      <c r="T212" s="81" t="s">
        <v>0</v>
      </c>
      <c r="U212" s="81" t="s">
        <v>0</v>
      </c>
      <c r="V212" s="36"/>
      <c r="W212" s="36"/>
      <c r="X212" s="36"/>
      <c r="Y212" s="36" t="s">
        <v>284</v>
      </c>
      <c r="Z212" s="81"/>
      <c r="AA212" s="54"/>
      <c r="AB212" s="81" t="s">
        <v>285</v>
      </c>
      <c r="AC212" s="81" t="s">
        <v>236</v>
      </c>
      <c r="AD212" s="36"/>
      <c r="AE212" s="81"/>
      <c r="AF212" s="81" t="s">
        <v>65</v>
      </c>
      <c r="AG212" s="48"/>
      <c r="AH212" s="134" t="str">
        <f t="shared" si="23"/>
        <v/>
      </c>
      <c r="AI212" s="134"/>
      <c r="AJ212" s="48"/>
      <c r="AK212" s="134" t="str">
        <f t="shared" si="24"/>
        <v/>
      </c>
      <c r="AL212" s="94" t="s">
        <v>82</v>
      </c>
      <c r="AM212" s="78"/>
      <c r="AN212" s="78"/>
      <c r="AO212" s="190"/>
      <c r="AP212" s="136" t="str">
        <f>IF((AO212=""),"",MONTH(AO212))</f>
        <v/>
      </c>
      <c r="AQ212" s="127"/>
      <c r="AR212" s="23"/>
      <c r="AS212" s="94"/>
      <c r="AT212" s="194"/>
      <c r="AU212" s="70">
        <f t="shared" si="21"/>
        <v>10</v>
      </c>
      <c r="AV212" s="70" t="s">
        <v>68</v>
      </c>
    </row>
    <row r="213" spans="1:48" s="136" customFormat="1" ht="19.5" hidden="1" customHeight="1" x14ac:dyDescent="0.2">
      <c r="A213" s="86">
        <v>20190</v>
      </c>
      <c r="B213" s="3" t="s">
        <v>1539</v>
      </c>
      <c r="C213" s="3" t="s">
        <v>109</v>
      </c>
      <c r="D213" s="86"/>
      <c r="E213" s="36" t="s">
        <v>94</v>
      </c>
      <c r="F213" s="48">
        <v>31414</v>
      </c>
      <c r="G213" s="36"/>
      <c r="H213" s="81" t="s">
        <v>1139</v>
      </c>
      <c r="I213" s="36" t="s">
        <v>1540</v>
      </c>
      <c r="J213" s="48">
        <v>39612</v>
      </c>
      <c r="K213" s="36" t="s">
        <v>1139</v>
      </c>
      <c r="L213" s="36" t="s">
        <v>318</v>
      </c>
      <c r="M213" s="36" t="s">
        <v>1541</v>
      </c>
      <c r="N213" s="36" t="s">
        <v>320</v>
      </c>
      <c r="O213" s="101"/>
      <c r="P213" s="159" t="s">
        <v>1542</v>
      </c>
      <c r="Q213" s="36"/>
      <c r="R213" s="36" t="s">
        <v>1543</v>
      </c>
      <c r="S213" s="36"/>
      <c r="T213" s="81"/>
      <c r="U213" s="81" t="s">
        <v>1544</v>
      </c>
      <c r="V213" s="36"/>
      <c r="W213" s="36"/>
      <c r="X213" s="36"/>
      <c r="Y213" s="36" t="s">
        <v>616</v>
      </c>
      <c r="Z213" s="81"/>
      <c r="AA213" s="54"/>
      <c r="AB213" s="81" t="s">
        <v>285</v>
      </c>
      <c r="AC213" s="81" t="s">
        <v>236</v>
      </c>
      <c r="AD213" s="36"/>
      <c r="AE213" s="81" t="s">
        <v>1545</v>
      </c>
      <c r="AF213" s="81" t="s">
        <v>231</v>
      </c>
      <c r="AG213" s="48"/>
      <c r="AH213" s="134" t="str">
        <f t="shared" si="23"/>
        <v/>
      </c>
      <c r="AI213" s="134"/>
      <c r="AJ213" s="48"/>
      <c r="AK213" s="134" t="str">
        <f t="shared" si="24"/>
        <v/>
      </c>
      <c r="AL213" s="54" t="s">
        <v>82</v>
      </c>
      <c r="AM213" s="54"/>
      <c r="AN213" s="54"/>
      <c r="AO213" s="190"/>
      <c r="AQ213" s="123"/>
      <c r="AR213" s="23"/>
      <c r="AS213" s="54"/>
      <c r="AT213" s="65"/>
      <c r="AU213" s="70">
        <f t="shared" si="21"/>
        <v>1</v>
      </c>
      <c r="AV213" s="70" t="s">
        <v>68</v>
      </c>
    </row>
    <row r="214" spans="1:48" s="136" customFormat="1" ht="19.5" hidden="1" customHeight="1" x14ac:dyDescent="0.2">
      <c r="A214" s="86">
        <v>20191</v>
      </c>
      <c r="B214" s="3" t="s">
        <v>1546</v>
      </c>
      <c r="C214" s="3" t="s">
        <v>1547</v>
      </c>
      <c r="D214" s="86"/>
      <c r="E214" s="36" t="s">
        <v>94</v>
      </c>
      <c r="F214" s="48"/>
      <c r="G214" s="36"/>
      <c r="H214" s="81" t="s">
        <v>0</v>
      </c>
      <c r="I214" s="36"/>
      <c r="J214" s="48"/>
      <c r="K214" s="36"/>
      <c r="L214" s="36" t="s">
        <v>123</v>
      </c>
      <c r="M214" s="36"/>
      <c r="N214" s="36"/>
      <c r="O214" s="101"/>
      <c r="P214" s="81"/>
      <c r="Q214" s="36"/>
      <c r="R214" s="36"/>
      <c r="S214" s="36"/>
      <c r="T214" s="81" t="s">
        <v>0</v>
      </c>
      <c r="U214" s="81" t="s">
        <v>0</v>
      </c>
      <c r="V214" s="36"/>
      <c r="W214" s="36"/>
      <c r="X214" s="36"/>
      <c r="Y214" s="36" t="s">
        <v>326</v>
      </c>
      <c r="Z214" s="81"/>
      <c r="AA214" s="54"/>
      <c r="AB214" s="81"/>
      <c r="AC214" s="81"/>
      <c r="AD214" s="36"/>
      <c r="AE214" s="81"/>
      <c r="AF214" s="81"/>
      <c r="AG214" s="48"/>
      <c r="AH214" s="134" t="str">
        <f t="shared" si="23"/>
        <v/>
      </c>
      <c r="AI214" s="134"/>
      <c r="AJ214" s="48"/>
      <c r="AK214" s="134" t="str">
        <f t="shared" si="24"/>
        <v/>
      </c>
      <c r="AL214" s="94" t="s">
        <v>82</v>
      </c>
      <c r="AM214" s="78"/>
      <c r="AN214" s="78"/>
      <c r="AO214" s="190"/>
      <c r="AP214" s="136" t="str">
        <f>IF((AO214=""),"",MONTH(AO214))</f>
        <v/>
      </c>
      <c r="AQ214" s="127"/>
      <c r="AR214" s="23"/>
      <c r="AS214" s="94"/>
      <c r="AT214" s="23"/>
      <c r="AU214" s="70" t="str">
        <f t="shared" si="21"/>
        <v/>
      </c>
      <c r="AV214" s="70" t="s">
        <v>68</v>
      </c>
    </row>
    <row r="215" spans="1:48" s="136" customFormat="1" ht="19.5" hidden="1" customHeight="1" x14ac:dyDescent="0.2">
      <c r="A215" s="86">
        <v>20192</v>
      </c>
      <c r="B215" s="3" t="s">
        <v>1548</v>
      </c>
      <c r="C215" s="3" t="s">
        <v>170</v>
      </c>
      <c r="D215" s="86"/>
      <c r="E215" s="36" t="s">
        <v>94</v>
      </c>
      <c r="F215" s="48">
        <v>31456</v>
      </c>
      <c r="G215" s="36"/>
      <c r="H215" s="81" t="s">
        <v>841</v>
      </c>
      <c r="I215" s="36" t="s">
        <v>1549</v>
      </c>
      <c r="J215" s="48">
        <v>37751</v>
      </c>
      <c r="K215" s="36" t="s">
        <v>1550</v>
      </c>
      <c r="L215" s="36" t="s">
        <v>318</v>
      </c>
      <c r="M215" s="36" t="s">
        <v>1551</v>
      </c>
      <c r="N215" s="36" t="s">
        <v>320</v>
      </c>
      <c r="O215" s="101"/>
      <c r="P215" s="159" t="s">
        <v>1552</v>
      </c>
      <c r="Q215" s="36"/>
      <c r="R215" s="36" t="s">
        <v>1553</v>
      </c>
      <c r="S215" s="36"/>
      <c r="T215" s="81"/>
      <c r="U215" s="81" t="s">
        <v>1554</v>
      </c>
      <c r="V215" s="36"/>
      <c r="W215" s="36"/>
      <c r="X215" s="36"/>
      <c r="Y215" s="36" t="s">
        <v>284</v>
      </c>
      <c r="Z215" s="81"/>
      <c r="AA215" s="54"/>
      <c r="AB215" s="81" t="s">
        <v>285</v>
      </c>
      <c r="AC215" s="81" t="s">
        <v>236</v>
      </c>
      <c r="AD215" s="36"/>
      <c r="AE215" s="81"/>
      <c r="AF215" s="81" t="s">
        <v>231</v>
      </c>
      <c r="AG215" s="48"/>
      <c r="AH215" s="134" t="str">
        <f t="shared" si="23"/>
        <v/>
      </c>
      <c r="AI215" s="134"/>
      <c r="AJ215" s="48"/>
      <c r="AK215" s="134" t="str">
        <f t="shared" si="24"/>
        <v/>
      </c>
      <c r="AL215" s="54" t="s">
        <v>82</v>
      </c>
      <c r="AM215" s="54"/>
      <c r="AN215" s="54"/>
      <c r="AO215" s="190"/>
      <c r="AQ215" s="123"/>
      <c r="AR215" s="23"/>
      <c r="AS215" s="54"/>
      <c r="AT215" s="65"/>
      <c r="AU215" s="70">
        <f t="shared" si="21"/>
        <v>2</v>
      </c>
      <c r="AV215" s="70" t="s">
        <v>68</v>
      </c>
    </row>
    <row r="216" spans="1:48" s="136" customFormat="1" ht="25.5" hidden="1" x14ac:dyDescent="0.2">
      <c r="A216" s="87">
        <v>20193</v>
      </c>
      <c r="B216" s="80" t="s">
        <v>265</v>
      </c>
      <c r="C216" s="80" t="s">
        <v>1428</v>
      </c>
      <c r="D216" s="87"/>
      <c r="E216" s="123" t="s">
        <v>94</v>
      </c>
      <c r="F216" s="140">
        <v>30926</v>
      </c>
      <c r="G216" s="123" t="s">
        <v>171</v>
      </c>
      <c r="H216" s="54" t="s">
        <v>350</v>
      </c>
      <c r="I216" s="123" t="s">
        <v>1555</v>
      </c>
      <c r="J216" s="140">
        <v>38559</v>
      </c>
      <c r="K216" s="123" t="s">
        <v>171</v>
      </c>
      <c r="L216" s="123" t="s">
        <v>123</v>
      </c>
      <c r="M216" s="123" t="s">
        <v>543</v>
      </c>
      <c r="N216" s="123" t="s">
        <v>544</v>
      </c>
      <c r="O216" s="106"/>
      <c r="P216" s="54" t="s">
        <v>1556</v>
      </c>
      <c r="Q216" s="123" t="s">
        <v>1557</v>
      </c>
      <c r="R216" s="123" t="s">
        <v>1558</v>
      </c>
      <c r="S216" s="123"/>
      <c r="T216" s="54" t="s">
        <v>1559</v>
      </c>
      <c r="U216" s="54" t="s">
        <v>1560</v>
      </c>
      <c r="V216" s="123"/>
      <c r="W216" s="123"/>
      <c r="X216" s="123"/>
      <c r="Y216" s="123" t="s">
        <v>1524</v>
      </c>
      <c r="Z216" s="54"/>
      <c r="AA216" s="54"/>
      <c r="AB216" s="54" t="s">
        <v>285</v>
      </c>
      <c r="AC216" s="54" t="s">
        <v>236</v>
      </c>
      <c r="AD216" s="123" t="s">
        <v>375</v>
      </c>
      <c r="AE216" s="54" t="s">
        <v>1525</v>
      </c>
      <c r="AF216" s="54" t="s">
        <v>65</v>
      </c>
      <c r="AG216" s="140">
        <v>40238</v>
      </c>
      <c r="AH216" s="65">
        <f t="shared" si="23"/>
        <v>3</v>
      </c>
      <c r="AI216" s="65"/>
      <c r="AJ216" s="140">
        <v>40238</v>
      </c>
      <c r="AK216" s="65">
        <f t="shared" si="24"/>
        <v>3</v>
      </c>
      <c r="AL216" s="54" t="s">
        <v>66</v>
      </c>
      <c r="AM216" s="138">
        <v>41253</v>
      </c>
      <c r="AN216" s="138" t="s">
        <v>1561</v>
      </c>
      <c r="AO216" s="140"/>
      <c r="AP216" s="65" t="str">
        <f t="shared" ref="AP216:AP226" si="25">IF((AO216=""),"",MONTH(AO216))</f>
        <v/>
      </c>
      <c r="AQ216" s="123"/>
      <c r="AR216" s="23"/>
      <c r="AS216" s="54" t="s">
        <v>107</v>
      </c>
      <c r="AT216" s="184"/>
      <c r="AU216" s="70">
        <f t="shared" si="21"/>
        <v>9</v>
      </c>
      <c r="AV216" s="70" t="s">
        <v>68</v>
      </c>
    </row>
    <row r="217" spans="1:48" s="136" customFormat="1" ht="19.5" hidden="1" customHeight="1" x14ac:dyDescent="0.2">
      <c r="A217" s="86">
        <v>20194</v>
      </c>
      <c r="B217" s="3" t="s">
        <v>1562</v>
      </c>
      <c r="C217" s="3" t="s">
        <v>486</v>
      </c>
      <c r="D217" s="86"/>
      <c r="E217" s="36" t="s">
        <v>94</v>
      </c>
      <c r="F217" s="48">
        <v>29296</v>
      </c>
      <c r="G217" s="36" t="s">
        <v>303</v>
      </c>
      <c r="H217" s="81" t="s">
        <v>304</v>
      </c>
      <c r="I217" s="36" t="s">
        <v>1563</v>
      </c>
      <c r="J217" s="48">
        <v>36133</v>
      </c>
      <c r="K217" s="36" t="s">
        <v>303</v>
      </c>
      <c r="L217" s="36" t="s">
        <v>86</v>
      </c>
      <c r="M217" s="36" t="s">
        <v>1564</v>
      </c>
      <c r="N217" s="36"/>
      <c r="O217" s="101"/>
      <c r="P217" s="81" t="s">
        <v>1565</v>
      </c>
      <c r="Q217" s="36"/>
      <c r="R217" s="36" t="s">
        <v>1566</v>
      </c>
      <c r="S217" s="36"/>
      <c r="T217" s="81" t="s">
        <v>1567</v>
      </c>
      <c r="U217" s="81" t="s">
        <v>1568</v>
      </c>
      <c r="V217" s="36"/>
      <c r="W217" s="36"/>
      <c r="X217" s="36"/>
      <c r="Y217" s="36" t="s">
        <v>831</v>
      </c>
      <c r="Z217" s="81"/>
      <c r="AA217" s="54"/>
      <c r="AB217" s="81" t="s">
        <v>361</v>
      </c>
      <c r="AC217" s="81" t="s">
        <v>362</v>
      </c>
      <c r="AD217" s="36" t="s">
        <v>404</v>
      </c>
      <c r="AE217" s="81" t="s">
        <v>700</v>
      </c>
      <c r="AF217" s="81" t="s">
        <v>65</v>
      </c>
      <c r="AG217" s="48">
        <v>40241</v>
      </c>
      <c r="AH217" s="134">
        <f t="shared" si="23"/>
        <v>3</v>
      </c>
      <c r="AI217" s="134"/>
      <c r="AJ217" s="48">
        <v>40241</v>
      </c>
      <c r="AK217" s="134">
        <f t="shared" si="24"/>
        <v>3</v>
      </c>
      <c r="AL217" s="54" t="s">
        <v>82</v>
      </c>
      <c r="AM217" s="138">
        <v>41174</v>
      </c>
      <c r="AN217" s="138">
        <v>41365</v>
      </c>
      <c r="AO217" s="140">
        <v>41515</v>
      </c>
      <c r="AP217" s="65">
        <f t="shared" si="25"/>
        <v>8</v>
      </c>
      <c r="AQ217" s="123"/>
      <c r="AR217" s="23"/>
      <c r="AS217" s="54" t="s">
        <v>347</v>
      </c>
      <c r="AT217" s="158"/>
      <c r="AU217" s="70">
        <f t="shared" si="21"/>
        <v>3</v>
      </c>
      <c r="AV217" s="70" t="s">
        <v>68</v>
      </c>
    </row>
    <row r="218" spans="1:48" s="136" customFormat="1" ht="19.5" hidden="1" customHeight="1" x14ac:dyDescent="0.2">
      <c r="A218" s="87">
        <v>20195</v>
      </c>
      <c r="B218" s="80" t="s">
        <v>1569</v>
      </c>
      <c r="C218" s="80" t="s">
        <v>1570</v>
      </c>
      <c r="D218" s="87"/>
      <c r="E218" s="123" t="s">
        <v>51</v>
      </c>
      <c r="F218" s="140">
        <v>30540</v>
      </c>
      <c r="G218" s="123" t="s">
        <v>132</v>
      </c>
      <c r="H218" s="54" t="s">
        <v>133</v>
      </c>
      <c r="I218" s="123" t="s">
        <v>1571</v>
      </c>
      <c r="J218" s="140">
        <v>35901</v>
      </c>
      <c r="K218" s="123" t="s">
        <v>132</v>
      </c>
      <c r="L218" s="123" t="s">
        <v>123</v>
      </c>
      <c r="M218" s="123" t="s">
        <v>1572</v>
      </c>
      <c r="N218" s="123" t="s">
        <v>1573</v>
      </c>
      <c r="O218" s="106"/>
      <c r="P218" s="54" t="s">
        <v>1574</v>
      </c>
      <c r="Q218" s="123" t="s">
        <v>1575</v>
      </c>
      <c r="R218" s="123" t="s">
        <v>1576</v>
      </c>
      <c r="S218" s="123"/>
      <c r="T218" s="54" t="s">
        <v>1577</v>
      </c>
      <c r="U218" s="54" t="s">
        <v>1578</v>
      </c>
      <c r="V218" s="123"/>
      <c r="W218" s="123"/>
      <c r="X218" s="123"/>
      <c r="Y218" s="123" t="s">
        <v>206</v>
      </c>
      <c r="Z218" s="54"/>
      <c r="AA218" s="54"/>
      <c r="AB218" s="54">
        <v>3</v>
      </c>
      <c r="AC218" s="54" t="s">
        <v>63</v>
      </c>
      <c r="AD218" s="123" t="s">
        <v>1067</v>
      </c>
      <c r="AE218" s="54" t="s">
        <v>1068</v>
      </c>
      <c r="AF218" s="54" t="s">
        <v>65</v>
      </c>
      <c r="AG218" s="140">
        <v>40241</v>
      </c>
      <c r="AH218" s="65">
        <f t="shared" si="23"/>
        <v>3</v>
      </c>
      <c r="AI218" s="65"/>
      <c r="AJ218" s="140">
        <v>40241</v>
      </c>
      <c r="AK218" s="65">
        <f t="shared" si="24"/>
        <v>3</v>
      </c>
      <c r="AL218" s="54" t="s">
        <v>66</v>
      </c>
      <c r="AM218" s="138"/>
      <c r="AN218" s="138"/>
      <c r="AO218" s="140"/>
      <c r="AP218" s="65" t="str">
        <f t="shared" si="25"/>
        <v/>
      </c>
      <c r="AQ218" s="123"/>
      <c r="AR218" s="23"/>
      <c r="AS218" s="54" t="s">
        <v>107</v>
      </c>
      <c r="AT218" s="158"/>
      <c r="AU218" s="70">
        <f t="shared" si="21"/>
        <v>8</v>
      </c>
      <c r="AV218" s="70" t="s">
        <v>68</v>
      </c>
    </row>
    <row r="219" spans="1:48" s="136" customFormat="1" ht="19.5" hidden="1" customHeight="1" x14ac:dyDescent="0.2">
      <c r="A219" s="86">
        <v>20196</v>
      </c>
      <c r="B219" s="3" t="s">
        <v>1579</v>
      </c>
      <c r="C219" s="3" t="s">
        <v>160</v>
      </c>
      <c r="D219" s="86"/>
      <c r="E219" s="36" t="s">
        <v>94</v>
      </c>
      <c r="F219" s="48"/>
      <c r="G219" s="36"/>
      <c r="H219" s="81" t="s">
        <v>0</v>
      </c>
      <c r="I219" s="36"/>
      <c r="J219" s="48"/>
      <c r="K219" s="36"/>
      <c r="L219" s="36" t="s">
        <v>123</v>
      </c>
      <c r="M219" s="36"/>
      <c r="N219" s="36"/>
      <c r="O219" s="101"/>
      <c r="P219" s="81"/>
      <c r="Q219" s="36"/>
      <c r="R219" s="36"/>
      <c r="S219" s="36"/>
      <c r="T219" s="81" t="s">
        <v>0</v>
      </c>
      <c r="U219" s="81" t="s">
        <v>0</v>
      </c>
      <c r="V219" s="36"/>
      <c r="W219" s="36"/>
      <c r="X219" s="36"/>
      <c r="Y219" s="36" t="s">
        <v>326</v>
      </c>
      <c r="Z219" s="81"/>
      <c r="AA219" s="54"/>
      <c r="AB219" s="81"/>
      <c r="AC219" s="81"/>
      <c r="AD219" s="36"/>
      <c r="AE219" s="81"/>
      <c r="AF219" s="81"/>
      <c r="AG219" s="48"/>
      <c r="AH219" s="134" t="str">
        <f t="shared" si="23"/>
        <v/>
      </c>
      <c r="AI219" s="134"/>
      <c r="AJ219" s="48"/>
      <c r="AK219" s="134" t="str">
        <f t="shared" si="24"/>
        <v/>
      </c>
      <c r="AL219" s="94" t="s">
        <v>82</v>
      </c>
      <c r="AM219" s="78"/>
      <c r="AN219" s="78"/>
      <c r="AO219" s="190">
        <v>40330</v>
      </c>
      <c r="AP219" s="136">
        <f t="shared" si="25"/>
        <v>6</v>
      </c>
      <c r="AQ219" s="127"/>
      <c r="AR219" s="23"/>
      <c r="AS219" s="94"/>
      <c r="AT219" s="158"/>
      <c r="AU219" s="70" t="str">
        <f t="shared" si="21"/>
        <v/>
      </c>
      <c r="AV219" s="70" t="s">
        <v>68</v>
      </c>
    </row>
    <row r="220" spans="1:48" s="136" customFormat="1" ht="38.25" hidden="1" x14ac:dyDescent="0.2">
      <c r="A220" s="87">
        <v>20197</v>
      </c>
      <c r="B220" s="80" t="s">
        <v>265</v>
      </c>
      <c r="C220" s="80" t="s">
        <v>1580</v>
      </c>
      <c r="D220" s="87"/>
      <c r="E220" s="123" t="s">
        <v>94</v>
      </c>
      <c r="F220" s="140">
        <v>31476</v>
      </c>
      <c r="G220" s="123" t="s">
        <v>132</v>
      </c>
      <c r="H220" s="54" t="s">
        <v>133</v>
      </c>
      <c r="I220" s="123" t="s">
        <v>1581</v>
      </c>
      <c r="J220" s="140">
        <v>37932</v>
      </c>
      <c r="K220" s="123" t="s">
        <v>132</v>
      </c>
      <c r="L220" s="123" t="s">
        <v>123</v>
      </c>
      <c r="M220" s="123" t="s">
        <v>96</v>
      </c>
      <c r="N220" s="123" t="s">
        <v>1582</v>
      </c>
      <c r="O220" s="106"/>
      <c r="P220" s="54" t="s">
        <v>1583</v>
      </c>
      <c r="Q220" s="123"/>
      <c r="R220" s="123" t="s">
        <v>1584</v>
      </c>
      <c r="S220" s="123"/>
      <c r="T220" s="54" t="s">
        <v>1585</v>
      </c>
      <c r="U220" s="54" t="s">
        <v>1586</v>
      </c>
      <c r="V220" s="123"/>
      <c r="W220" s="123"/>
      <c r="X220" s="123"/>
      <c r="Y220" s="123" t="s">
        <v>360</v>
      </c>
      <c r="Z220" s="54"/>
      <c r="AA220" s="54"/>
      <c r="AB220" s="54" t="s">
        <v>361</v>
      </c>
      <c r="AC220" s="54" t="s">
        <v>362</v>
      </c>
      <c r="AD220" s="123" t="s">
        <v>198</v>
      </c>
      <c r="AE220" s="54" t="s">
        <v>313</v>
      </c>
      <c r="AF220" s="54" t="s">
        <v>65</v>
      </c>
      <c r="AG220" s="140">
        <v>40245</v>
      </c>
      <c r="AH220" s="65">
        <f t="shared" si="23"/>
        <v>3</v>
      </c>
      <c r="AI220" s="65"/>
      <c r="AJ220" s="140">
        <v>40245</v>
      </c>
      <c r="AK220" s="65">
        <f t="shared" si="24"/>
        <v>3</v>
      </c>
      <c r="AL220" s="54" t="s">
        <v>66</v>
      </c>
      <c r="AM220" s="138"/>
      <c r="AN220" s="138"/>
      <c r="AO220" s="140"/>
      <c r="AP220" s="65" t="str">
        <f t="shared" si="25"/>
        <v/>
      </c>
      <c r="AQ220" s="123"/>
      <c r="AR220" s="23"/>
      <c r="AS220" s="54" t="s">
        <v>107</v>
      </c>
      <c r="AT220" s="194"/>
      <c r="AU220" s="70">
        <f t="shared" si="21"/>
        <v>3</v>
      </c>
      <c r="AV220" s="70" t="s">
        <v>68</v>
      </c>
    </row>
    <row r="221" spans="1:48" ht="25.5" hidden="1" x14ac:dyDescent="0.2">
      <c r="A221" s="86">
        <v>20198</v>
      </c>
      <c r="B221" s="3" t="s">
        <v>1587</v>
      </c>
      <c r="C221" s="3" t="s">
        <v>315</v>
      </c>
      <c r="D221" s="86"/>
      <c r="E221" s="36" t="s">
        <v>94</v>
      </c>
      <c r="F221" s="48">
        <v>30923</v>
      </c>
      <c r="G221" s="36" t="s">
        <v>895</v>
      </c>
      <c r="H221" s="81" t="s">
        <v>1588</v>
      </c>
      <c r="I221" s="36" t="s">
        <v>1589</v>
      </c>
      <c r="J221" s="48">
        <v>36520</v>
      </c>
      <c r="K221" s="36" t="s">
        <v>895</v>
      </c>
      <c r="L221" s="36" t="s">
        <v>123</v>
      </c>
      <c r="M221" s="36" t="s">
        <v>1590</v>
      </c>
      <c r="N221" s="36" t="s">
        <v>860</v>
      </c>
      <c r="O221" s="101"/>
      <c r="P221" s="81" t="s">
        <v>1591</v>
      </c>
      <c r="Q221" s="36"/>
      <c r="R221" s="36" t="s">
        <v>1592</v>
      </c>
      <c r="S221" s="36"/>
      <c r="T221" s="81" t="s">
        <v>1593</v>
      </c>
      <c r="U221" s="81" t="s">
        <v>1594</v>
      </c>
      <c r="V221" s="36"/>
      <c r="W221" s="36"/>
      <c r="X221" s="36"/>
      <c r="Y221" s="36" t="s">
        <v>595</v>
      </c>
      <c r="Z221" s="81"/>
      <c r="AA221" s="54"/>
      <c r="AB221" s="81">
        <v>1</v>
      </c>
      <c r="AC221" s="81" t="s">
        <v>236</v>
      </c>
      <c r="AD221" s="36" t="s">
        <v>230</v>
      </c>
      <c r="AE221" s="81"/>
      <c r="AF221" s="81" t="s">
        <v>231</v>
      </c>
      <c r="AG221" s="48"/>
      <c r="AH221" s="134" t="str">
        <f t="shared" si="23"/>
        <v/>
      </c>
      <c r="AI221" s="134"/>
      <c r="AJ221" s="48">
        <v>40260</v>
      </c>
      <c r="AK221" s="134">
        <f t="shared" si="24"/>
        <v>3</v>
      </c>
      <c r="AL221" s="94" t="s">
        <v>82</v>
      </c>
      <c r="AM221" s="78"/>
      <c r="AN221" s="78"/>
      <c r="AO221" s="190">
        <v>40725</v>
      </c>
      <c r="AP221" s="136">
        <f t="shared" si="25"/>
        <v>7</v>
      </c>
      <c r="AQ221" s="127"/>
      <c r="AR221" s="23"/>
      <c r="AS221" s="94"/>
      <c r="AT221" s="136"/>
      <c r="AU221" s="70">
        <f t="shared" si="21"/>
        <v>8</v>
      </c>
      <c r="AV221" s="70" t="s">
        <v>68</v>
      </c>
    </row>
    <row r="222" spans="1:48" s="136" customFormat="1" ht="19.5" hidden="1" customHeight="1" x14ac:dyDescent="0.2">
      <c r="A222" s="87">
        <v>20199</v>
      </c>
      <c r="B222" s="80" t="s">
        <v>1595</v>
      </c>
      <c r="C222" s="80" t="s">
        <v>1012</v>
      </c>
      <c r="D222" s="87"/>
      <c r="E222" s="123" t="s">
        <v>51</v>
      </c>
      <c r="F222" s="140">
        <v>30814</v>
      </c>
      <c r="G222" s="123" t="s">
        <v>954</v>
      </c>
      <c r="H222" s="54" t="s">
        <v>955</v>
      </c>
      <c r="I222" s="123" t="s">
        <v>1596</v>
      </c>
      <c r="J222" s="140">
        <v>37313</v>
      </c>
      <c r="K222" s="123" t="s">
        <v>954</v>
      </c>
      <c r="L222" s="123" t="s">
        <v>123</v>
      </c>
      <c r="M222" s="123" t="s">
        <v>738</v>
      </c>
      <c r="N222" s="123" t="s">
        <v>1597</v>
      </c>
      <c r="O222" s="106"/>
      <c r="P222" s="54" t="s">
        <v>1598</v>
      </c>
      <c r="Q222" s="123"/>
      <c r="R222" s="123" t="s">
        <v>1599</v>
      </c>
      <c r="S222" s="123"/>
      <c r="T222" s="54" t="s">
        <v>962</v>
      </c>
      <c r="U222" s="54" t="s">
        <v>1600</v>
      </c>
      <c r="V222" s="123"/>
      <c r="W222" s="123"/>
      <c r="X222" s="123"/>
      <c r="Y222" s="123" t="s">
        <v>360</v>
      </c>
      <c r="Z222" s="54"/>
      <c r="AA222" s="54"/>
      <c r="AB222" s="54" t="s">
        <v>361</v>
      </c>
      <c r="AC222" s="54" t="s">
        <v>362</v>
      </c>
      <c r="AD222" s="123" t="s">
        <v>375</v>
      </c>
      <c r="AE222" s="54" t="s">
        <v>376</v>
      </c>
      <c r="AF222" s="54" t="s">
        <v>65</v>
      </c>
      <c r="AG222" s="140">
        <v>40261</v>
      </c>
      <c r="AH222" s="65">
        <f t="shared" si="23"/>
        <v>3</v>
      </c>
      <c r="AI222" s="65"/>
      <c r="AJ222" s="140">
        <v>40261</v>
      </c>
      <c r="AK222" s="65">
        <f t="shared" si="24"/>
        <v>3</v>
      </c>
      <c r="AL222" s="54" t="s">
        <v>66</v>
      </c>
      <c r="AM222" s="138"/>
      <c r="AN222" s="138"/>
      <c r="AO222" s="140"/>
      <c r="AP222" s="65" t="str">
        <f t="shared" si="25"/>
        <v/>
      </c>
      <c r="AQ222" s="123"/>
      <c r="AR222" s="23"/>
      <c r="AS222" s="54" t="s">
        <v>107</v>
      </c>
      <c r="AT222" s="184"/>
      <c r="AU222" s="70">
        <f t="shared" si="21"/>
        <v>5</v>
      </c>
      <c r="AV222" s="70" t="s">
        <v>68</v>
      </c>
    </row>
    <row r="223" spans="1:48" s="136" customFormat="1" ht="19.5" customHeight="1" x14ac:dyDescent="0.2">
      <c r="A223" s="87">
        <v>20200</v>
      </c>
      <c r="B223" s="80" t="s">
        <v>1601</v>
      </c>
      <c r="C223" s="80" t="s">
        <v>209</v>
      </c>
      <c r="D223" s="87"/>
      <c r="E223" s="123" t="s">
        <v>94</v>
      </c>
      <c r="F223" s="140">
        <v>30607</v>
      </c>
      <c r="G223" s="123" t="s">
        <v>272</v>
      </c>
      <c r="H223" s="54" t="s">
        <v>273</v>
      </c>
      <c r="I223" s="123" t="s">
        <v>1602</v>
      </c>
      <c r="J223" s="140">
        <v>35884</v>
      </c>
      <c r="K223" s="123" t="s">
        <v>272</v>
      </c>
      <c r="L223" s="123" t="s">
        <v>86</v>
      </c>
      <c r="M223" s="123" t="s">
        <v>578</v>
      </c>
      <c r="N223" s="123" t="s">
        <v>544</v>
      </c>
      <c r="O223" s="106"/>
      <c r="P223" s="54" t="s">
        <v>1603</v>
      </c>
      <c r="Q223" s="123"/>
      <c r="R223" s="123" t="s">
        <v>1604</v>
      </c>
      <c r="S223" s="123"/>
      <c r="T223" s="54" t="s">
        <v>1605</v>
      </c>
      <c r="U223" s="54" t="s">
        <v>0</v>
      </c>
      <c r="V223" s="123"/>
      <c r="W223" s="123"/>
      <c r="X223" s="123"/>
      <c r="Y223" s="123" t="s">
        <v>972</v>
      </c>
      <c r="Z223" s="54"/>
      <c r="AA223" s="54"/>
      <c r="AB223" s="54" t="s">
        <v>285</v>
      </c>
      <c r="AC223" s="54" t="s">
        <v>236</v>
      </c>
      <c r="AD223" s="123" t="s">
        <v>404</v>
      </c>
      <c r="AE223" s="54" t="s">
        <v>700</v>
      </c>
      <c r="AF223" s="54" t="s">
        <v>65</v>
      </c>
      <c r="AG223" s="140">
        <v>40269</v>
      </c>
      <c r="AH223" s="65">
        <f t="shared" si="23"/>
        <v>4</v>
      </c>
      <c r="AI223" s="65"/>
      <c r="AJ223" s="140">
        <v>40269</v>
      </c>
      <c r="AK223" s="65">
        <f t="shared" si="24"/>
        <v>4</v>
      </c>
      <c r="AL223" s="54" t="s">
        <v>105</v>
      </c>
      <c r="AM223" s="138">
        <v>41214</v>
      </c>
      <c r="AN223" s="138"/>
      <c r="AO223" s="140"/>
      <c r="AP223" s="65" t="str">
        <f t="shared" si="25"/>
        <v/>
      </c>
      <c r="AQ223" s="123"/>
      <c r="AR223" s="23"/>
      <c r="AS223" s="54" t="s">
        <v>347</v>
      </c>
      <c r="AT223" s="194"/>
      <c r="AU223" s="70">
        <f t="shared" si="21"/>
        <v>10</v>
      </c>
      <c r="AV223" s="70" t="s">
        <v>68</v>
      </c>
    </row>
    <row r="224" spans="1:48" ht="25.5" x14ac:dyDescent="0.2">
      <c r="A224" s="87">
        <v>20201</v>
      </c>
      <c r="B224" s="80" t="s">
        <v>801</v>
      </c>
      <c r="C224" s="80" t="s">
        <v>70</v>
      </c>
      <c r="D224" s="87"/>
      <c r="E224" s="123" t="s">
        <v>94</v>
      </c>
      <c r="F224" s="140">
        <v>30474</v>
      </c>
      <c r="G224" s="123" t="s">
        <v>303</v>
      </c>
      <c r="H224" s="54" t="s">
        <v>304</v>
      </c>
      <c r="I224" s="123" t="s">
        <v>1606</v>
      </c>
      <c r="J224" s="140">
        <v>36102</v>
      </c>
      <c r="K224" s="123" t="s">
        <v>303</v>
      </c>
      <c r="L224" s="123" t="s">
        <v>123</v>
      </c>
      <c r="M224" s="123" t="s">
        <v>543</v>
      </c>
      <c r="N224" s="123" t="s">
        <v>544</v>
      </c>
      <c r="O224" s="106"/>
      <c r="P224" s="54" t="s">
        <v>1607</v>
      </c>
      <c r="Q224" s="123" t="s">
        <v>1608</v>
      </c>
      <c r="R224" s="123" t="s">
        <v>1609</v>
      </c>
      <c r="S224" s="123"/>
      <c r="T224" s="54" t="s">
        <v>1610</v>
      </c>
      <c r="U224" s="54" t="s">
        <v>1611</v>
      </c>
      <c r="V224" s="123"/>
      <c r="W224" s="123"/>
      <c r="X224" s="123"/>
      <c r="Y224" s="123" t="s">
        <v>1182</v>
      </c>
      <c r="Z224" s="54"/>
      <c r="AA224" s="54"/>
      <c r="AB224" s="54" t="s">
        <v>361</v>
      </c>
      <c r="AC224" s="54" t="s">
        <v>362</v>
      </c>
      <c r="AD224" s="123" t="s">
        <v>404</v>
      </c>
      <c r="AE224" s="54" t="s">
        <v>1612</v>
      </c>
      <c r="AF224" s="54" t="s">
        <v>65</v>
      </c>
      <c r="AG224" s="140">
        <v>40269</v>
      </c>
      <c r="AH224" s="65">
        <f t="shared" si="23"/>
        <v>4</v>
      </c>
      <c r="AI224" s="65"/>
      <c r="AJ224" s="140">
        <v>40329</v>
      </c>
      <c r="AK224" s="65">
        <f t="shared" si="24"/>
        <v>5</v>
      </c>
      <c r="AL224" s="54" t="s">
        <v>66</v>
      </c>
      <c r="AM224" s="138"/>
      <c r="AN224" s="138"/>
      <c r="AO224" s="140"/>
      <c r="AP224" s="65" t="str">
        <f t="shared" si="25"/>
        <v/>
      </c>
      <c r="AQ224" s="123"/>
      <c r="AR224" s="23"/>
      <c r="AS224" s="54" t="s">
        <v>347</v>
      </c>
      <c r="AT224" s="136"/>
      <c r="AU224" s="70">
        <f t="shared" si="21"/>
        <v>6</v>
      </c>
      <c r="AV224" s="70" t="s">
        <v>68</v>
      </c>
    </row>
    <row r="225" spans="1:48" s="136" customFormat="1" ht="19.5" hidden="1" customHeight="1" x14ac:dyDescent="0.2">
      <c r="A225" s="86">
        <v>20202</v>
      </c>
      <c r="B225" s="3" t="s">
        <v>169</v>
      </c>
      <c r="C225" s="3" t="s">
        <v>1613</v>
      </c>
      <c r="D225" s="86"/>
      <c r="E225" s="36" t="s">
        <v>51</v>
      </c>
      <c r="F225" s="48">
        <v>31149</v>
      </c>
      <c r="G225" s="36"/>
      <c r="H225" s="81" t="s">
        <v>1614</v>
      </c>
      <c r="I225" s="36" t="s">
        <v>1615</v>
      </c>
      <c r="J225" s="48" t="s">
        <v>6353</v>
      </c>
      <c r="K225" s="36" t="s">
        <v>1195</v>
      </c>
      <c r="L225" s="36" t="s">
        <v>318</v>
      </c>
      <c r="M225" s="36" t="s">
        <v>1616</v>
      </c>
      <c r="N225" s="36" t="s">
        <v>320</v>
      </c>
      <c r="O225" s="101"/>
      <c r="P225" s="159" t="s">
        <v>1617</v>
      </c>
      <c r="Q225" s="36"/>
      <c r="R225" s="36" t="s">
        <v>1618</v>
      </c>
      <c r="S225" s="36"/>
      <c r="T225" s="81"/>
      <c r="U225" s="81" t="s">
        <v>1619</v>
      </c>
      <c r="V225" s="36"/>
      <c r="W225" s="36"/>
      <c r="X225" s="36"/>
      <c r="Y225" s="36" t="s">
        <v>294</v>
      </c>
      <c r="Z225" s="81"/>
      <c r="AA225" s="54"/>
      <c r="AB225" s="81" t="s">
        <v>285</v>
      </c>
      <c r="AC225" s="81" t="s">
        <v>236</v>
      </c>
      <c r="AD225" s="36"/>
      <c r="AE225" s="81"/>
      <c r="AF225" s="81" t="s">
        <v>231</v>
      </c>
      <c r="AG225" s="48"/>
      <c r="AH225" s="134" t="str">
        <f t="shared" si="23"/>
        <v/>
      </c>
      <c r="AI225" s="134"/>
      <c r="AJ225" s="48">
        <v>40303</v>
      </c>
      <c r="AK225" s="134">
        <f t="shared" si="24"/>
        <v>5</v>
      </c>
      <c r="AL225" s="54" t="s">
        <v>82</v>
      </c>
      <c r="AM225" s="54"/>
      <c r="AN225" s="54"/>
      <c r="AO225" s="190">
        <v>40610</v>
      </c>
      <c r="AP225" s="136">
        <f t="shared" si="25"/>
        <v>3</v>
      </c>
      <c r="AQ225" s="123"/>
      <c r="AR225" s="23"/>
      <c r="AS225" s="54"/>
      <c r="AT225" s="65"/>
      <c r="AU225" s="70">
        <f t="shared" si="21"/>
        <v>4</v>
      </c>
      <c r="AV225" s="70" t="s">
        <v>68</v>
      </c>
    </row>
    <row r="226" spans="1:48" s="136" customFormat="1" ht="19.5" hidden="1" customHeight="1" x14ac:dyDescent="0.2">
      <c r="A226" s="86">
        <v>20203</v>
      </c>
      <c r="B226" s="3" t="s">
        <v>1037</v>
      </c>
      <c r="C226" s="3" t="s">
        <v>131</v>
      </c>
      <c r="D226" s="86"/>
      <c r="E226" s="36" t="s">
        <v>94</v>
      </c>
      <c r="F226" s="48">
        <v>30903</v>
      </c>
      <c r="G226" s="36" t="s">
        <v>52</v>
      </c>
      <c r="H226" s="81" t="s">
        <v>53</v>
      </c>
      <c r="I226" s="36" t="s">
        <v>1620</v>
      </c>
      <c r="J226" s="48">
        <v>39272</v>
      </c>
      <c r="K226" s="36" t="s">
        <v>1195</v>
      </c>
      <c r="L226" s="36" t="s">
        <v>341</v>
      </c>
      <c r="M226" s="36" t="s">
        <v>1621</v>
      </c>
      <c r="N226" s="36" t="s">
        <v>1622</v>
      </c>
      <c r="O226" s="101"/>
      <c r="P226" s="81" t="s">
        <v>1623</v>
      </c>
      <c r="Q226" s="36"/>
      <c r="R226" s="36" t="s">
        <v>1624</v>
      </c>
      <c r="S226" s="36"/>
      <c r="T226" s="81" t="s">
        <v>1625</v>
      </c>
      <c r="U226" s="81" t="s">
        <v>1626</v>
      </c>
      <c r="V226" s="36"/>
      <c r="W226" s="36"/>
      <c r="X226" s="36"/>
      <c r="Y226" s="36" t="s">
        <v>972</v>
      </c>
      <c r="Z226" s="81"/>
      <c r="AA226" s="54"/>
      <c r="AB226" s="81" t="s">
        <v>285</v>
      </c>
      <c r="AC226" s="81" t="s">
        <v>236</v>
      </c>
      <c r="AD226" s="36" t="s">
        <v>1183</v>
      </c>
      <c r="AE226" s="81" t="s">
        <v>1184</v>
      </c>
      <c r="AF226" s="81" t="s">
        <v>231</v>
      </c>
      <c r="AG226" s="48">
        <v>40273</v>
      </c>
      <c r="AH226" s="134">
        <f t="shared" si="23"/>
        <v>4</v>
      </c>
      <c r="AI226" s="134"/>
      <c r="AJ226" s="48">
        <v>40303</v>
      </c>
      <c r="AK226" s="134">
        <f t="shared" si="24"/>
        <v>5</v>
      </c>
      <c r="AL226" s="54" t="s">
        <v>82</v>
      </c>
      <c r="AM226" s="138"/>
      <c r="AN226" s="138"/>
      <c r="AO226" s="140">
        <v>41496</v>
      </c>
      <c r="AP226" s="65">
        <f t="shared" si="25"/>
        <v>8</v>
      </c>
      <c r="AQ226" s="123"/>
      <c r="AR226" s="23"/>
      <c r="AS226" s="54" t="s">
        <v>347</v>
      </c>
      <c r="AT226" s="23"/>
      <c r="AU226" s="70">
        <f t="shared" si="21"/>
        <v>8</v>
      </c>
      <c r="AV226" s="70" t="s">
        <v>68</v>
      </c>
    </row>
    <row r="227" spans="1:48" s="136" customFormat="1" ht="19.5" hidden="1" customHeight="1" x14ac:dyDescent="0.2">
      <c r="A227" s="86">
        <v>20204</v>
      </c>
      <c r="B227" s="3" t="s">
        <v>1627</v>
      </c>
      <c r="C227" s="3" t="s">
        <v>1628</v>
      </c>
      <c r="D227" s="86"/>
      <c r="E227" s="36" t="s">
        <v>51</v>
      </c>
      <c r="F227" s="48">
        <v>31155</v>
      </c>
      <c r="G227" s="36"/>
      <c r="H227" s="81" t="s">
        <v>551</v>
      </c>
      <c r="I227" s="36" t="s">
        <v>1629</v>
      </c>
      <c r="J227" s="48">
        <v>36583</v>
      </c>
      <c r="K227" s="36" t="s">
        <v>551</v>
      </c>
      <c r="L227" s="36" t="s">
        <v>318</v>
      </c>
      <c r="M227" s="36" t="s">
        <v>1630</v>
      </c>
      <c r="N227" s="36" t="s">
        <v>320</v>
      </c>
      <c r="O227" s="101"/>
      <c r="P227" s="159" t="s">
        <v>1631</v>
      </c>
      <c r="Q227" s="36"/>
      <c r="R227" s="36" t="s">
        <v>1632</v>
      </c>
      <c r="S227" s="36"/>
      <c r="T227" s="81"/>
      <c r="U227" s="81" t="s">
        <v>1633</v>
      </c>
      <c r="V227" s="36"/>
      <c r="W227" s="36"/>
      <c r="X227" s="36"/>
      <c r="Y227" s="36" t="s">
        <v>294</v>
      </c>
      <c r="Z227" s="81"/>
      <c r="AA227" s="54"/>
      <c r="AB227" s="81" t="s">
        <v>285</v>
      </c>
      <c r="AC227" s="81" t="s">
        <v>236</v>
      </c>
      <c r="AD227" s="36"/>
      <c r="AE227" s="81"/>
      <c r="AF227" s="81" t="s">
        <v>65</v>
      </c>
      <c r="AG227" s="48"/>
      <c r="AH227" s="134" t="str">
        <f t="shared" si="23"/>
        <v/>
      </c>
      <c r="AI227" s="134"/>
      <c r="AJ227" s="48">
        <v>40311</v>
      </c>
      <c r="AK227" s="134">
        <f t="shared" si="24"/>
        <v>5</v>
      </c>
      <c r="AL227" s="54" t="s">
        <v>82</v>
      </c>
      <c r="AM227" s="54"/>
      <c r="AN227" s="54"/>
      <c r="AO227" s="190"/>
      <c r="AQ227" s="123"/>
      <c r="AR227" s="23"/>
      <c r="AS227" s="54"/>
      <c r="AT227" s="65"/>
      <c r="AU227" s="70">
        <f t="shared" ref="AU227:AU290" si="26">IF((F227=""),"",MONTH(F227))</f>
        <v>4</v>
      </c>
      <c r="AV227" s="70" t="s">
        <v>68</v>
      </c>
    </row>
    <row r="228" spans="1:48" s="136" customFormat="1" ht="25.5" hidden="1" x14ac:dyDescent="0.2">
      <c r="A228" s="87">
        <v>20205</v>
      </c>
      <c r="B228" s="80" t="s">
        <v>1634</v>
      </c>
      <c r="C228" s="80" t="s">
        <v>191</v>
      </c>
      <c r="D228" s="87"/>
      <c r="E228" s="123" t="s">
        <v>94</v>
      </c>
      <c r="F228" s="140">
        <v>32208</v>
      </c>
      <c r="G228" s="123" t="s">
        <v>551</v>
      </c>
      <c r="H228" s="54" t="s">
        <v>552</v>
      </c>
      <c r="I228" s="123" t="s">
        <v>1635</v>
      </c>
      <c r="J228" s="140">
        <v>39669</v>
      </c>
      <c r="K228" s="123" t="s">
        <v>551</v>
      </c>
      <c r="L228" s="123" t="s">
        <v>123</v>
      </c>
      <c r="M228" s="123" t="s">
        <v>217</v>
      </c>
      <c r="N228" s="123" t="s">
        <v>1636</v>
      </c>
      <c r="O228" s="106"/>
      <c r="P228" s="54" t="s">
        <v>1637</v>
      </c>
      <c r="Q228" s="123" t="s">
        <v>1638</v>
      </c>
      <c r="R228" s="123" t="s">
        <v>1639</v>
      </c>
      <c r="S228" s="123"/>
      <c r="T228" s="54" t="s">
        <v>1640</v>
      </c>
      <c r="U228" s="54" t="s">
        <v>1641</v>
      </c>
      <c r="V228" s="123"/>
      <c r="W228" s="123"/>
      <c r="X228" s="123"/>
      <c r="Y228" s="123" t="s">
        <v>206</v>
      </c>
      <c r="Z228" s="54"/>
      <c r="AA228" s="54"/>
      <c r="AB228" s="54" t="s">
        <v>361</v>
      </c>
      <c r="AC228" s="54" t="s">
        <v>362</v>
      </c>
      <c r="AD228" s="123" t="s">
        <v>207</v>
      </c>
      <c r="AE228" s="54" t="s">
        <v>1174</v>
      </c>
      <c r="AF228" s="54" t="s">
        <v>65</v>
      </c>
      <c r="AG228" s="140">
        <v>40284</v>
      </c>
      <c r="AH228" s="65">
        <f t="shared" si="23"/>
        <v>4</v>
      </c>
      <c r="AI228" s="65"/>
      <c r="AJ228" s="140">
        <v>40375</v>
      </c>
      <c r="AK228" s="65">
        <f t="shared" si="24"/>
        <v>7</v>
      </c>
      <c r="AL228" s="54" t="s">
        <v>66</v>
      </c>
      <c r="AM228" s="138"/>
      <c r="AN228" s="138"/>
      <c r="AO228" s="140"/>
      <c r="AP228" s="136" t="str">
        <f t="shared" ref="AP228:AP235" si="27">IF((AO228=""),"",MONTH(AO228))</f>
        <v/>
      </c>
      <c r="AQ228" s="123"/>
      <c r="AR228" s="23"/>
      <c r="AS228" s="54" t="s">
        <v>107</v>
      </c>
      <c r="AT228" s="184"/>
      <c r="AU228" s="70">
        <f t="shared" si="26"/>
        <v>3</v>
      </c>
      <c r="AV228" s="70" t="s">
        <v>68</v>
      </c>
    </row>
    <row r="229" spans="1:48" s="136" customFormat="1" ht="19.5" hidden="1" customHeight="1" x14ac:dyDescent="0.2">
      <c r="A229" s="87">
        <v>20206</v>
      </c>
      <c r="B229" s="80" t="s">
        <v>1642</v>
      </c>
      <c r="C229" s="80" t="s">
        <v>667</v>
      </c>
      <c r="D229" s="87"/>
      <c r="E229" s="123" t="s">
        <v>94</v>
      </c>
      <c r="F229" s="140">
        <v>29883</v>
      </c>
      <c r="G229" s="123" t="s">
        <v>171</v>
      </c>
      <c r="H229" s="54" t="s">
        <v>350</v>
      </c>
      <c r="I229" s="123" t="s">
        <v>1643</v>
      </c>
      <c r="J229" s="140">
        <v>35907</v>
      </c>
      <c r="K229" s="123" t="s">
        <v>171</v>
      </c>
      <c r="L229" s="123" t="s">
        <v>123</v>
      </c>
      <c r="M229" s="123" t="s">
        <v>96</v>
      </c>
      <c r="N229" s="123" t="s">
        <v>1582</v>
      </c>
      <c r="O229" s="106"/>
      <c r="P229" s="54" t="s">
        <v>1644</v>
      </c>
      <c r="Q229" s="123" t="s">
        <v>1645</v>
      </c>
      <c r="R229" s="123" t="s">
        <v>1646</v>
      </c>
      <c r="S229" s="123"/>
      <c r="T229" s="54" t="s">
        <v>1647</v>
      </c>
      <c r="U229" s="54" t="s">
        <v>1648</v>
      </c>
      <c r="V229" s="123"/>
      <c r="W229" s="123"/>
      <c r="X229" s="123"/>
      <c r="Y229" s="123" t="s">
        <v>1649</v>
      </c>
      <c r="Z229" s="54"/>
      <c r="AA229" s="54"/>
      <c r="AB229" s="54">
        <v>2</v>
      </c>
      <c r="AC229" s="54" t="s">
        <v>362</v>
      </c>
      <c r="AD229" s="123" t="s">
        <v>512</v>
      </c>
      <c r="AE229" s="54" t="s">
        <v>1650</v>
      </c>
      <c r="AF229" s="54" t="s">
        <v>65</v>
      </c>
      <c r="AG229" s="140">
        <v>40287</v>
      </c>
      <c r="AH229" s="65">
        <f t="shared" si="23"/>
        <v>4</v>
      </c>
      <c r="AI229" s="65"/>
      <c r="AJ229" s="140">
        <v>40348</v>
      </c>
      <c r="AK229" s="65">
        <f t="shared" si="24"/>
        <v>6</v>
      </c>
      <c r="AL229" s="54" t="s">
        <v>66</v>
      </c>
      <c r="AM229" s="138"/>
      <c r="AN229" s="138"/>
      <c r="AO229" s="140"/>
      <c r="AP229" s="65" t="str">
        <f t="shared" si="27"/>
        <v/>
      </c>
      <c r="AQ229" s="123"/>
      <c r="AR229" s="23"/>
      <c r="AS229" s="54" t="s">
        <v>107</v>
      </c>
      <c r="AT229" s="158"/>
      <c r="AU229" s="70">
        <f t="shared" si="26"/>
        <v>10</v>
      </c>
      <c r="AV229" s="70" t="s">
        <v>68</v>
      </c>
    </row>
    <row r="230" spans="1:48" ht="25.5" hidden="1" x14ac:dyDescent="0.2">
      <c r="A230" s="86">
        <v>20207</v>
      </c>
      <c r="B230" s="3" t="s">
        <v>1651</v>
      </c>
      <c r="C230" s="3" t="s">
        <v>209</v>
      </c>
      <c r="D230" s="86"/>
      <c r="E230" s="36" t="s">
        <v>94</v>
      </c>
      <c r="F230" s="48">
        <v>31402</v>
      </c>
      <c r="G230" s="36"/>
      <c r="H230" s="81" t="s">
        <v>884</v>
      </c>
      <c r="I230" s="36" t="s">
        <v>1652</v>
      </c>
      <c r="J230" s="48">
        <v>36514</v>
      </c>
      <c r="K230" s="36" t="s">
        <v>1653</v>
      </c>
      <c r="L230" s="36" t="s">
        <v>318</v>
      </c>
      <c r="M230" s="36" t="s">
        <v>1654</v>
      </c>
      <c r="N230" s="36" t="s">
        <v>320</v>
      </c>
      <c r="O230" s="101"/>
      <c r="P230" s="159">
        <v>0</v>
      </c>
      <c r="Q230" s="36"/>
      <c r="R230" s="36" t="s">
        <v>1655</v>
      </c>
      <c r="S230" s="36"/>
      <c r="T230" s="81"/>
      <c r="U230" s="81" t="s">
        <v>1656</v>
      </c>
      <c r="V230" s="36"/>
      <c r="W230" s="36"/>
      <c r="X230" s="36"/>
      <c r="Y230" s="36"/>
      <c r="Z230" s="81"/>
      <c r="AA230" s="54"/>
      <c r="AB230" s="81" t="s">
        <v>285</v>
      </c>
      <c r="AC230" s="81" t="s">
        <v>236</v>
      </c>
      <c r="AD230" s="36"/>
      <c r="AE230" s="81"/>
      <c r="AF230" s="81" t="s">
        <v>231</v>
      </c>
      <c r="AG230" s="48"/>
      <c r="AH230" s="134" t="str">
        <f t="shared" si="23"/>
        <v/>
      </c>
      <c r="AI230" s="134"/>
      <c r="AJ230" s="48"/>
      <c r="AK230" s="134" t="str">
        <f t="shared" si="24"/>
        <v/>
      </c>
      <c r="AL230" s="54" t="s">
        <v>82</v>
      </c>
      <c r="AM230" s="54"/>
      <c r="AN230" s="54"/>
      <c r="AO230" s="190"/>
      <c r="AP230" s="136" t="str">
        <f t="shared" si="27"/>
        <v/>
      </c>
      <c r="AQ230" s="123"/>
      <c r="AR230" s="23"/>
      <c r="AS230" s="54"/>
      <c r="AT230" s="158"/>
      <c r="AU230" s="70">
        <f t="shared" si="26"/>
        <v>12</v>
      </c>
      <c r="AV230" s="70" t="s">
        <v>68</v>
      </c>
    </row>
    <row r="231" spans="1:48" s="136" customFormat="1" ht="25.5" hidden="1" x14ac:dyDescent="0.2">
      <c r="A231" s="86">
        <v>20208</v>
      </c>
      <c r="B231" s="3" t="s">
        <v>1657</v>
      </c>
      <c r="C231" s="3" t="s">
        <v>1658</v>
      </c>
      <c r="D231" s="86"/>
      <c r="E231" s="36" t="s">
        <v>94</v>
      </c>
      <c r="F231" s="48">
        <v>31574</v>
      </c>
      <c r="G231" s="36" t="s">
        <v>161</v>
      </c>
      <c r="H231" s="81" t="s">
        <v>162</v>
      </c>
      <c r="I231" s="36" t="s">
        <v>1659</v>
      </c>
      <c r="J231" s="48">
        <v>37496</v>
      </c>
      <c r="K231" s="36" t="s">
        <v>161</v>
      </c>
      <c r="L231" s="36" t="s">
        <v>341</v>
      </c>
      <c r="M231" s="36" t="s">
        <v>498</v>
      </c>
      <c r="N231" s="36" t="s">
        <v>499</v>
      </c>
      <c r="O231" s="101"/>
      <c r="P231" s="81" t="s">
        <v>1660</v>
      </c>
      <c r="Q231" s="36"/>
      <c r="R231" s="36" t="s">
        <v>1661</v>
      </c>
      <c r="S231" s="36"/>
      <c r="T231" s="81" t="s">
        <v>1662</v>
      </c>
      <c r="U231" s="81" t="s">
        <v>1662</v>
      </c>
      <c r="V231" s="36"/>
      <c r="W231" s="36"/>
      <c r="X231" s="36"/>
      <c r="Y231" s="36" t="s">
        <v>616</v>
      </c>
      <c r="Z231" s="81"/>
      <c r="AA231" s="54"/>
      <c r="AB231" s="81" t="s">
        <v>285</v>
      </c>
      <c r="AC231" s="81" t="s">
        <v>236</v>
      </c>
      <c r="AD231" s="36" t="s">
        <v>207</v>
      </c>
      <c r="AE231" s="81"/>
      <c r="AF231" s="81" t="s">
        <v>65</v>
      </c>
      <c r="AG231" s="48"/>
      <c r="AH231" s="134" t="str">
        <f t="shared" si="23"/>
        <v/>
      </c>
      <c r="AI231" s="134"/>
      <c r="AJ231" s="48">
        <v>40179</v>
      </c>
      <c r="AK231" s="134">
        <f t="shared" si="24"/>
        <v>1</v>
      </c>
      <c r="AL231" s="94" t="s">
        <v>82</v>
      </c>
      <c r="AM231" s="78"/>
      <c r="AN231" s="78"/>
      <c r="AO231" s="190">
        <v>40634</v>
      </c>
      <c r="AP231" s="136">
        <f t="shared" si="27"/>
        <v>4</v>
      </c>
      <c r="AQ231" s="127"/>
      <c r="AR231" s="23"/>
      <c r="AS231" s="94"/>
      <c r="AT231" s="158"/>
      <c r="AU231" s="70">
        <f t="shared" si="26"/>
        <v>6</v>
      </c>
      <c r="AV231" s="70" t="s">
        <v>68</v>
      </c>
    </row>
    <row r="232" spans="1:48" s="136" customFormat="1" ht="19.5" hidden="1" customHeight="1" x14ac:dyDescent="0.2">
      <c r="A232" s="86">
        <v>20209</v>
      </c>
      <c r="B232" s="3" t="s">
        <v>1663</v>
      </c>
      <c r="C232" s="3" t="s">
        <v>250</v>
      </c>
      <c r="D232" s="86"/>
      <c r="E232" s="36" t="s">
        <v>94</v>
      </c>
      <c r="F232" s="48">
        <v>30267</v>
      </c>
      <c r="G232" s="36" t="s">
        <v>161</v>
      </c>
      <c r="H232" s="81" t="s">
        <v>162</v>
      </c>
      <c r="I232" s="36" t="s">
        <v>1664</v>
      </c>
      <c r="J232" s="48">
        <v>35565</v>
      </c>
      <c r="K232" s="36" t="s">
        <v>161</v>
      </c>
      <c r="L232" s="36" t="s">
        <v>123</v>
      </c>
      <c r="M232" s="36" t="s">
        <v>1665</v>
      </c>
      <c r="N232" s="36" t="s">
        <v>458</v>
      </c>
      <c r="O232" s="101"/>
      <c r="P232" s="81" t="s">
        <v>1666</v>
      </c>
      <c r="Q232" s="36" t="s">
        <v>1667</v>
      </c>
      <c r="R232" s="36" t="s">
        <v>1668</v>
      </c>
      <c r="S232" s="36"/>
      <c r="T232" s="81" t="s">
        <v>1669</v>
      </c>
      <c r="U232" s="81" t="s">
        <v>1669</v>
      </c>
      <c r="V232" s="36"/>
      <c r="W232" s="36"/>
      <c r="X232" s="36"/>
      <c r="Y232" s="36" t="s">
        <v>616</v>
      </c>
      <c r="Z232" s="81"/>
      <c r="AA232" s="54"/>
      <c r="AB232" s="81" t="s">
        <v>285</v>
      </c>
      <c r="AC232" s="81" t="s">
        <v>236</v>
      </c>
      <c r="AD232" s="36" t="s">
        <v>207</v>
      </c>
      <c r="AE232" s="81"/>
      <c r="AF232" s="81" t="s">
        <v>65</v>
      </c>
      <c r="AG232" s="48"/>
      <c r="AH232" s="134" t="str">
        <f t="shared" si="23"/>
        <v/>
      </c>
      <c r="AI232" s="134"/>
      <c r="AJ232" s="48">
        <v>40179</v>
      </c>
      <c r="AK232" s="134">
        <f t="shared" si="24"/>
        <v>1</v>
      </c>
      <c r="AL232" s="94" t="s">
        <v>82</v>
      </c>
      <c r="AM232" s="78"/>
      <c r="AN232" s="78"/>
      <c r="AO232" s="190">
        <v>40634</v>
      </c>
      <c r="AP232" s="136">
        <f t="shared" si="27"/>
        <v>4</v>
      </c>
      <c r="AQ232" s="127"/>
      <c r="AR232" s="23"/>
      <c r="AS232" s="94"/>
      <c r="AT232" s="158"/>
      <c r="AU232" s="70">
        <f t="shared" si="26"/>
        <v>11</v>
      </c>
      <c r="AV232" s="70" t="s">
        <v>68</v>
      </c>
    </row>
    <row r="233" spans="1:48" s="136" customFormat="1" ht="38.25" hidden="1" x14ac:dyDescent="0.2">
      <c r="A233" s="87">
        <v>20210</v>
      </c>
      <c r="B233" s="80" t="s">
        <v>1670</v>
      </c>
      <c r="C233" s="80" t="s">
        <v>638</v>
      </c>
      <c r="D233" s="87"/>
      <c r="E233" s="123" t="s">
        <v>51</v>
      </c>
      <c r="F233" s="140">
        <v>31162</v>
      </c>
      <c r="G233" s="123" t="s">
        <v>52</v>
      </c>
      <c r="H233" s="54" t="s">
        <v>53</v>
      </c>
      <c r="I233" s="123" t="s">
        <v>1671</v>
      </c>
      <c r="J233" s="140">
        <v>36677</v>
      </c>
      <c r="K233" s="123" t="s">
        <v>52</v>
      </c>
      <c r="L233" s="123" t="s">
        <v>123</v>
      </c>
      <c r="M233" s="123" t="s">
        <v>1672</v>
      </c>
      <c r="N233" s="123"/>
      <c r="O233" s="106"/>
      <c r="P233" s="54" t="s">
        <v>1673</v>
      </c>
      <c r="Q233" s="123"/>
      <c r="R233" s="123" t="s">
        <v>1674</v>
      </c>
      <c r="S233" s="123"/>
      <c r="T233" s="54" t="s">
        <v>1675</v>
      </c>
      <c r="U233" s="54" t="s">
        <v>1675</v>
      </c>
      <c r="V233" s="123"/>
      <c r="W233" s="123"/>
      <c r="X233" s="123"/>
      <c r="Y233" s="123" t="s">
        <v>206</v>
      </c>
      <c r="Z233" s="54"/>
      <c r="AA233" s="54"/>
      <c r="AB233" s="54">
        <v>3</v>
      </c>
      <c r="AC233" s="54" t="s">
        <v>63</v>
      </c>
      <c r="AD233" s="123" t="s">
        <v>158</v>
      </c>
      <c r="AE233" s="54"/>
      <c r="AF233" s="54" t="s">
        <v>65</v>
      </c>
      <c r="AG233" s="140">
        <v>40283</v>
      </c>
      <c r="AH233" s="65">
        <f t="shared" si="23"/>
        <v>4</v>
      </c>
      <c r="AI233" s="65"/>
      <c r="AJ233" s="140">
        <v>40313</v>
      </c>
      <c r="AK233" s="65">
        <f t="shared" si="24"/>
        <v>5</v>
      </c>
      <c r="AL233" s="54" t="s">
        <v>66</v>
      </c>
      <c r="AM233" s="138"/>
      <c r="AN233" s="138"/>
      <c r="AO233" s="140"/>
      <c r="AP233" s="65" t="str">
        <f t="shared" si="27"/>
        <v/>
      </c>
      <c r="AQ233" s="123"/>
      <c r="AR233" s="23"/>
      <c r="AS233" s="54" t="s">
        <v>67</v>
      </c>
      <c r="AT233" s="194"/>
      <c r="AU233" s="70">
        <f t="shared" si="26"/>
        <v>4</v>
      </c>
      <c r="AV233" s="70" t="s">
        <v>68</v>
      </c>
    </row>
    <row r="234" spans="1:48" ht="25.5" hidden="1" x14ac:dyDescent="0.2">
      <c r="A234" s="86">
        <v>20211</v>
      </c>
      <c r="B234" s="3" t="s">
        <v>1676</v>
      </c>
      <c r="C234" s="3" t="s">
        <v>1677</v>
      </c>
      <c r="D234" s="86"/>
      <c r="E234" s="36" t="s">
        <v>51</v>
      </c>
      <c r="F234" s="48">
        <v>32415</v>
      </c>
      <c r="G234" s="36" t="s">
        <v>1550</v>
      </c>
      <c r="H234" s="81" t="s">
        <v>1678</v>
      </c>
      <c r="I234" s="36" t="s">
        <v>1679</v>
      </c>
      <c r="J234" s="48">
        <v>39573</v>
      </c>
      <c r="K234" s="36" t="s">
        <v>1680</v>
      </c>
      <c r="L234" s="36" t="s">
        <v>123</v>
      </c>
      <c r="M234" s="36" t="s">
        <v>1681</v>
      </c>
      <c r="N234" s="36"/>
      <c r="O234" s="101"/>
      <c r="P234" s="81"/>
      <c r="Q234" s="36"/>
      <c r="R234" s="36" t="s">
        <v>1682</v>
      </c>
      <c r="S234" s="36"/>
      <c r="T234" s="81" t="s">
        <v>1683</v>
      </c>
      <c r="U234" s="81" t="s">
        <v>1684</v>
      </c>
      <c r="V234" s="36"/>
      <c r="W234" s="36"/>
      <c r="X234" s="36"/>
      <c r="Y234" s="36"/>
      <c r="Z234" s="81"/>
      <c r="AA234" s="54"/>
      <c r="AB234" s="81"/>
      <c r="AC234" s="81"/>
      <c r="AD234" s="36"/>
      <c r="AE234" s="81"/>
      <c r="AF234" s="81" t="s">
        <v>231</v>
      </c>
      <c r="AG234" s="48"/>
      <c r="AH234" s="134" t="str">
        <f t="shared" si="23"/>
        <v/>
      </c>
      <c r="AI234" s="134"/>
      <c r="AJ234" s="48">
        <v>40299</v>
      </c>
      <c r="AK234" s="134">
        <f t="shared" si="24"/>
        <v>5</v>
      </c>
      <c r="AL234" s="94" t="s">
        <v>82</v>
      </c>
      <c r="AM234" s="115"/>
      <c r="AN234" s="20"/>
      <c r="AO234" s="190"/>
      <c r="AP234" s="136" t="str">
        <f t="shared" si="27"/>
        <v/>
      </c>
      <c r="AQ234" s="127"/>
      <c r="AR234" s="23"/>
      <c r="AS234" s="94"/>
      <c r="AT234" s="136"/>
      <c r="AU234" s="70">
        <f t="shared" si="26"/>
        <v>9</v>
      </c>
      <c r="AV234" s="70" t="s">
        <v>68</v>
      </c>
    </row>
    <row r="235" spans="1:48" s="136" customFormat="1" ht="38.25" hidden="1" x14ac:dyDescent="0.2">
      <c r="A235" s="86">
        <v>20212</v>
      </c>
      <c r="B235" s="3" t="s">
        <v>1685</v>
      </c>
      <c r="C235" s="3" t="s">
        <v>119</v>
      </c>
      <c r="D235" s="86"/>
      <c r="E235" s="36" t="s">
        <v>51</v>
      </c>
      <c r="F235" s="48">
        <v>32325</v>
      </c>
      <c r="G235" s="36" t="s">
        <v>52</v>
      </c>
      <c r="H235" s="81" t="s">
        <v>53</v>
      </c>
      <c r="I235" s="36" t="s">
        <v>1686</v>
      </c>
      <c r="J235" s="48">
        <v>39675</v>
      </c>
      <c r="K235" s="36" t="s">
        <v>52</v>
      </c>
      <c r="L235" s="36" t="s">
        <v>123</v>
      </c>
      <c r="M235" s="36" t="s">
        <v>448</v>
      </c>
      <c r="N235" s="36"/>
      <c r="O235" s="101"/>
      <c r="P235" s="81" t="s">
        <v>1687</v>
      </c>
      <c r="Q235" s="36"/>
      <c r="R235" s="36" t="s">
        <v>1688</v>
      </c>
      <c r="S235" s="36"/>
      <c r="T235" s="81" t="s">
        <v>1689</v>
      </c>
      <c r="U235" s="81" t="s">
        <v>1690</v>
      </c>
      <c r="V235" s="36"/>
      <c r="W235" s="36"/>
      <c r="X235" s="36"/>
      <c r="Y235" s="36" t="s">
        <v>294</v>
      </c>
      <c r="Z235" s="81"/>
      <c r="AA235" s="54"/>
      <c r="AB235" s="81">
        <v>1</v>
      </c>
      <c r="AC235" s="81" t="s">
        <v>236</v>
      </c>
      <c r="AD235" s="36" t="s">
        <v>207</v>
      </c>
      <c r="AE235" s="81"/>
      <c r="AF235" s="81" t="s">
        <v>65</v>
      </c>
      <c r="AG235" s="48"/>
      <c r="AH235" s="134" t="str">
        <f t="shared" si="23"/>
        <v/>
      </c>
      <c r="AI235" s="134"/>
      <c r="AJ235" s="48">
        <v>40299</v>
      </c>
      <c r="AK235" s="134">
        <f t="shared" si="24"/>
        <v>5</v>
      </c>
      <c r="AL235" s="94" t="s">
        <v>82</v>
      </c>
      <c r="AM235" s="78"/>
      <c r="AN235" s="78"/>
      <c r="AO235" s="190">
        <v>40664</v>
      </c>
      <c r="AP235" s="136">
        <f t="shared" si="27"/>
        <v>5</v>
      </c>
      <c r="AQ235" s="127"/>
      <c r="AR235" s="23"/>
      <c r="AS235" s="94"/>
      <c r="AT235" s="184"/>
      <c r="AU235" s="70">
        <f t="shared" si="26"/>
        <v>7</v>
      </c>
      <c r="AV235" s="70" t="s">
        <v>68</v>
      </c>
    </row>
    <row r="236" spans="1:48" ht="38.25" hidden="1" x14ac:dyDescent="0.2">
      <c r="A236" s="86">
        <v>20213</v>
      </c>
      <c r="B236" s="3" t="s">
        <v>1691</v>
      </c>
      <c r="C236" s="3" t="s">
        <v>160</v>
      </c>
      <c r="D236" s="86"/>
      <c r="E236" s="36" t="s">
        <v>94</v>
      </c>
      <c r="F236" s="48">
        <v>31128</v>
      </c>
      <c r="G236" s="36"/>
      <c r="H236" s="81" t="s">
        <v>365</v>
      </c>
      <c r="I236" s="36" t="s">
        <v>1692</v>
      </c>
      <c r="J236" s="48">
        <v>37323</v>
      </c>
      <c r="K236" s="36" t="s">
        <v>365</v>
      </c>
      <c r="L236" s="36" t="s">
        <v>318</v>
      </c>
      <c r="M236" s="36" t="s">
        <v>382</v>
      </c>
      <c r="N236" s="36" t="s">
        <v>320</v>
      </c>
      <c r="O236" s="101"/>
      <c r="P236" s="159" t="s">
        <v>1693</v>
      </c>
      <c r="Q236" s="36"/>
      <c r="R236" s="36" t="s">
        <v>1694</v>
      </c>
      <c r="S236" s="36"/>
      <c r="T236" s="81"/>
      <c r="U236" s="81" t="s">
        <v>1695</v>
      </c>
      <c r="V236" s="36"/>
      <c r="W236" s="36"/>
      <c r="X236" s="36"/>
      <c r="Y236" s="36" t="s">
        <v>284</v>
      </c>
      <c r="Z236" s="81"/>
      <c r="AA236" s="54"/>
      <c r="AB236" s="81" t="s">
        <v>285</v>
      </c>
      <c r="AC236" s="81" t="s">
        <v>236</v>
      </c>
      <c r="AD236" s="36"/>
      <c r="AE236" s="81"/>
      <c r="AF236" s="81" t="s">
        <v>65</v>
      </c>
      <c r="AG236" s="48"/>
      <c r="AH236" s="134" t="str">
        <f t="shared" si="23"/>
        <v/>
      </c>
      <c r="AI236" s="134"/>
      <c r="AJ236" s="48">
        <v>40375</v>
      </c>
      <c r="AK236" s="134">
        <f t="shared" si="24"/>
        <v>7</v>
      </c>
      <c r="AL236" s="54" t="s">
        <v>82</v>
      </c>
      <c r="AM236" s="54"/>
      <c r="AN236" s="54"/>
      <c r="AO236" s="190"/>
      <c r="AP236" s="136"/>
      <c r="AQ236" s="123"/>
      <c r="AR236" s="23"/>
      <c r="AS236" s="54"/>
      <c r="AT236" s="158"/>
      <c r="AU236" s="70">
        <f t="shared" si="26"/>
        <v>3</v>
      </c>
      <c r="AV236" s="70" t="s">
        <v>68</v>
      </c>
    </row>
    <row r="237" spans="1:48" s="136" customFormat="1" ht="19.5" hidden="1" customHeight="1" x14ac:dyDescent="0.2">
      <c r="A237" s="86">
        <v>20214</v>
      </c>
      <c r="B237" s="3" t="s">
        <v>1371</v>
      </c>
      <c r="C237" s="3" t="s">
        <v>378</v>
      </c>
      <c r="D237" s="86"/>
      <c r="E237" s="36" t="s">
        <v>94</v>
      </c>
      <c r="F237" s="48"/>
      <c r="G237" s="36"/>
      <c r="H237" s="81" t="s">
        <v>0</v>
      </c>
      <c r="I237" s="36"/>
      <c r="J237" s="48"/>
      <c r="K237" s="36"/>
      <c r="L237" s="36" t="s">
        <v>123</v>
      </c>
      <c r="M237" s="36"/>
      <c r="N237" s="36"/>
      <c r="O237" s="101"/>
      <c r="P237" s="81"/>
      <c r="Q237" s="36"/>
      <c r="R237" s="36"/>
      <c r="S237" s="36"/>
      <c r="T237" s="81" t="s">
        <v>0</v>
      </c>
      <c r="U237" s="81" t="s">
        <v>0</v>
      </c>
      <c r="V237" s="36"/>
      <c r="W237" s="36"/>
      <c r="X237" s="36"/>
      <c r="Y237" s="36" t="s">
        <v>326</v>
      </c>
      <c r="Z237" s="81"/>
      <c r="AA237" s="54"/>
      <c r="AB237" s="81"/>
      <c r="AC237" s="81"/>
      <c r="AD237" s="36"/>
      <c r="AE237" s="81"/>
      <c r="AF237" s="81" t="s">
        <v>65</v>
      </c>
      <c r="AG237" s="48"/>
      <c r="AH237" s="134" t="str">
        <f t="shared" si="23"/>
        <v/>
      </c>
      <c r="AI237" s="134"/>
      <c r="AJ237" s="48"/>
      <c r="AK237" s="134" t="str">
        <f t="shared" si="24"/>
        <v/>
      </c>
      <c r="AL237" s="94" t="s">
        <v>82</v>
      </c>
      <c r="AM237" s="78"/>
      <c r="AN237" s="78"/>
      <c r="AO237" s="190"/>
      <c r="AP237" s="136" t="str">
        <f>IF((AO237=""),"",MONTH(AO237))</f>
        <v/>
      </c>
      <c r="AQ237" s="127"/>
      <c r="AR237" s="23"/>
      <c r="AS237" s="94"/>
      <c r="AT237" s="194"/>
      <c r="AU237" s="70" t="str">
        <f t="shared" si="26"/>
        <v/>
      </c>
      <c r="AV237" s="70" t="s">
        <v>68</v>
      </c>
    </row>
    <row r="238" spans="1:48" s="136" customFormat="1" ht="19.5" hidden="1" customHeight="1" x14ac:dyDescent="0.2">
      <c r="A238" s="86">
        <v>20215</v>
      </c>
      <c r="B238" s="3" t="s">
        <v>265</v>
      </c>
      <c r="C238" s="3" t="s">
        <v>1017</v>
      </c>
      <c r="D238" s="86"/>
      <c r="E238" s="36" t="s">
        <v>94</v>
      </c>
      <c r="F238" s="48">
        <v>31396</v>
      </c>
      <c r="G238" s="36"/>
      <c r="H238" s="81" t="s">
        <v>815</v>
      </c>
      <c r="I238" s="36" t="s">
        <v>1696</v>
      </c>
      <c r="J238" s="48">
        <v>36731</v>
      </c>
      <c r="K238" s="36" t="s">
        <v>815</v>
      </c>
      <c r="L238" s="36" t="s">
        <v>318</v>
      </c>
      <c r="M238" s="36" t="s">
        <v>1697</v>
      </c>
      <c r="N238" s="36" t="s">
        <v>320</v>
      </c>
      <c r="O238" s="101"/>
      <c r="P238" s="159" t="s">
        <v>1698</v>
      </c>
      <c r="Q238" s="36"/>
      <c r="R238" s="36" t="s">
        <v>1699</v>
      </c>
      <c r="S238" s="36"/>
      <c r="T238" s="81"/>
      <c r="U238" s="81" t="s">
        <v>1700</v>
      </c>
      <c r="V238" s="36"/>
      <c r="W238" s="36"/>
      <c r="X238" s="36"/>
      <c r="Y238" s="36" t="s">
        <v>616</v>
      </c>
      <c r="Z238" s="81"/>
      <c r="AA238" s="54"/>
      <c r="AB238" s="81">
        <v>1</v>
      </c>
      <c r="AC238" s="81" t="s">
        <v>236</v>
      </c>
      <c r="AD238" s="36" t="s">
        <v>207</v>
      </c>
      <c r="AE238" s="81"/>
      <c r="AF238" s="81" t="s">
        <v>65</v>
      </c>
      <c r="AG238" s="48"/>
      <c r="AH238" s="134" t="str">
        <f t="shared" si="23"/>
        <v/>
      </c>
      <c r="AI238" s="134"/>
      <c r="AJ238" s="48">
        <v>40389</v>
      </c>
      <c r="AK238" s="134">
        <f t="shared" si="24"/>
        <v>7</v>
      </c>
      <c r="AL238" s="54" t="s">
        <v>82</v>
      </c>
      <c r="AM238" s="54"/>
      <c r="AN238" s="54"/>
      <c r="AO238" s="190"/>
      <c r="AQ238" s="123"/>
      <c r="AR238" s="23"/>
      <c r="AS238" s="54"/>
      <c r="AT238" s="65"/>
      <c r="AU238" s="70">
        <f t="shared" si="26"/>
        <v>12</v>
      </c>
      <c r="AV238" s="70" t="s">
        <v>68</v>
      </c>
    </row>
    <row r="239" spans="1:48" ht="25.5" hidden="1" x14ac:dyDescent="0.2">
      <c r="A239" s="86">
        <v>20216</v>
      </c>
      <c r="B239" s="3" t="s">
        <v>1701</v>
      </c>
      <c r="C239" s="3" t="s">
        <v>1092</v>
      </c>
      <c r="D239" s="86"/>
      <c r="E239" s="36" t="s">
        <v>51</v>
      </c>
      <c r="F239" s="48">
        <v>31152</v>
      </c>
      <c r="G239" s="36" t="s">
        <v>1148</v>
      </c>
      <c r="H239" s="81" t="s">
        <v>1149</v>
      </c>
      <c r="I239" s="36" t="s">
        <v>1702</v>
      </c>
      <c r="J239" s="48">
        <v>36768</v>
      </c>
      <c r="K239" s="36" t="s">
        <v>1703</v>
      </c>
      <c r="L239" s="36" t="s">
        <v>123</v>
      </c>
      <c r="M239" s="36" t="s">
        <v>1704</v>
      </c>
      <c r="N239" s="36"/>
      <c r="O239" s="101"/>
      <c r="P239" s="81" t="s">
        <v>1705</v>
      </c>
      <c r="Q239" s="36"/>
      <c r="R239" s="36" t="s">
        <v>1706</v>
      </c>
      <c r="S239" s="36"/>
      <c r="T239" s="81" t="s">
        <v>1707</v>
      </c>
      <c r="U239" s="81" t="s">
        <v>1708</v>
      </c>
      <c r="V239" s="36"/>
      <c r="W239" s="36"/>
      <c r="X239" s="36"/>
      <c r="Y239" s="36"/>
      <c r="Z239" s="81"/>
      <c r="AA239" s="54"/>
      <c r="AB239" s="81"/>
      <c r="AC239" s="81"/>
      <c r="AD239" s="36"/>
      <c r="AE239" s="81"/>
      <c r="AF239" s="81" t="s">
        <v>231</v>
      </c>
      <c r="AG239" s="48"/>
      <c r="AH239" s="134" t="str">
        <f t="shared" si="23"/>
        <v/>
      </c>
      <c r="AI239" s="134"/>
      <c r="AJ239" s="48">
        <v>40343</v>
      </c>
      <c r="AK239" s="134">
        <f t="shared" si="24"/>
        <v>6</v>
      </c>
      <c r="AL239" s="94" t="s">
        <v>82</v>
      </c>
      <c r="AM239" s="78"/>
      <c r="AN239" s="78"/>
      <c r="AO239" s="190"/>
      <c r="AP239" s="136" t="str">
        <f>IF((AO239=""),"",MONTH(AO239))</f>
        <v/>
      </c>
      <c r="AQ239" s="127"/>
      <c r="AR239" s="23"/>
      <c r="AS239" s="94"/>
      <c r="AT239" s="136"/>
      <c r="AU239" s="70">
        <f t="shared" si="26"/>
        <v>4</v>
      </c>
      <c r="AV239" s="70" t="s">
        <v>68</v>
      </c>
    </row>
    <row r="240" spans="1:48" s="136" customFormat="1" ht="19.5" hidden="1" customHeight="1" x14ac:dyDescent="0.2">
      <c r="A240" s="86">
        <v>20217</v>
      </c>
      <c r="B240" s="3" t="s">
        <v>1506</v>
      </c>
      <c r="C240" s="3" t="s">
        <v>1709</v>
      </c>
      <c r="D240" s="86"/>
      <c r="E240" s="36" t="s">
        <v>94</v>
      </c>
      <c r="F240" s="48">
        <v>30695</v>
      </c>
      <c r="G240" s="36"/>
      <c r="H240" s="81" t="s">
        <v>379</v>
      </c>
      <c r="I240" s="36" t="s">
        <v>1710</v>
      </c>
      <c r="J240" s="48">
        <v>37352</v>
      </c>
      <c r="K240" s="36" t="s">
        <v>379</v>
      </c>
      <c r="L240" s="36" t="s">
        <v>318</v>
      </c>
      <c r="M240" s="36" t="s">
        <v>1616</v>
      </c>
      <c r="N240" s="36" t="s">
        <v>320</v>
      </c>
      <c r="O240" s="101"/>
      <c r="P240" s="159" t="s">
        <v>1711</v>
      </c>
      <c r="Q240" s="36"/>
      <c r="R240" s="36" t="s">
        <v>1712</v>
      </c>
      <c r="S240" s="36"/>
      <c r="T240" s="81"/>
      <c r="U240" s="81" t="s">
        <v>1713</v>
      </c>
      <c r="V240" s="36"/>
      <c r="W240" s="36"/>
      <c r="X240" s="36"/>
      <c r="Y240" s="36" t="s">
        <v>595</v>
      </c>
      <c r="Z240" s="81"/>
      <c r="AA240" s="54"/>
      <c r="AB240" s="81">
        <v>2</v>
      </c>
      <c r="AC240" s="81" t="s">
        <v>63</v>
      </c>
      <c r="AD240" s="36"/>
      <c r="AE240" s="81"/>
      <c r="AF240" s="81" t="s">
        <v>231</v>
      </c>
      <c r="AG240" s="48"/>
      <c r="AH240" s="134" t="str">
        <f t="shared" si="23"/>
        <v/>
      </c>
      <c r="AI240" s="134"/>
      <c r="AJ240" s="48">
        <v>40372</v>
      </c>
      <c r="AK240" s="134">
        <f t="shared" si="24"/>
        <v>7</v>
      </c>
      <c r="AL240" s="54" t="s">
        <v>82</v>
      </c>
      <c r="AM240" s="54"/>
      <c r="AN240" s="54"/>
      <c r="AO240" s="190"/>
      <c r="AQ240" s="123"/>
      <c r="AR240" s="23"/>
      <c r="AS240" s="54"/>
      <c r="AT240" s="65"/>
      <c r="AU240" s="70">
        <f t="shared" si="26"/>
        <v>1</v>
      </c>
      <c r="AV240" s="70" t="s">
        <v>68</v>
      </c>
    </row>
    <row r="241" spans="1:48" ht="38.25" hidden="1" x14ac:dyDescent="0.2">
      <c r="A241" s="86">
        <v>20218</v>
      </c>
      <c r="B241" s="3" t="s">
        <v>1714</v>
      </c>
      <c r="C241" s="3" t="s">
        <v>1715</v>
      </c>
      <c r="D241" s="86"/>
      <c r="E241" s="36" t="s">
        <v>94</v>
      </c>
      <c r="F241" s="48">
        <v>31480</v>
      </c>
      <c r="G241" s="36"/>
      <c r="H241" s="81" t="s">
        <v>1148</v>
      </c>
      <c r="I241" s="36" t="s">
        <v>1716</v>
      </c>
      <c r="J241" s="48">
        <v>37525</v>
      </c>
      <c r="K241" s="36" t="s">
        <v>1148</v>
      </c>
      <c r="L241" s="36" t="s">
        <v>318</v>
      </c>
      <c r="M241" s="36" t="s">
        <v>1717</v>
      </c>
      <c r="N241" s="36" t="s">
        <v>320</v>
      </c>
      <c r="O241" s="101"/>
      <c r="P241" s="159" t="s">
        <v>1718</v>
      </c>
      <c r="Q241" s="36"/>
      <c r="R241" s="36" t="s">
        <v>1719</v>
      </c>
      <c r="S241" s="36"/>
      <c r="T241" s="81"/>
      <c r="U241" s="81" t="s">
        <v>1720</v>
      </c>
      <c r="V241" s="36"/>
      <c r="W241" s="36"/>
      <c r="X241" s="36"/>
      <c r="Y241" s="36" t="s">
        <v>284</v>
      </c>
      <c r="Z241" s="81"/>
      <c r="AA241" s="54"/>
      <c r="AB241" s="81" t="s">
        <v>285</v>
      </c>
      <c r="AC241" s="81" t="s">
        <v>236</v>
      </c>
      <c r="AD241" s="36"/>
      <c r="AE241" s="81"/>
      <c r="AF241" s="81" t="s">
        <v>231</v>
      </c>
      <c r="AG241" s="48"/>
      <c r="AH241" s="134" t="str">
        <f t="shared" si="23"/>
        <v/>
      </c>
      <c r="AI241" s="134"/>
      <c r="AJ241" s="48">
        <v>40372</v>
      </c>
      <c r="AK241" s="134">
        <f t="shared" si="24"/>
        <v>7</v>
      </c>
      <c r="AL241" s="54" t="s">
        <v>82</v>
      </c>
      <c r="AM241" s="54"/>
      <c r="AN241" s="54"/>
      <c r="AO241" s="190"/>
      <c r="AP241" s="136" t="str">
        <f t="shared" ref="AP241:AP260" si="28">IF((AO241=""),"",MONTH(AO241))</f>
        <v/>
      </c>
      <c r="AQ241" s="123"/>
      <c r="AR241" s="23"/>
      <c r="AS241" s="54"/>
      <c r="AT241" s="184"/>
      <c r="AU241" s="70">
        <f t="shared" si="26"/>
        <v>3</v>
      </c>
      <c r="AV241" s="70" t="s">
        <v>68</v>
      </c>
    </row>
    <row r="242" spans="1:48" s="136" customFormat="1" ht="25.5" hidden="1" x14ac:dyDescent="0.2">
      <c r="A242" s="86">
        <v>20219</v>
      </c>
      <c r="B242" s="3" t="s">
        <v>1721</v>
      </c>
      <c r="C242" s="3" t="s">
        <v>685</v>
      </c>
      <c r="D242" s="86"/>
      <c r="E242" s="36" t="s">
        <v>94</v>
      </c>
      <c r="F242" s="48">
        <v>29569</v>
      </c>
      <c r="G242" s="36" t="s">
        <v>52</v>
      </c>
      <c r="H242" s="81" t="s">
        <v>53</v>
      </c>
      <c r="I242" s="36" t="s">
        <v>1722</v>
      </c>
      <c r="J242" s="48">
        <v>39205</v>
      </c>
      <c r="K242" s="36" t="s">
        <v>1033</v>
      </c>
      <c r="L242" s="36" t="s">
        <v>123</v>
      </c>
      <c r="M242" s="36" t="s">
        <v>448</v>
      </c>
      <c r="N242" s="36"/>
      <c r="O242" s="101"/>
      <c r="P242" s="81"/>
      <c r="Q242" s="36"/>
      <c r="R242" s="36" t="s">
        <v>1723</v>
      </c>
      <c r="S242" s="36"/>
      <c r="T242" s="81" t="s">
        <v>1724</v>
      </c>
      <c r="U242" s="81" t="s">
        <v>1725</v>
      </c>
      <c r="V242" s="36"/>
      <c r="W242" s="36"/>
      <c r="X242" s="36"/>
      <c r="Y242" s="36"/>
      <c r="Z242" s="81"/>
      <c r="AA242" s="54"/>
      <c r="AB242" s="81"/>
      <c r="AC242" s="81"/>
      <c r="AD242" s="36"/>
      <c r="AE242" s="81"/>
      <c r="AF242" s="81" t="s">
        <v>65</v>
      </c>
      <c r="AG242" s="48"/>
      <c r="AH242" s="134" t="str">
        <f t="shared" si="23"/>
        <v/>
      </c>
      <c r="AI242" s="134"/>
      <c r="AJ242" s="48"/>
      <c r="AK242" s="134" t="str">
        <f t="shared" si="24"/>
        <v/>
      </c>
      <c r="AL242" s="94" t="s">
        <v>82</v>
      </c>
      <c r="AM242" s="78"/>
      <c r="AN242" s="78"/>
      <c r="AO242" s="190"/>
      <c r="AP242" s="136" t="str">
        <f t="shared" si="28"/>
        <v/>
      </c>
      <c r="AQ242" s="127"/>
      <c r="AR242" s="23"/>
      <c r="AS242" s="94"/>
      <c r="AT242" s="158"/>
      <c r="AU242" s="70">
        <f t="shared" si="26"/>
        <v>12</v>
      </c>
      <c r="AV242" s="70" t="s">
        <v>68</v>
      </c>
    </row>
    <row r="243" spans="1:48" s="136" customFormat="1" ht="38.25" hidden="1" x14ac:dyDescent="0.2">
      <c r="A243" s="86">
        <v>20220</v>
      </c>
      <c r="B243" s="3" t="s">
        <v>1726</v>
      </c>
      <c r="C243" s="3" t="s">
        <v>466</v>
      </c>
      <c r="D243" s="86"/>
      <c r="E243" s="36" t="s">
        <v>94</v>
      </c>
      <c r="F243" s="48">
        <v>32102</v>
      </c>
      <c r="G243" s="36" t="s">
        <v>1148</v>
      </c>
      <c r="H243" s="81" t="s">
        <v>1149</v>
      </c>
      <c r="I243" s="36" t="s">
        <v>1727</v>
      </c>
      <c r="J243" s="48">
        <v>39970</v>
      </c>
      <c r="K243" s="36" t="s">
        <v>231</v>
      </c>
      <c r="L243" s="36" t="s">
        <v>123</v>
      </c>
      <c r="M243" s="36" t="s">
        <v>859</v>
      </c>
      <c r="N243" s="36"/>
      <c r="O243" s="101"/>
      <c r="P243" s="81"/>
      <c r="Q243" s="36"/>
      <c r="R243" s="36" t="s">
        <v>1728</v>
      </c>
      <c r="S243" s="36"/>
      <c r="T243" s="81" t="s">
        <v>1729</v>
      </c>
      <c r="U243" s="81" t="s">
        <v>1729</v>
      </c>
      <c r="V243" s="36"/>
      <c r="W243" s="36"/>
      <c r="X243" s="36"/>
      <c r="Y243" s="36"/>
      <c r="Z243" s="81"/>
      <c r="AA243" s="54"/>
      <c r="AB243" s="81"/>
      <c r="AC243" s="81" t="s">
        <v>236</v>
      </c>
      <c r="AD243" s="36"/>
      <c r="AE243" s="81"/>
      <c r="AF243" s="81" t="s">
        <v>65</v>
      </c>
      <c r="AG243" s="48"/>
      <c r="AH243" s="134" t="str">
        <f t="shared" si="23"/>
        <v/>
      </c>
      <c r="AI243" s="134"/>
      <c r="AJ243" s="48"/>
      <c r="AK243" s="134" t="str">
        <f t="shared" si="24"/>
        <v/>
      </c>
      <c r="AL243" s="94" t="s">
        <v>82</v>
      </c>
      <c r="AM243" s="78"/>
      <c r="AN243" s="78"/>
      <c r="AO243" s="190"/>
      <c r="AP243" s="136" t="str">
        <f t="shared" si="28"/>
        <v/>
      </c>
      <c r="AQ243" s="127"/>
      <c r="AR243" s="23"/>
      <c r="AS243" s="94"/>
      <c r="AT243" s="158"/>
      <c r="AU243" s="70">
        <f t="shared" si="26"/>
        <v>11</v>
      </c>
      <c r="AV243" s="70" t="s">
        <v>68</v>
      </c>
    </row>
    <row r="244" spans="1:48" s="136" customFormat="1" ht="19.5" hidden="1" customHeight="1" x14ac:dyDescent="0.2">
      <c r="A244" s="87">
        <v>20221</v>
      </c>
      <c r="B244" s="80" t="s">
        <v>265</v>
      </c>
      <c r="C244" s="80" t="s">
        <v>191</v>
      </c>
      <c r="D244" s="87"/>
      <c r="E244" s="123" t="s">
        <v>94</v>
      </c>
      <c r="F244" s="140">
        <v>31422</v>
      </c>
      <c r="G244" s="123" t="s">
        <v>120</v>
      </c>
      <c r="H244" s="54" t="s">
        <v>121</v>
      </c>
      <c r="I244" s="123" t="s">
        <v>1730</v>
      </c>
      <c r="J244" s="140">
        <v>36325</v>
      </c>
      <c r="K244" s="123" t="s">
        <v>120</v>
      </c>
      <c r="L244" s="123" t="s">
        <v>123</v>
      </c>
      <c r="M244" s="123" t="s">
        <v>382</v>
      </c>
      <c r="N244" s="123" t="s">
        <v>368</v>
      </c>
      <c r="O244" s="106"/>
      <c r="P244" s="54" t="s">
        <v>1731</v>
      </c>
      <c r="Q244" s="123"/>
      <c r="R244" s="123" t="s">
        <v>1732</v>
      </c>
      <c r="S244" s="123"/>
      <c r="T244" s="54" t="s">
        <v>1733</v>
      </c>
      <c r="U244" s="54" t="s">
        <v>1733</v>
      </c>
      <c r="V244" s="123"/>
      <c r="W244" s="123"/>
      <c r="X244" s="123"/>
      <c r="Y244" s="123" t="s">
        <v>1734</v>
      </c>
      <c r="Z244" s="54"/>
      <c r="AA244" s="54"/>
      <c r="AB244" s="54" t="s">
        <v>361</v>
      </c>
      <c r="AC244" s="54" t="s">
        <v>362</v>
      </c>
      <c r="AD244" s="123" t="s">
        <v>375</v>
      </c>
      <c r="AE244" s="54" t="s">
        <v>1525</v>
      </c>
      <c r="AF244" s="54" t="s">
        <v>65</v>
      </c>
      <c r="AG244" s="140">
        <v>40381</v>
      </c>
      <c r="AH244" s="65">
        <f t="shared" si="23"/>
        <v>7</v>
      </c>
      <c r="AI244" s="65"/>
      <c r="AJ244" s="140">
        <v>40443</v>
      </c>
      <c r="AK244" s="65">
        <f t="shared" si="24"/>
        <v>9</v>
      </c>
      <c r="AL244" s="54" t="s">
        <v>66</v>
      </c>
      <c r="AM244" s="138">
        <v>41165</v>
      </c>
      <c r="AN244" s="138">
        <v>41287</v>
      </c>
      <c r="AO244" s="140"/>
      <c r="AP244" s="65" t="str">
        <f t="shared" si="28"/>
        <v/>
      </c>
      <c r="AQ244" s="123"/>
      <c r="AR244" s="23"/>
      <c r="AS244" s="54" t="s">
        <v>107</v>
      </c>
      <c r="AT244" s="194"/>
      <c r="AU244" s="70">
        <f t="shared" si="26"/>
        <v>1</v>
      </c>
      <c r="AV244" s="70" t="s">
        <v>68</v>
      </c>
    </row>
    <row r="245" spans="1:48" s="136" customFormat="1" ht="38.25" hidden="1" x14ac:dyDescent="0.2">
      <c r="A245" s="86">
        <v>20222</v>
      </c>
      <c r="B245" s="3" t="s">
        <v>1735</v>
      </c>
      <c r="C245" s="3" t="s">
        <v>1736</v>
      </c>
      <c r="D245" s="86"/>
      <c r="E245" s="36" t="s">
        <v>51</v>
      </c>
      <c r="F245" s="48">
        <v>32333</v>
      </c>
      <c r="G245" s="36"/>
      <c r="H245" s="81" t="s">
        <v>52</v>
      </c>
      <c r="I245" s="36" t="s">
        <v>1737</v>
      </c>
      <c r="J245" s="48">
        <v>37445</v>
      </c>
      <c r="K245" s="36" t="s">
        <v>52</v>
      </c>
      <c r="L245" s="36" t="s">
        <v>826</v>
      </c>
      <c r="M245" s="36" t="s">
        <v>1738</v>
      </c>
      <c r="N245" s="36" t="s">
        <v>320</v>
      </c>
      <c r="O245" s="101"/>
      <c r="P245" s="159" t="s">
        <v>1739</v>
      </c>
      <c r="Q245" s="36"/>
      <c r="R245" s="36" t="s">
        <v>1740</v>
      </c>
      <c r="S245" s="36"/>
      <c r="T245" s="81"/>
      <c r="U245" s="81" t="s">
        <v>1741</v>
      </c>
      <c r="V245" s="36"/>
      <c r="W245" s="36"/>
      <c r="X245" s="36"/>
      <c r="Y245" s="36" t="s">
        <v>294</v>
      </c>
      <c r="Z245" s="81"/>
      <c r="AA245" s="54"/>
      <c r="AB245" s="81">
        <v>1</v>
      </c>
      <c r="AC245" s="81" t="s">
        <v>236</v>
      </c>
      <c r="AD245" s="36" t="s">
        <v>207</v>
      </c>
      <c r="AE245" s="81"/>
      <c r="AF245" s="81" t="s">
        <v>65</v>
      </c>
      <c r="AG245" s="48"/>
      <c r="AH245" s="134" t="str">
        <f t="shared" si="23"/>
        <v/>
      </c>
      <c r="AI245" s="134"/>
      <c r="AJ245" s="48"/>
      <c r="AK245" s="134" t="str">
        <f t="shared" si="24"/>
        <v/>
      </c>
      <c r="AL245" s="54" t="s">
        <v>82</v>
      </c>
      <c r="AM245" s="54"/>
      <c r="AN245" s="54"/>
      <c r="AO245" s="190"/>
      <c r="AP245" s="136" t="str">
        <f t="shared" si="28"/>
        <v/>
      </c>
      <c r="AQ245" s="123"/>
      <c r="AR245" s="23"/>
      <c r="AS245" s="54"/>
      <c r="AT245" s="65"/>
      <c r="AU245" s="70">
        <f t="shared" si="26"/>
        <v>7</v>
      </c>
      <c r="AV245" s="70" t="s">
        <v>68</v>
      </c>
    </row>
    <row r="246" spans="1:48" ht="38.25" hidden="1" x14ac:dyDescent="0.2">
      <c r="A246" s="87">
        <v>20223</v>
      </c>
      <c r="B246" s="80" t="s">
        <v>1742</v>
      </c>
      <c r="C246" s="80" t="s">
        <v>920</v>
      </c>
      <c r="D246" s="87"/>
      <c r="E246" s="123" t="s">
        <v>94</v>
      </c>
      <c r="F246" s="140">
        <v>30965</v>
      </c>
      <c r="G246" s="123" t="s">
        <v>52</v>
      </c>
      <c r="H246" s="54" t="s">
        <v>53</v>
      </c>
      <c r="I246" s="123" t="s">
        <v>1743</v>
      </c>
      <c r="J246" s="140">
        <v>37906</v>
      </c>
      <c r="K246" s="123" t="s">
        <v>52</v>
      </c>
      <c r="L246" s="123" t="s">
        <v>341</v>
      </c>
      <c r="M246" s="123" t="s">
        <v>468</v>
      </c>
      <c r="N246" s="123" t="s">
        <v>1062</v>
      </c>
      <c r="O246" s="106"/>
      <c r="P246" s="54" t="s">
        <v>1744</v>
      </c>
      <c r="Q246" s="123" t="s">
        <v>1745</v>
      </c>
      <c r="R246" s="123" t="s">
        <v>1746</v>
      </c>
      <c r="S246" s="123"/>
      <c r="T246" s="54" t="s">
        <v>1747</v>
      </c>
      <c r="U246" s="54" t="s">
        <v>1747</v>
      </c>
      <c r="V246" s="123"/>
      <c r="W246" s="123"/>
      <c r="X246" s="123"/>
      <c r="Y246" s="217" t="s">
        <v>699</v>
      </c>
      <c r="Z246" s="54"/>
      <c r="AA246" s="54"/>
      <c r="AB246" s="54">
        <v>3</v>
      </c>
      <c r="AC246" s="54" t="s">
        <v>362</v>
      </c>
      <c r="AD246" s="123" t="s">
        <v>1343</v>
      </c>
      <c r="AE246" s="54" t="s">
        <v>1749</v>
      </c>
      <c r="AF246" s="54" t="s">
        <v>65</v>
      </c>
      <c r="AG246" s="140">
        <v>40391</v>
      </c>
      <c r="AH246" s="65">
        <f t="shared" si="23"/>
        <v>8</v>
      </c>
      <c r="AI246" s="65"/>
      <c r="AJ246" s="140">
        <v>40482</v>
      </c>
      <c r="AK246" s="65">
        <f t="shared" si="24"/>
        <v>10</v>
      </c>
      <c r="AL246" s="54" t="s">
        <v>66</v>
      </c>
      <c r="AM246" s="138"/>
      <c r="AN246" s="65" t="str">
        <f>IF((AM246=""),"",MONTH(AM246))</f>
        <v/>
      </c>
      <c r="AO246" s="140"/>
      <c r="AP246" s="65" t="str">
        <f t="shared" si="28"/>
        <v/>
      </c>
      <c r="AQ246" s="123"/>
      <c r="AR246" s="23"/>
      <c r="AS246" s="54" t="s">
        <v>107</v>
      </c>
      <c r="AT246" s="136"/>
      <c r="AU246" s="70">
        <f t="shared" si="26"/>
        <v>10</v>
      </c>
      <c r="AV246" s="70" t="s">
        <v>68</v>
      </c>
    </row>
    <row r="247" spans="1:48" s="136" customFormat="1" ht="19.5" hidden="1" customHeight="1" x14ac:dyDescent="0.2">
      <c r="A247" s="87">
        <v>20224</v>
      </c>
      <c r="B247" s="80" t="s">
        <v>1750</v>
      </c>
      <c r="C247" s="80" t="s">
        <v>1017</v>
      </c>
      <c r="D247" s="87"/>
      <c r="E247" s="123" t="s">
        <v>94</v>
      </c>
      <c r="F247" s="140">
        <v>29682</v>
      </c>
      <c r="G247" s="123" t="s">
        <v>52</v>
      </c>
      <c r="H247" s="54" t="s">
        <v>53</v>
      </c>
      <c r="I247" s="123" t="s">
        <v>1751</v>
      </c>
      <c r="J247" s="140">
        <v>36061</v>
      </c>
      <c r="K247" s="123" t="s">
        <v>52</v>
      </c>
      <c r="L247" s="123" t="s">
        <v>123</v>
      </c>
      <c r="M247" s="123" t="s">
        <v>632</v>
      </c>
      <c r="N247" s="123" t="s">
        <v>1752</v>
      </c>
      <c r="O247" s="106"/>
      <c r="P247" s="54" t="s">
        <v>1753</v>
      </c>
      <c r="Q247" s="123"/>
      <c r="R247" s="123" t="s">
        <v>1754</v>
      </c>
      <c r="S247" s="123"/>
      <c r="T247" s="54" t="s">
        <v>1755</v>
      </c>
      <c r="U247" s="54" t="s">
        <v>1756</v>
      </c>
      <c r="V247" s="123"/>
      <c r="W247" s="123"/>
      <c r="X247" s="123"/>
      <c r="Y247" s="123" t="s">
        <v>206</v>
      </c>
      <c r="Z247" s="54"/>
      <c r="AA247" s="54"/>
      <c r="AB247" s="54">
        <v>3</v>
      </c>
      <c r="AC247" s="54" t="s">
        <v>63</v>
      </c>
      <c r="AD247" s="123" t="s">
        <v>404</v>
      </c>
      <c r="AE247" s="54" t="s">
        <v>700</v>
      </c>
      <c r="AF247" s="54" t="s">
        <v>65</v>
      </c>
      <c r="AG247" s="140">
        <v>40400</v>
      </c>
      <c r="AH247" s="65">
        <f t="shared" si="23"/>
        <v>8</v>
      </c>
      <c r="AI247" s="65"/>
      <c r="AJ247" s="140">
        <v>40461</v>
      </c>
      <c r="AK247" s="65">
        <f t="shared" si="24"/>
        <v>10</v>
      </c>
      <c r="AL247" s="54" t="s">
        <v>66</v>
      </c>
      <c r="AM247" s="138">
        <v>41227</v>
      </c>
      <c r="AN247" s="138">
        <v>41334</v>
      </c>
      <c r="AO247" s="140"/>
      <c r="AP247" s="65" t="str">
        <f t="shared" si="28"/>
        <v/>
      </c>
      <c r="AQ247" s="123"/>
      <c r="AR247" s="23"/>
      <c r="AS247" s="54" t="s">
        <v>347</v>
      </c>
      <c r="AT247" s="184"/>
      <c r="AU247" s="70">
        <f t="shared" si="26"/>
        <v>4</v>
      </c>
      <c r="AV247" s="70" t="s">
        <v>68</v>
      </c>
    </row>
    <row r="248" spans="1:48" s="136" customFormat="1" ht="19.5" hidden="1" customHeight="1" x14ac:dyDescent="0.2">
      <c r="A248" s="86">
        <v>20225</v>
      </c>
      <c r="B248" s="3" t="s">
        <v>724</v>
      </c>
      <c r="C248" s="3" t="s">
        <v>725</v>
      </c>
      <c r="D248" s="86"/>
      <c r="E248" s="36" t="s">
        <v>94</v>
      </c>
      <c r="F248" s="48">
        <v>32016</v>
      </c>
      <c r="G248" s="36" t="s">
        <v>52</v>
      </c>
      <c r="H248" s="81" t="s">
        <v>53</v>
      </c>
      <c r="I248" s="36" t="s">
        <v>1757</v>
      </c>
      <c r="J248" s="48">
        <v>37069</v>
      </c>
      <c r="K248" s="36" t="s">
        <v>52</v>
      </c>
      <c r="L248" s="36" t="s">
        <v>123</v>
      </c>
      <c r="M248" s="36" t="s">
        <v>1295</v>
      </c>
      <c r="N248" s="36"/>
      <c r="O248" s="101"/>
      <c r="P248" s="81" t="s">
        <v>1758</v>
      </c>
      <c r="Q248" s="36"/>
      <c r="R248" s="36"/>
      <c r="S248" s="36"/>
      <c r="T248" s="81" t="s">
        <v>1759</v>
      </c>
      <c r="U248" s="81" t="s">
        <v>1759</v>
      </c>
      <c r="V248" s="36"/>
      <c r="W248" s="36"/>
      <c r="X248" s="36"/>
      <c r="Y248" s="36"/>
      <c r="Z248" s="81"/>
      <c r="AA248" s="54"/>
      <c r="AB248" s="81"/>
      <c r="AC248" s="81"/>
      <c r="AD248" s="36"/>
      <c r="AE248" s="81"/>
      <c r="AF248" s="81" t="s">
        <v>65</v>
      </c>
      <c r="AG248" s="48"/>
      <c r="AH248" s="134" t="str">
        <f t="shared" si="23"/>
        <v/>
      </c>
      <c r="AI248" s="134"/>
      <c r="AJ248" s="48">
        <v>40422</v>
      </c>
      <c r="AK248" s="134">
        <f t="shared" si="24"/>
        <v>9</v>
      </c>
      <c r="AL248" s="94" t="s">
        <v>82</v>
      </c>
      <c r="AM248" s="78"/>
      <c r="AN248" s="78"/>
      <c r="AO248" s="190"/>
      <c r="AP248" s="136" t="str">
        <f t="shared" si="28"/>
        <v/>
      </c>
      <c r="AQ248" s="127"/>
      <c r="AR248" s="23"/>
      <c r="AS248" s="94"/>
      <c r="AT248" s="158"/>
      <c r="AU248" s="70">
        <f t="shared" si="26"/>
        <v>8</v>
      </c>
      <c r="AV248" s="70" t="s">
        <v>68</v>
      </c>
    </row>
    <row r="249" spans="1:48" s="136" customFormat="1" ht="25.5" hidden="1" x14ac:dyDescent="0.2">
      <c r="A249" s="87">
        <v>20226</v>
      </c>
      <c r="B249" s="80" t="s">
        <v>265</v>
      </c>
      <c r="C249" s="80" t="s">
        <v>396</v>
      </c>
      <c r="D249" s="87"/>
      <c r="E249" s="123" t="s">
        <v>94</v>
      </c>
      <c r="F249" s="140">
        <v>32041</v>
      </c>
      <c r="G249" s="123" t="s">
        <v>132</v>
      </c>
      <c r="H249" s="54" t="s">
        <v>133</v>
      </c>
      <c r="I249" s="123" t="s">
        <v>1760</v>
      </c>
      <c r="J249" s="140">
        <v>38093</v>
      </c>
      <c r="K249" s="123" t="s">
        <v>1761</v>
      </c>
      <c r="L249" s="123" t="s">
        <v>123</v>
      </c>
      <c r="M249" s="123" t="s">
        <v>1762</v>
      </c>
      <c r="N249" s="123" t="s">
        <v>368</v>
      </c>
      <c r="O249" s="106"/>
      <c r="P249" s="54" t="s">
        <v>1763</v>
      </c>
      <c r="Q249" s="123"/>
      <c r="R249" s="123" t="s">
        <v>1764</v>
      </c>
      <c r="S249" s="123"/>
      <c r="T249" s="54" t="s">
        <v>1765</v>
      </c>
      <c r="U249" s="54" t="s">
        <v>1766</v>
      </c>
      <c r="V249" s="123"/>
      <c r="W249" s="123"/>
      <c r="X249" s="123"/>
      <c r="Y249" s="123" t="s">
        <v>206</v>
      </c>
      <c r="Z249" s="54"/>
      <c r="AA249" s="54"/>
      <c r="AB249" s="54">
        <v>3</v>
      </c>
      <c r="AC249" s="54" t="s">
        <v>63</v>
      </c>
      <c r="AD249" s="123" t="s">
        <v>866</v>
      </c>
      <c r="AE249" s="54" t="s">
        <v>867</v>
      </c>
      <c r="AF249" s="54" t="s">
        <v>231</v>
      </c>
      <c r="AG249" s="140"/>
      <c r="AH249" s="65" t="str">
        <f t="shared" si="23"/>
        <v/>
      </c>
      <c r="AI249" s="65"/>
      <c r="AJ249" s="140">
        <v>40310</v>
      </c>
      <c r="AK249" s="65">
        <f t="shared" si="24"/>
        <v>5</v>
      </c>
      <c r="AL249" s="54" t="s">
        <v>66</v>
      </c>
      <c r="AM249" s="138"/>
      <c r="AN249" s="138"/>
      <c r="AO249" s="140"/>
      <c r="AP249" s="65" t="str">
        <f t="shared" si="28"/>
        <v/>
      </c>
      <c r="AQ249" s="123"/>
      <c r="AR249" s="23"/>
      <c r="AS249" s="54" t="s">
        <v>347</v>
      </c>
      <c r="AT249" s="158"/>
      <c r="AU249" s="70">
        <f t="shared" si="26"/>
        <v>9</v>
      </c>
      <c r="AV249" s="70" t="s">
        <v>68</v>
      </c>
    </row>
    <row r="250" spans="1:48" s="136" customFormat="1" ht="19.5" hidden="1" customHeight="1" x14ac:dyDescent="0.2">
      <c r="A250" s="86">
        <v>20227</v>
      </c>
      <c r="B250" s="3" t="s">
        <v>1767</v>
      </c>
      <c r="C250" s="3" t="s">
        <v>1768</v>
      </c>
      <c r="D250" s="86"/>
      <c r="E250" s="36" t="s">
        <v>94</v>
      </c>
      <c r="F250" s="48">
        <v>31639</v>
      </c>
      <c r="G250" s="36" t="s">
        <v>1769</v>
      </c>
      <c r="H250" s="81" t="s">
        <v>1770</v>
      </c>
      <c r="I250" s="36" t="s">
        <v>1771</v>
      </c>
      <c r="J250" s="48">
        <v>38039</v>
      </c>
      <c r="K250" s="36" t="s">
        <v>921</v>
      </c>
      <c r="L250" s="36" t="s">
        <v>123</v>
      </c>
      <c r="M250" s="36" t="s">
        <v>543</v>
      </c>
      <c r="N250" s="36"/>
      <c r="O250" s="101"/>
      <c r="P250" s="81" t="s">
        <v>1772</v>
      </c>
      <c r="Q250" s="36"/>
      <c r="R250" s="36" t="s">
        <v>1773</v>
      </c>
      <c r="S250" s="36"/>
      <c r="T250" s="81" t="s">
        <v>1774</v>
      </c>
      <c r="U250" s="81" t="s">
        <v>1775</v>
      </c>
      <c r="V250" s="36"/>
      <c r="W250" s="36"/>
      <c r="X250" s="36"/>
      <c r="Y250" s="36"/>
      <c r="Z250" s="81"/>
      <c r="AA250" s="54"/>
      <c r="AB250" s="81"/>
      <c r="AC250" s="81"/>
      <c r="AD250" s="36"/>
      <c r="AE250" s="81"/>
      <c r="AF250" s="81" t="s">
        <v>231</v>
      </c>
      <c r="AG250" s="48"/>
      <c r="AH250" s="134" t="str">
        <f t="shared" si="23"/>
        <v/>
      </c>
      <c r="AI250" s="134"/>
      <c r="AJ250" s="48">
        <v>40427</v>
      </c>
      <c r="AK250" s="134">
        <f t="shared" si="24"/>
        <v>9</v>
      </c>
      <c r="AL250" s="94" t="s">
        <v>82</v>
      </c>
      <c r="AM250" s="78"/>
      <c r="AN250" s="78"/>
      <c r="AO250" s="190"/>
      <c r="AP250" s="136" t="str">
        <f t="shared" si="28"/>
        <v/>
      </c>
      <c r="AQ250" s="127"/>
      <c r="AR250" s="23"/>
      <c r="AS250" s="94"/>
      <c r="AT250" s="158"/>
      <c r="AU250" s="70">
        <f t="shared" si="26"/>
        <v>8</v>
      </c>
      <c r="AV250" s="70" t="s">
        <v>68</v>
      </c>
    </row>
    <row r="251" spans="1:48" s="136" customFormat="1" ht="19.5" hidden="1" customHeight="1" x14ac:dyDescent="0.2">
      <c r="A251" s="86">
        <v>20228</v>
      </c>
      <c r="B251" s="3" t="s">
        <v>199</v>
      </c>
      <c r="C251" s="3" t="s">
        <v>711</v>
      </c>
      <c r="D251" s="86"/>
      <c r="E251" s="36" t="s">
        <v>94</v>
      </c>
      <c r="F251" s="48">
        <v>30909</v>
      </c>
      <c r="G251" s="36" t="s">
        <v>1195</v>
      </c>
      <c r="H251" s="81" t="s">
        <v>1776</v>
      </c>
      <c r="I251" s="36" t="s">
        <v>1777</v>
      </c>
      <c r="J251" s="48">
        <v>37171</v>
      </c>
      <c r="K251" s="36" t="s">
        <v>1778</v>
      </c>
      <c r="L251" s="36" t="s">
        <v>123</v>
      </c>
      <c r="M251" s="36" t="s">
        <v>543</v>
      </c>
      <c r="N251" s="36"/>
      <c r="O251" s="101"/>
      <c r="P251" s="81" t="s">
        <v>1779</v>
      </c>
      <c r="Q251" s="36"/>
      <c r="R251" s="36" t="s">
        <v>1780</v>
      </c>
      <c r="S251" s="36" t="s">
        <v>1781</v>
      </c>
      <c r="T251" s="81" t="s">
        <v>1782</v>
      </c>
      <c r="U251" s="81" t="s">
        <v>1782</v>
      </c>
      <c r="V251" s="36"/>
      <c r="W251" s="36"/>
      <c r="X251" s="36"/>
      <c r="Y251" s="36" t="s">
        <v>284</v>
      </c>
      <c r="Z251" s="81"/>
      <c r="AA251" s="54"/>
      <c r="AB251" s="81" t="s">
        <v>285</v>
      </c>
      <c r="AC251" s="81" t="s">
        <v>236</v>
      </c>
      <c r="AD251" s="36"/>
      <c r="AE251" s="81"/>
      <c r="AF251" s="81" t="s">
        <v>231</v>
      </c>
      <c r="AG251" s="48"/>
      <c r="AH251" s="134" t="str">
        <f t="shared" si="23"/>
        <v/>
      </c>
      <c r="AI251" s="134"/>
      <c r="AJ251" s="48">
        <v>40427</v>
      </c>
      <c r="AK251" s="134">
        <f t="shared" si="24"/>
        <v>9</v>
      </c>
      <c r="AL251" s="94" t="s">
        <v>82</v>
      </c>
      <c r="AM251" s="78"/>
      <c r="AN251" s="78"/>
      <c r="AO251" s="190">
        <v>41214</v>
      </c>
      <c r="AP251" s="136">
        <f t="shared" si="28"/>
        <v>11</v>
      </c>
      <c r="AQ251" s="127"/>
      <c r="AR251" s="23"/>
      <c r="AS251" s="94"/>
      <c r="AT251" s="158"/>
      <c r="AU251" s="70">
        <f t="shared" si="26"/>
        <v>8</v>
      </c>
      <c r="AV251" s="70" t="s">
        <v>68</v>
      </c>
    </row>
    <row r="252" spans="1:48" s="136" customFormat="1" ht="19.5" hidden="1" customHeight="1" x14ac:dyDescent="0.2">
      <c r="A252" s="86">
        <v>20229</v>
      </c>
      <c r="B252" s="3" t="s">
        <v>1783</v>
      </c>
      <c r="C252" s="3" t="s">
        <v>561</v>
      </c>
      <c r="D252" s="86"/>
      <c r="E252" s="36" t="s">
        <v>94</v>
      </c>
      <c r="F252" s="48">
        <v>31530</v>
      </c>
      <c r="G252" s="36" t="s">
        <v>397</v>
      </c>
      <c r="H252" s="81" t="s">
        <v>398</v>
      </c>
      <c r="I252" s="36" t="s">
        <v>1784</v>
      </c>
      <c r="J252" s="48">
        <v>38036</v>
      </c>
      <c r="K252" s="36" t="s">
        <v>397</v>
      </c>
      <c r="L252" s="36" t="s">
        <v>123</v>
      </c>
      <c r="M252" s="36" t="s">
        <v>1508</v>
      </c>
      <c r="N252" s="36" t="s">
        <v>1785</v>
      </c>
      <c r="O252" s="101"/>
      <c r="P252" s="81" t="s">
        <v>1786</v>
      </c>
      <c r="Q252" s="36" t="s">
        <v>1787</v>
      </c>
      <c r="R252" s="36" t="s">
        <v>1788</v>
      </c>
      <c r="S252" s="36"/>
      <c r="T252" s="81" t="s">
        <v>1789</v>
      </c>
      <c r="U252" s="81" t="s">
        <v>1790</v>
      </c>
      <c r="V252" s="36"/>
      <c r="W252" s="36"/>
      <c r="X252" s="36"/>
      <c r="Y252" s="36" t="s">
        <v>284</v>
      </c>
      <c r="Z252" s="81"/>
      <c r="AA252" s="54"/>
      <c r="AB252" s="81" t="s">
        <v>285</v>
      </c>
      <c r="AC252" s="81" t="s">
        <v>236</v>
      </c>
      <c r="AD252" s="36" t="s">
        <v>230</v>
      </c>
      <c r="AE252" s="81"/>
      <c r="AF252" s="81" t="s">
        <v>231</v>
      </c>
      <c r="AG252" s="48"/>
      <c r="AH252" s="134" t="str">
        <f t="shared" si="23"/>
        <v/>
      </c>
      <c r="AI252" s="134"/>
      <c r="AJ252" s="48">
        <v>40430</v>
      </c>
      <c r="AK252" s="134">
        <f t="shared" si="24"/>
        <v>9</v>
      </c>
      <c r="AL252" s="94" t="s">
        <v>82</v>
      </c>
      <c r="AM252" s="78"/>
      <c r="AN252" s="78"/>
      <c r="AO252" s="190">
        <v>40861</v>
      </c>
      <c r="AP252" s="136">
        <f t="shared" si="28"/>
        <v>11</v>
      </c>
      <c r="AQ252" s="127"/>
      <c r="AR252" s="23"/>
      <c r="AS252" s="94"/>
      <c r="AT252" s="158"/>
      <c r="AU252" s="70">
        <f t="shared" si="26"/>
        <v>4</v>
      </c>
      <c r="AV252" s="70" t="s">
        <v>68</v>
      </c>
    </row>
    <row r="253" spans="1:48" s="136" customFormat="1" ht="19.5" hidden="1" customHeight="1" x14ac:dyDescent="0.2">
      <c r="A253" s="86">
        <v>20230</v>
      </c>
      <c r="B253" s="3" t="s">
        <v>1791</v>
      </c>
      <c r="C253" s="3" t="s">
        <v>1792</v>
      </c>
      <c r="D253" s="86"/>
      <c r="E253" s="36" t="s">
        <v>94</v>
      </c>
      <c r="F253" s="48">
        <v>30749</v>
      </c>
      <c r="G253" s="36" t="s">
        <v>1255</v>
      </c>
      <c r="H253" s="81" t="s">
        <v>1793</v>
      </c>
      <c r="I253" s="36" t="s">
        <v>1794</v>
      </c>
      <c r="J253" s="48">
        <v>37700</v>
      </c>
      <c r="K253" s="36" t="s">
        <v>1795</v>
      </c>
      <c r="L253" s="36" t="s">
        <v>123</v>
      </c>
      <c r="M253" s="36" t="s">
        <v>1796</v>
      </c>
      <c r="N253" s="36"/>
      <c r="O253" s="101"/>
      <c r="P253" s="81" t="s">
        <v>1797</v>
      </c>
      <c r="Q253" s="36"/>
      <c r="R253" s="36" t="s">
        <v>1798</v>
      </c>
      <c r="S253" s="36"/>
      <c r="T253" s="81" t="s">
        <v>1799</v>
      </c>
      <c r="U253" s="81" t="s">
        <v>1800</v>
      </c>
      <c r="V253" s="36"/>
      <c r="W253" s="36"/>
      <c r="X253" s="36"/>
      <c r="Y253" s="36"/>
      <c r="Z253" s="81"/>
      <c r="AA253" s="54"/>
      <c r="AB253" s="81"/>
      <c r="AC253" s="81"/>
      <c r="AD253" s="36" t="s">
        <v>230</v>
      </c>
      <c r="AE253" s="81"/>
      <c r="AF253" s="81" t="s">
        <v>231</v>
      </c>
      <c r="AG253" s="48"/>
      <c r="AH253" s="134" t="str">
        <f t="shared" si="23"/>
        <v/>
      </c>
      <c r="AI253" s="134"/>
      <c r="AJ253" s="48">
        <v>40436</v>
      </c>
      <c r="AK253" s="134">
        <f t="shared" si="24"/>
        <v>9</v>
      </c>
      <c r="AL253" s="94" t="s">
        <v>82</v>
      </c>
      <c r="AM253" s="78"/>
      <c r="AN253" s="78"/>
      <c r="AO253" s="190"/>
      <c r="AP253" s="136" t="str">
        <f t="shared" si="28"/>
        <v/>
      </c>
      <c r="AQ253" s="127"/>
      <c r="AR253" s="23"/>
      <c r="AS253" s="94"/>
      <c r="AT253" s="194"/>
      <c r="AU253" s="70">
        <f t="shared" si="26"/>
        <v>3</v>
      </c>
      <c r="AV253" s="70" t="s">
        <v>68</v>
      </c>
    </row>
    <row r="254" spans="1:48" ht="38.25" hidden="1" x14ac:dyDescent="0.2">
      <c r="A254" s="87">
        <v>20231</v>
      </c>
      <c r="B254" s="80" t="s">
        <v>1120</v>
      </c>
      <c r="C254" s="80" t="s">
        <v>271</v>
      </c>
      <c r="D254" s="87"/>
      <c r="E254" s="123" t="s">
        <v>94</v>
      </c>
      <c r="F254" s="140">
        <v>31149</v>
      </c>
      <c r="G254" s="123" t="s">
        <v>726</v>
      </c>
      <c r="H254" s="54" t="s">
        <v>727</v>
      </c>
      <c r="I254" s="123" t="s">
        <v>1801</v>
      </c>
      <c r="J254" s="140">
        <v>37994</v>
      </c>
      <c r="K254" s="123" t="s">
        <v>1778</v>
      </c>
      <c r="L254" s="123" t="s">
        <v>123</v>
      </c>
      <c r="M254" s="123" t="s">
        <v>543</v>
      </c>
      <c r="N254" s="123"/>
      <c r="O254" s="106"/>
      <c r="P254" s="54" t="s">
        <v>1802</v>
      </c>
      <c r="Q254" s="123" t="s">
        <v>1803</v>
      </c>
      <c r="R254" s="123" t="s">
        <v>1804</v>
      </c>
      <c r="S254" s="123"/>
      <c r="T254" s="54" t="s">
        <v>1805</v>
      </c>
      <c r="U254" s="54" t="s">
        <v>1806</v>
      </c>
      <c r="V254" s="123"/>
      <c r="W254" s="123"/>
      <c r="X254" s="123"/>
      <c r="Y254" s="123" t="s">
        <v>1649</v>
      </c>
      <c r="Z254" s="54"/>
      <c r="AA254" s="54"/>
      <c r="AB254" s="54" t="s">
        <v>361</v>
      </c>
      <c r="AC254" s="54" t="s">
        <v>362</v>
      </c>
      <c r="AD254" s="123" t="s">
        <v>1183</v>
      </c>
      <c r="AE254" s="54" t="s">
        <v>1807</v>
      </c>
      <c r="AF254" s="54" t="s">
        <v>231</v>
      </c>
      <c r="AG254" s="140">
        <v>40441</v>
      </c>
      <c r="AH254" s="65">
        <f t="shared" si="23"/>
        <v>9</v>
      </c>
      <c r="AI254" s="65"/>
      <c r="AJ254" s="140">
        <v>40502</v>
      </c>
      <c r="AK254" s="65">
        <f t="shared" si="24"/>
        <v>11</v>
      </c>
      <c r="AL254" s="54" t="s">
        <v>66</v>
      </c>
      <c r="AM254" s="138"/>
      <c r="AN254" s="138"/>
      <c r="AO254" s="140"/>
      <c r="AP254" s="65" t="str">
        <f t="shared" si="28"/>
        <v/>
      </c>
      <c r="AQ254" s="123"/>
      <c r="AR254" s="23"/>
      <c r="AS254" s="54" t="s">
        <v>107</v>
      </c>
      <c r="AT254" s="136"/>
      <c r="AU254" s="70">
        <f t="shared" si="26"/>
        <v>4</v>
      </c>
      <c r="AV254" s="70" t="s">
        <v>68</v>
      </c>
    </row>
    <row r="255" spans="1:48" s="136" customFormat="1" ht="38.25" hidden="1" x14ac:dyDescent="0.2">
      <c r="A255" s="86">
        <v>20232</v>
      </c>
      <c r="B255" s="3" t="s">
        <v>1808</v>
      </c>
      <c r="C255" s="3" t="s">
        <v>364</v>
      </c>
      <c r="D255" s="86"/>
      <c r="E255" s="36" t="s">
        <v>94</v>
      </c>
      <c r="F255" s="48"/>
      <c r="G255" s="36"/>
      <c r="H255" s="81" t="s">
        <v>954</v>
      </c>
      <c r="I255" s="36" t="s">
        <v>1809</v>
      </c>
      <c r="J255" s="48">
        <v>36035</v>
      </c>
      <c r="K255" s="36" t="s">
        <v>954</v>
      </c>
      <c r="L255" s="36" t="s">
        <v>318</v>
      </c>
      <c r="M255" s="36" t="s">
        <v>217</v>
      </c>
      <c r="N255" s="36" t="s">
        <v>320</v>
      </c>
      <c r="O255" s="101"/>
      <c r="P255" s="159" t="s">
        <v>1810</v>
      </c>
      <c r="Q255" s="36"/>
      <c r="R255" s="36" t="s">
        <v>1811</v>
      </c>
      <c r="S255" s="36"/>
      <c r="T255" s="81"/>
      <c r="U255" s="81" t="s">
        <v>1812</v>
      </c>
      <c r="V255" s="36"/>
      <c r="W255" s="36"/>
      <c r="X255" s="36"/>
      <c r="Y255" s="36" t="s">
        <v>294</v>
      </c>
      <c r="Z255" s="81"/>
      <c r="AA255" s="54"/>
      <c r="AB255" s="81" t="s">
        <v>285</v>
      </c>
      <c r="AC255" s="81" t="s">
        <v>236</v>
      </c>
      <c r="AD255" s="36"/>
      <c r="AE255" s="81"/>
      <c r="AF255" s="81" t="s">
        <v>65</v>
      </c>
      <c r="AG255" s="48"/>
      <c r="AH255" s="134" t="str">
        <f t="shared" si="23"/>
        <v/>
      </c>
      <c r="AI255" s="134"/>
      <c r="AJ255" s="48">
        <v>40506</v>
      </c>
      <c r="AK255" s="134">
        <f t="shared" si="24"/>
        <v>11</v>
      </c>
      <c r="AL255" s="54" t="s">
        <v>82</v>
      </c>
      <c r="AM255" s="54"/>
      <c r="AN255" s="54"/>
      <c r="AO255" s="190">
        <v>40625</v>
      </c>
      <c r="AP255" s="136">
        <f t="shared" si="28"/>
        <v>3</v>
      </c>
      <c r="AQ255" s="123"/>
      <c r="AR255" s="23"/>
      <c r="AS255" s="54"/>
      <c r="AT255" s="65"/>
      <c r="AU255" s="70" t="str">
        <f t="shared" si="26"/>
        <v/>
      </c>
      <c r="AV255" s="70" t="s">
        <v>68</v>
      </c>
    </row>
    <row r="256" spans="1:48" ht="25.5" hidden="1" x14ac:dyDescent="0.2">
      <c r="A256" s="86">
        <v>20233</v>
      </c>
      <c r="B256" s="3" t="s">
        <v>1813</v>
      </c>
      <c r="C256" s="3" t="s">
        <v>1226</v>
      </c>
      <c r="D256" s="86"/>
      <c r="E256" s="36" t="s">
        <v>51</v>
      </c>
      <c r="F256" s="48">
        <v>29245</v>
      </c>
      <c r="G256" s="36" t="s">
        <v>52</v>
      </c>
      <c r="H256" s="81" t="s">
        <v>53</v>
      </c>
      <c r="I256" s="36" t="s">
        <v>1814</v>
      </c>
      <c r="J256" s="48">
        <v>39688</v>
      </c>
      <c r="K256" s="36" t="s">
        <v>52</v>
      </c>
      <c r="L256" s="36" t="s">
        <v>123</v>
      </c>
      <c r="M256" s="36" t="s">
        <v>217</v>
      </c>
      <c r="N256" s="36" t="s">
        <v>1815</v>
      </c>
      <c r="O256" s="101"/>
      <c r="P256" s="81" t="s">
        <v>1816</v>
      </c>
      <c r="Q256" s="36" t="s">
        <v>1817</v>
      </c>
      <c r="R256" s="36" t="s">
        <v>1818</v>
      </c>
      <c r="S256" s="36"/>
      <c r="T256" s="81" t="s">
        <v>1819</v>
      </c>
      <c r="U256" s="81" t="s">
        <v>1820</v>
      </c>
      <c r="V256" s="36"/>
      <c r="W256" s="36"/>
      <c r="X256" s="36"/>
      <c r="Y256" s="36" t="s">
        <v>294</v>
      </c>
      <c r="Z256" s="81"/>
      <c r="AA256" s="54"/>
      <c r="AB256" s="81" t="s">
        <v>285</v>
      </c>
      <c r="AC256" s="81" t="s">
        <v>236</v>
      </c>
      <c r="AD256" s="36" t="s">
        <v>168</v>
      </c>
      <c r="AE256" s="81"/>
      <c r="AF256" s="81" t="s">
        <v>65</v>
      </c>
      <c r="AG256" s="48"/>
      <c r="AH256" s="134" t="str">
        <f t="shared" si="23"/>
        <v/>
      </c>
      <c r="AI256" s="134"/>
      <c r="AJ256" s="48">
        <v>40455</v>
      </c>
      <c r="AK256" s="134">
        <f t="shared" si="24"/>
        <v>10</v>
      </c>
      <c r="AL256" s="94" t="s">
        <v>82</v>
      </c>
      <c r="AM256" s="78"/>
      <c r="AN256" s="78"/>
      <c r="AO256" s="190">
        <v>40633</v>
      </c>
      <c r="AP256" s="136">
        <f t="shared" si="28"/>
        <v>3</v>
      </c>
      <c r="AQ256" s="127"/>
      <c r="AR256" s="23"/>
      <c r="AS256" s="54" t="s">
        <v>107</v>
      </c>
      <c r="AT256" s="136"/>
      <c r="AU256" s="70">
        <f t="shared" si="26"/>
        <v>1</v>
      </c>
      <c r="AV256" s="70" t="s">
        <v>68</v>
      </c>
    </row>
    <row r="257" spans="1:48" s="136" customFormat="1" ht="19.5" hidden="1" customHeight="1" x14ac:dyDescent="0.2">
      <c r="A257" s="86">
        <v>20234</v>
      </c>
      <c r="B257" s="3" t="s">
        <v>1821</v>
      </c>
      <c r="C257" s="3" t="s">
        <v>1822</v>
      </c>
      <c r="D257" s="86"/>
      <c r="E257" s="36" t="s">
        <v>51</v>
      </c>
      <c r="F257" s="48">
        <v>30181</v>
      </c>
      <c r="G257" s="36" t="s">
        <v>1045</v>
      </c>
      <c r="H257" s="81" t="s">
        <v>1046</v>
      </c>
      <c r="I257" s="36"/>
      <c r="J257" s="48"/>
      <c r="K257" s="36" t="s">
        <v>1823</v>
      </c>
      <c r="L257" s="36" t="s">
        <v>86</v>
      </c>
      <c r="M257" s="36"/>
      <c r="N257" s="36"/>
      <c r="O257" s="101"/>
      <c r="P257" s="81" t="s">
        <v>1824</v>
      </c>
      <c r="Q257" s="36"/>
      <c r="R257" s="36" t="s">
        <v>1825</v>
      </c>
      <c r="S257" s="36"/>
      <c r="T257" s="81" t="s">
        <v>1826</v>
      </c>
      <c r="U257" s="81" t="s">
        <v>1827</v>
      </c>
      <c r="V257" s="36"/>
      <c r="W257" s="36"/>
      <c r="X257" s="36"/>
      <c r="Y257" s="36"/>
      <c r="Z257" s="81"/>
      <c r="AA257" s="54"/>
      <c r="AB257" s="81"/>
      <c r="AC257" s="81"/>
      <c r="AD257" s="36"/>
      <c r="AE257" s="81"/>
      <c r="AF257" s="81" t="s">
        <v>231</v>
      </c>
      <c r="AG257" s="48"/>
      <c r="AH257" s="134" t="str">
        <f t="shared" si="23"/>
        <v/>
      </c>
      <c r="AI257" s="134"/>
      <c r="AJ257" s="48">
        <v>40455</v>
      </c>
      <c r="AK257" s="134">
        <f t="shared" si="24"/>
        <v>10</v>
      </c>
      <c r="AL257" s="94" t="s">
        <v>82</v>
      </c>
      <c r="AM257" s="78"/>
      <c r="AN257" s="78"/>
      <c r="AO257" s="190"/>
      <c r="AP257" s="136" t="str">
        <f t="shared" si="28"/>
        <v/>
      </c>
      <c r="AQ257" s="127"/>
      <c r="AR257" s="23"/>
      <c r="AS257" s="94"/>
      <c r="AT257" s="184"/>
      <c r="AU257" s="70">
        <f t="shared" si="26"/>
        <v>8</v>
      </c>
      <c r="AV257" s="70" t="s">
        <v>68</v>
      </c>
    </row>
    <row r="258" spans="1:48" s="136" customFormat="1" ht="19.5" hidden="1" customHeight="1" x14ac:dyDescent="0.2">
      <c r="A258" s="86">
        <v>20235</v>
      </c>
      <c r="B258" s="3" t="s">
        <v>1828</v>
      </c>
      <c r="C258" s="3" t="s">
        <v>711</v>
      </c>
      <c r="D258" s="86"/>
      <c r="E258" s="36" t="s">
        <v>51</v>
      </c>
      <c r="F258" s="48">
        <v>31755</v>
      </c>
      <c r="G258" s="36" t="s">
        <v>1829</v>
      </c>
      <c r="H258" s="81" t="s">
        <v>1830</v>
      </c>
      <c r="I258" s="36" t="s">
        <v>1831</v>
      </c>
      <c r="J258" s="48">
        <v>39276</v>
      </c>
      <c r="K258" s="36" t="s">
        <v>1829</v>
      </c>
      <c r="L258" s="36" t="s">
        <v>341</v>
      </c>
      <c r="M258" s="36"/>
      <c r="N258" s="36"/>
      <c r="O258" s="101"/>
      <c r="P258" s="81" t="s">
        <v>1832</v>
      </c>
      <c r="Q258" s="36"/>
      <c r="R258" s="36" t="s">
        <v>1833</v>
      </c>
      <c r="S258" s="36"/>
      <c r="T258" s="81" t="s">
        <v>1834</v>
      </c>
      <c r="U258" s="81" t="s">
        <v>1835</v>
      </c>
      <c r="V258" s="36"/>
      <c r="W258" s="36"/>
      <c r="X258" s="36"/>
      <c r="Y258" s="36" t="s">
        <v>294</v>
      </c>
      <c r="Z258" s="81"/>
      <c r="AA258" s="54"/>
      <c r="AB258" s="81">
        <v>1</v>
      </c>
      <c r="AC258" s="81" t="s">
        <v>236</v>
      </c>
      <c r="AD258" s="36"/>
      <c r="AE258" s="81"/>
      <c r="AF258" s="81" t="s">
        <v>231</v>
      </c>
      <c r="AG258" s="48"/>
      <c r="AH258" s="134" t="str">
        <f t="shared" si="23"/>
        <v/>
      </c>
      <c r="AI258" s="134"/>
      <c r="AJ258" s="48">
        <v>40455</v>
      </c>
      <c r="AK258" s="134">
        <f t="shared" si="24"/>
        <v>10</v>
      </c>
      <c r="AL258" s="94" t="s">
        <v>82</v>
      </c>
      <c r="AM258" s="78"/>
      <c r="AN258" s="78"/>
      <c r="AO258" s="190">
        <v>40974</v>
      </c>
      <c r="AP258" s="136">
        <f t="shared" si="28"/>
        <v>3</v>
      </c>
      <c r="AQ258" s="127"/>
      <c r="AR258" s="23"/>
      <c r="AS258" s="94"/>
      <c r="AT258" s="158"/>
      <c r="AU258" s="70">
        <f t="shared" si="26"/>
        <v>12</v>
      </c>
      <c r="AV258" s="70" t="s">
        <v>68</v>
      </c>
    </row>
    <row r="259" spans="1:48" s="136" customFormat="1" ht="19.5" hidden="1" customHeight="1" x14ac:dyDescent="0.2">
      <c r="A259" s="87">
        <v>20236</v>
      </c>
      <c r="B259" s="80" t="s">
        <v>1836</v>
      </c>
      <c r="C259" s="80" t="s">
        <v>388</v>
      </c>
      <c r="D259" s="87"/>
      <c r="E259" s="123" t="s">
        <v>51</v>
      </c>
      <c r="F259" s="140">
        <v>30618</v>
      </c>
      <c r="G259" s="123" t="s">
        <v>52</v>
      </c>
      <c r="H259" s="54" t="s">
        <v>53</v>
      </c>
      <c r="I259" s="123" t="s">
        <v>1837</v>
      </c>
      <c r="J259" s="140">
        <v>38069</v>
      </c>
      <c r="K259" s="123" t="s">
        <v>52</v>
      </c>
      <c r="L259" s="123" t="s">
        <v>123</v>
      </c>
      <c r="M259" s="123" t="s">
        <v>1838</v>
      </c>
      <c r="N259" s="123" t="s">
        <v>368</v>
      </c>
      <c r="O259" s="106"/>
      <c r="P259" s="54" t="s">
        <v>1839</v>
      </c>
      <c r="Q259" s="123" t="s">
        <v>1840</v>
      </c>
      <c r="R259" s="123" t="s">
        <v>1841</v>
      </c>
      <c r="S259" s="123"/>
      <c r="T259" s="54" t="s">
        <v>1842</v>
      </c>
      <c r="U259" s="54" t="s">
        <v>1842</v>
      </c>
      <c r="V259" s="123"/>
      <c r="W259" s="123"/>
      <c r="X259" s="123"/>
      <c r="Y259" s="123" t="s">
        <v>206</v>
      </c>
      <c r="Z259" s="54"/>
      <c r="AA259" s="54"/>
      <c r="AB259" s="54">
        <v>3</v>
      </c>
      <c r="AC259" s="54" t="s">
        <v>63</v>
      </c>
      <c r="AD259" s="123" t="s">
        <v>129</v>
      </c>
      <c r="AE259" s="54" t="s">
        <v>1843</v>
      </c>
      <c r="AF259" s="54" t="s">
        <v>65</v>
      </c>
      <c r="AG259" s="140">
        <v>40455</v>
      </c>
      <c r="AH259" s="65">
        <f t="shared" ref="AH259:AH321" si="29">IF((AG259=""),"",MONTH(AG259))</f>
        <v>10</v>
      </c>
      <c r="AI259" s="65"/>
      <c r="AJ259" s="140">
        <v>40523</v>
      </c>
      <c r="AK259" s="65">
        <f t="shared" ref="AK259:AK322" si="30">IF((AJ259=""),"",MONTH(AJ259))</f>
        <v>12</v>
      </c>
      <c r="AL259" s="54" t="s">
        <v>66</v>
      </c>
      <c r="AM259" s="138"/>
      <c r="AN259" s="138"/>
      <c r="AO259" s="140"/>
      <c r="AP259" s="65" t="str">
        <f t="shared" si="28"/>
        <v/>
      </c>
      <c r="AQ259" s="123"/>
      <c r="AR259" s="23"/>
      <c r="AS259" s="54" t="s">
        <v>107</v>
      </c>
      <c r="AT259" s="158"/>
      <c r="AU259" s="70">
        <f t="shared" si="26"/>
        <v>10</v>
      </c>
      <c r="AV259" s="70" t="s">
        <v>68</v>
      </c>
    </row>
    <row r="260" spans="1:48" s="136" customFormat="1" ht="25.5" hidden="1" x14ac:dyDescent="0.2">
      <c r="A260" s="87">
        <v>20237</v>
      </c>
      <c r="B260" s="80" t="s">
        <v>1844</v>
      </c>
      <c r="C260" s="80" t="s">
        <v>378</v>
      </c>
      <c r="D260" s="87"/>
      <c r="E260" s="123" t="s">
        <v>94</v>
      </c>
      <c r="F260" s="140">
        <v>31180</v>
      </c>
      <c r="G260" s="123" t="s">
        <v>120</v>
      </c>
      <c r="H260" s="54" t="s">
        <v>121</v>
      </c>
      <c r="I260" s="123" t="s">
        <v>1845</v>
      </c>
      <c r="J260" s="140">
        <v>36761</v>
      </c>
      <c r="K260" s="123" t="s">
        <v>120</v>
      </c>
      <c r="L260" s="123" t="s">
        <v>123</v>
      </c>
      <c r="M260" s="123" t="s">
        <v>448</v>
      </c>
      <c r="N260" s="123" t="s">
        <v>152</v>
      </c>
      <c r="O260" s="106"/>
      <c r="P260" s="54" t="s">
        <v>1846</v>
      </c>
      <c r="Q260" s="123" t="s">
        <v>1847</v>
      </c>
      <c r="R260" s="123" t="s">
        <v>1848</v>
      </c>
      <c r="S260" s="123"/>
      <c r="T260" s="54" t="s">
        <v>1849</v>
      </c>
      <c r="U260" s="54" t="s">
        <v>1850</v>
      </c>
      <c r="V260" s="123"/>
      <c r="W260" s="123"/>
      <c r="X260" s="123"/>
      <c r="Y260" s="123" t="s">
        <v>312</v>
      </c>
      <c r="Z260" s="54"/>
      <c r="AA260" s="54"/>
      <c r="AB260" s="54" t="s">
        <v>285</v>
      </c>
      <c r="AC260" s="54" t="s">
        <v>236</v>
      </c>
      <c r="AD260" s="123" t="s">
        <v>375</v>
      </c>
      <c r="AE260" s="54" t="s">
        <v>475</v>
      </c>
      <c r="AF260" s="54" t="s">
        <v>65</v>
      </c>
      <c r="AG260" s="140">
        <v>40462</v>
      </c>
      <c r="AH260" s="65">
        <f t="shared" si="29"/>
        <v>10</v>
      </c>
      <c r="AI260" s="65"/>
      <c r="AJ260" s="140">
        <v>40523</v>
      </c>
      <c r="AK260" s="65">
        <f t="shared" si="30"/>
        <v>12</v>
      </c>
      <c r="AL260" s="54" t="s">
        <v>66</v>
      </c>
      <c r="AM260" s="138">
        <v>41209</v>
      </c>
      <c r="AN260" s="138"/>
      <c r="AO260" s="140"/>
      <c r="AP260" s="65" t="str">
        <f t="shared" si="28"/>
        <v/>
      </c>
      <c r="AQ260" s="123"/>
      <c r="AR260" s="23"/>
      <c r="AS260" s="54" t="s">
        <v>107</v>
      </c>
      <c r="AT260" s="194"/>
      <c r="AU260" s="70">
        <f t="shared" si="26"/>
        <v>5</v>
      </c>
      <c r="AV260" s="70" t="s">
        <v>68</v>
      </c>
    </row>
    <row r="261" spans="1:48" s="136" customFormat="1" ht="19.5" hidden="1" customHeight="1" x14ac:dyDescent="0.2">
      <c r="A261" s="86">
        <v>20238</v>
      </c>
      <c r="B261" s="3" t="s">
        <v>1851</v>
      </c>
      <c r="C261" s="3" t="s">
        <v>315</v>
      </c>
      <c r="D261" s="86"/>
      <c r="E261" s="36" t="s">
        <v>94</v>
      </c>
      <c r="F261" s="48">
        <v>32436</v>
      </c>
      <c r="G261" s="36"/>
      <c r="H261" s="81" t="s">
        <v>1103</v>
      </c>
      <c r="I261" s="36" t="s">
        <v>1852</v>
      </c>
      <c r="J261" s="48">
        <v>38525</v>
      </c>
      <c r="K261" s="36" t="s">
        <v>1103</v>
      </c>
      <c r="L261" s="36" t="s">
        <v>318</v>
      </c>
      <c r="M261" s="36" t="s">
        <v>1188</v>
      </c>
      <c r="N261" s="36" t="s">
        <v>320</v>
      </c>
      <c r="O261" s="101"/>
      <c r="P261" s="159" t="s">
        <v>1853</v>
      </c>
      <c r="Q261" s="36"/>
      <c r="R261" s="36" t="s">
        <v>1854</v>
      </c>
      <c r="S261" s="36"/>
      <c r="T261" s="81"/>
      <c r="U261" s="81" t="s">
        <v>1855</v>
      </c>
      <c r="V261" s="36"/>
      <c r="W261" s="36"/>
      <c r="X261" s="36"/>
      <c r="Y261" s="36" t="s">
        <v>595</v>
      </c>
      <c r="Z261" s="81"/>
      <c r="AA261" s="54"/>
      <c r="AB261" s="81">
        <v>2</v>
      </c>
      <c r="AC261" s="81" t="s">
        <v>63</v>
      </c>
      <c r="AD261" s="36"/>
      <c r="AE261" s="81"/>
      <c r="AF261" s="81" t="s">
        <v>231</v>
      </c>
      <c r="AG261" s="48"/>
      <c r="AH261" s="134" t="str">
        <f t="shared" si="29"/>
        <v/>
      </c>
      <c r="AI261" s="134"/>
      <c r="AJ261" s="48">
        <v>40531</v>
      </c>
      <c r="AK261" s="134">
        <f t="shared" si="30"/>
        <v>12</v>
      </c>
      <c r="AL261" s="54" t="s">
        <v>82</v>
      </c>
      <c r="AM261" s="54"/>
      <c r="AN261" s="54"/>
      <c r="AO261" s="190"/>
      <c r="AQ261" s="123"/>
      <c r="AR261" s="23"/>
      <c r="AS261" s="54"/>
      <c r="AT261" s="65"/>
      <c r="AU261" s="70">
        <f t="shared" si="26"/>
        <v>10</v>
      </c>
      <c r="AV261" s="70" t="s">
        <v>68</v>
      </c>
    </row>
    <row r="262" spans="1:48" s="136" customFormat="1" ht="19.5" hidden="1" customHeight="1" x14ac:dyDescent="0.2">
      <c r="A262" s="86">
        <v>20239</v>
      </c>
      <c r="B262" s="3" t="s">
        <v>1856</v>
      </c>
      <c r="C262" s="3" t="s">
        <v>287</v>
      </c>
      <c r="D262" s="86"/>
      <c r="E262" s="36" t="s">
        <v>94</v>
      </c>
      <c r="F262" s="48">
        <v>29223</v>
      </c>
      <c r="G262" s="36" t="s">
        <v>365</v>
      </c>
      <c r="H262" s="81" t="s">
        <v>366</v>
      </c>
      <c r="I262" s="36" t="s">
        <v>1857</v>
      </c>
      <c r="J262" s="48">
        <v>37825</v>
      </c>
      <c r="K262" s="36" t="s">
        <v>1829</v>
      </c>
      <c r="L262" s="36" t="s">
        <v>123</v>
      </c>
      <c r="M262" s="36" t="s">
        <v>111</v>
      </c>
      <c r="N262" s="36" t="s">
        <v>1858</v>
      </c>
      <c r="O262" s="101"/>
      <c r="P262" s="81" t="s">
        <v>1859</v>
      </c>
      <c r="Q262" s="36"/>
      <c r="R262" s="36" t="s">
        <v>1860</v>
      </c>
      <c r="S262" s="36"/>
      <c r="T262" s="81" t="s">
        <v>1861</v>
      </c>
      <c r="U262" s="81" t="s">
        <v>1861</v>
      </c>
      <c r="V262" s="36"/>
      <c r="W262" s="36"/>
      <c r="X262" s="36"/>
      <c r="Y262" s="36" t="s">
        <v>294</v>
      </c>
      <c r="Z262" s="81"/>
      <c r="AA262" s="54"/>
      <c r="AB262" s="81">
        <v>1</v>
      </c>
      <c r="AC262" s="81" t="s">
        <v>236</v>
      </c>
      <c r="AD262" s="36" t="s">
        <v>230</v>
      </c>
      <c r="AE262" s="81"/>
      <c r="AF262" s="81" t="s">
        <v>231</v>
      </c>
      <c r="AG262" s="48"/>
      <c r="AH262" s="134" t="str">
        <f t="shared" si="29"/>
        <v/>
      </c>
      <c r="AI262" s="134"/>
      <c r="AJ262" s="48">
        <v>40476</v>
      </c>
      <c r="AK262" s="134">
        <f t="shared" si="30"/>
        <v>10</v>
      </c>
      <c r="AL262" s="94" t="s">
        <v>82</v>
      </c>
      <c r="AM262" s="78"/>
      <c r="AN262" s="78"/>
      <c r="AO262" s="190">
        <v>40544</v>
      </c>
      <c r="AP262" s="136">
        <f t="shared" ref="AP262:AP270" si="31">IF((AO262=""),"",MONTH(AO262))</f>
        <v>1</v>
      </c>
      <c r="AQ262" s="127"/>
      <c r="AR262" s="23"/>
      <c r="AS262" s="94"/>
      <c r="AT262" s="23"/>
      <c r="AU262" s="70">
        <f t="shared" si="26"/>
        <v>1</v>
      </c>
      <c r="AV262" s="70" t="s">
        <v>68</v>
      </c>
    </row>
    <row r="263" spans="1:48" ht="25.5" hidden="1" x14ac:dyDescent="0.2">
      <c r="A263" s="86">
        <v>20240</v>
      </c>
      <c r="B263" s="3" t="s">
        <v>1862</v>
      </c>
      <c r="C263" s="3" t="s">
        <v>778</v>
      </c>
      <c r="D263" s="86"/>
      <c r="E263" s="36" t="s">
        <v>94</v>
      </c>
      <c r="F263" s="48">
        <v>31043</v>
      </c>
      <c r="G263" s="36" t="s">
        <v>1550</v>
      </c>
      <c r="H263" s="81" t="s">
        <v>1678</v>
      </c>
      <c r="I263" s="36" t="s">
        <v>1863</v>
      </c>
      <c r="J263" s="48">
        <v>39496</v>
      </c>
      <c r="K263" s="36" t="s">
        <v>1550</v>
      </c>
      <c r="L263" s="36" t="s">
        <v>123</v>
      </c>
      <c r="M263" s="36" t="s">
        <v>1864</v>
      </c>
      <c r="N263" s="36"/>
      <c r="O263" s="101"/>
      <c r="P263" s="81" t="s">
        <v>1865</v>
      </c>
      <c r="Q263" s="36"/>
      <c r="R263" s="36" t="s">
        <v>1866</v>
      </c>
      <c r="S263" s="36"/>
      <c r="T263" s="81" t="s">
        <v>1867</v>
      </c>
      <c r="U263" s="81" t="s">
        <v>1868</v>
      </c>
      <c r="V263" s="36"/>
      <c r="W263" s="36"/>
      <c r="X263" s="36"/>
      <c r="Y263" s="36" t="s">
        <v>284</v>
      </c>
      <c r="Z263" s="81"/>
      <c r="AA263" s="54"/>
      <c r="AB263" s="81" t="s">
        <v>285</v>
      </c>
      <c r="AC263" s="81" t="s">
        <v>236</v>
      </c>
      <c r="AD263" s="36"/>
      <c r="AE263" s="81"/>
      <c r="AF263" s="81" t="s">
        <v>231</v>
      </c>
      <c r="AG263" s="48"/>
      <c r="AH263" s="134" t="str">
        <f t="shared" si="29"/>
        <v/>
      </c>
      <c r="AI263" s="134"/>
      <c r="AJ263" s="48">
        <v>40476</v>
      </c>
      <c r="AK263" s="134">
        <f t="shared" si="30"/>
        <v>10</v>
      </c>
      <c r="AL263" s="94" t="s">
        <v>82</v>
      </c>
      <c r="AM263" s="78"/>
      <c r="AN263" s="78"/>
      <c r="AO263" s="190">
        <v>40985</v>
      </c>
      <c r="AP263" s="136">
        <f t="shared" si="31"/>
        <v>3</v>
      </c>
      <c r="AQ263" s="127"/>
      <c r="AR263" s="23"/>
      <c r="AS263" s="94"/>
      <c r="AT263" s="136"/>
      <c r="AU263" s="70">
        <f t="shared" si="26"/>
        <v>12</v>
      </c>
      <c r="AV263" s="70" t="s">
        <v>68</v>
      </c>
    </row>
    <row r="264" spans="1:48" s="136" customFormat="1" ht="19.5" hidden="1" customHeight="1" x14ac:dyDescent="0.2">
      <c r="A264" s="87">
        <v>20241</v>
      </c>
      <c r="B264" s="80" t="s">
        <v>1869</v>
      </c>
      <c r="C264" s="80" t="s">
        <v>920</v>
      </c>
      <c r="D264" s="87"/>
      <c r="E264" s="123" t="s">
        <v>94</v>
      </c>
      <c r="F264" s="140">
        <v>32232</v>
      </c>
      <c r="G264" s="123" t="s">
        <v>1870</v>
      </c>
      <c r="H264" s="54" t="s">
        <v>379</v>
      </c>
      <c r="I264" s="123" t="s">
        <v>1871</v>
      </c>
      <c r="J264" s="140">
        <v>39686</v>
      </c>
      <c r="K264" s="123" t="s">
        <v>1870</v>
      </c>
      <c r="L264" s="123" t="s">
        <v>123</v>
      </c>
      <c r="M264" s="123" t="s">
        <v>1213</v>
      </c>
      <c r="N264" s="123"/>
      <c r="O264" s="106"/>
      <c r="P264" s="54" t="s">
        <v>1872</v>
      </c>
      <c r="Q264" s="123"/>
      <c r="R264" s="123" t="s">
        <v>1873</v>
      </c>
      <c r="S264" s="123"/>
      <c r="T264" s="54" t="s">
        <v>1874</v>
      </c>
      <c r="U264" s="54" t="s">
        <v>1875</v>
      </c>
      <c r="V264" s="123"/>
      <c r="W264" s="123"/>
      <c r="X264" s="123"/>
      <c r="Y264" s="123" t="s">
        <v>206</v>
      </c>
      <c r="Z264" s="54"/>
      <c r="AA264" s="54"/>
      <c r="AB264" s="54">
        <v>3</v>
      </c>
      <c r="AC264" s="54" t="s">
        <v>63</v>
      </c>
      <c r="AD264" s="123" t="s">
        <v>866</v>
      </c>
      <c r="AE264" s="54" t="s">
        <v>867</v>
      </c>
      <c r="AF264" s="54" t="s">
        <v>231</v>
      </c>
      <c r="AG264" s="140">
        <v>40476</v>
      </c>
      <c r="AH264" s="65">
        <f t="shared" si="29"/>
        <v>10</v>
      </c>
      <c r="AI264" s="65"/>
      <c r="AJ264" s="140">
        <v>40537</v>
      </c>
      <c r="AK264" s="65">
        <f t="shared" si="30"/>
        <v>12</v>
      </c>
      <c r="AL264" s="54" t="s">
        <v>66</v>
      </c>
      <c r="AM264" s="138"/>
      <c r="AN264" s="65" t="str">
        <f>IF((AM264=""),"",MONTH(AM264))</f>
        <v/>
      </c>
      <c r="AO264" s="140"/>
      <c r="AP264" s="65" t="str">
        <f t="shared" si="31"/>
        <v/>
      </c>
      <c r="AQ264" s="123"/>
      <c r="AR264" s="23"/>
      <c r="AS264" s="54" t="s">
        <v>347</v>
      </c>
      <c r="AT264" s="184"/>
      <c r="AU264" s="70">
        <f t="shared" si="26"/>
        <v>3</v>
      </c>
      <c r="AV264" s="70" t="s">
        <v>68</v>
      </c>
    </row>
    <row r="265" spans="1:48" s="136" customFormat="1" ht="19.5" hidden="1" customHeight="1" x14ac:dyDescent="0.2">
      <c r="A265" s="86">
        <v>20242</v>
      </c>
      <c r="B265" s="3" t="s">
        <v>1876</v>
      </c>
      <c r="C265" s="3" t="s">
        <v>1877</v>
      </c>
      <c r="D265" s="86"/>
      <c r="E265" s="36" t="s">
        <v>94</v>
      </c>
      <c r="F265" s="48">
        <v>31170</v>
      </c>
      <c r="G265" s="36" t="s">
        <v>1878</v>
      </c>
      <c r="H265" s="81" t="s">
        <v>1879</v>
      </c>
      <c r="I265" s="36" t="s">
        <v>1880</v>
      </c>
      <c r="J265" s="48">
        <v>37825</v>
      </c>
      <c r="K265" s="36" t="s">
        <v>1881</v>
      </c>
      <c r="L265" s="36" t="s">
        <v>123</v>
      </c>
      <c r="M265" s="36" t="s">
        <v>1572</v>
      </c>
      <c r="N265" s="36" t="s">
        <v>1256</v>
      </c>
      <c r="O265" s="101"/>
      <c r="P265" s="81" t="s">
        <v>1882</v>
      </c>
      <c r="Q265" s="36"/>
      <c r="R265" s="36" t="s">
        <v>1883</v>
      </c>
      <c r="S265" s="36"/>
      <c r="T265" s="81" t="s">
        <v>1884</v>
      </c>
      <c r="U265" s="81" t="s">
        <v>1885</v>
      </c>
      <c r="V265" s="36"/>
      <c r="W265" s="36"/>
      <c r="X265" s="36"/>
      <c r="Y265" s="36" t="s">
        <v>616</v>
      </c>
      <c r="Z265" s="81"/>
      <c r="AA265" s="54"/>
      <c r="AB265" s="81">
        <v>1</v>
      </c>
      <c r="AC265" s="81" t="s">
        <v>236</v>
      </c>
      <c r="AD265" s="36" t="s">
        <v>230</v>
      </c>
      <c r="AE265" s="81"/>
      <c r="AF265" s="81" t="s">
        <v>231</v>
      </c>
      <c r="AG265" s="48"/>
      <c r="AH265" s="134" t="str">
        <f t="shared" si="29"/>
        <v/>
      </c>
      <c r="AI265" s="134"/>
      <c r="AJ265" s="48">
        <v>40476</v>
      </c>
      <c r="AK265" s="134">
        <f t="shared" si="30"/>
        <v>10</v>
      </c>
      <c r="AL265" s="94" t="s">
        <v>82</v>
      </c>
      <c r="AM265" s="78"/>
      <c r="AN265" s="78"/>
      <c r="AO265" s="190">
        <v>40787</v>
      </c>
      <c r="AP265" s="136">
        <f t="shared" si="31"/>
        <v>9</v>
      </c>
      <c r="AQ265" s="127"/>
      <c r="AR265" s="23"/>
      <c r="AS265" s="94"/>
      <c r="AT265" s="158"/>
      <c r="AU265" s="70">
        <f t="shared" si="26"/>
        <v>5</v>
      </c>
      <c r="AV265" s="70" t="s">
        <v>68</v>
      </c>
    </row>
    <row r="266" spans="1:48" s="136" customFormat="1" ht="19.5" hidden="1" customHeight="1" x14ac:dyDescent="0.2">
      <c r="A266" s="86">
        <v>20243</v>
      </c>
      <c r="B266" s="3" t="s">
        <v>1886</v>
      </c>
      <c r="C266" s="3" t="s">
        <v>1887</v>
      </c>
      <c r="D266" s="86"/>
      <c r="E266" s="36" t="s">
        <v>51</v>
      </c>
      <c r="F266" s="48">
        <v>29549</v>
      </c>
      <c r="G266" s="36" t="s">
        <v>52</v>
      </c>
      <c r="H266" s="81" t="s">
        <v>53</v>
      </c>
      <c r="I266" s="36" t="s">
        <v>1888</v>
      </c>
      <c r="J266" s="48">
        <v>38088</v>
      </c>
      <c r="K266" s="36" t="s">
        <v>52</v>
      </c>
      <c r="L266" s="36" t="s">
        <v>123</v>
      </c>
      <c r="M266" s="36" t="s">
        <v>554</v>
      </c>
      <c r="N266" s="36"/>
      <c r="O266" s="101"/>
      <c r="P266" s="81" t="s">
        <v>1889</v>
      </c>
      <c r="Q266" s="36" t="s">
        <v>1890</v>
      </c>
      <c r="R266" s="36" t="s">
        <v>1891</v>
      </c>
      <c r="S266" s="36"/>
      <c r="T266" s="81" t="s">
        <v>1892</v>
      </c>
      <c r="U266" s="81" t="s">
        <v>1892</v>
      </c>
      <c r="V266" s="36"/>
      <c r="W266" s="36"/>
      <c r="X266" s="36"/>
      <c r="Y266" s="36" t="s">
        <v>294</v>
      </c>
      <c r="Z266" s="81"/>
      <c r="AA266" s="54"/>
      <c r="AB266" s="81" t="s">
        <v>285</v>
      </c>
      <c r="AC266" s="81" t="s">
        <v>236</v>
      </c>
      <c r="AD266" s="36" t="s">
        <v>221</v>
      </c>
      <c r="AE266" s="81"/>
      <c r="AF266" s="81" t="s">
        <v>65</v>
      </c>
      <c r="AG266" s="48"/>
      <c r="AH266" s="134" t="str">
        <f t="shared" si="29"/>
        <v/>
      </c>
      <c r="AI266" s="134"/>
      <c r="AJ266" s="48">
        <v>40476</v>
      </c>
      <c r="AK266" s="134">
        <f t="shared" si="30"/>
        <v>10</v>
      </c>
      <c r="AL266" s="94" t="s">
        <v>82</v>
      </c>
      <c r="AM266" s="78"/>
      <c r="AN266" s="78"/>
      <c r="AO266" s="190">
        <v>40620</v>
      </c>
      <c r="AP266" s="136">
        <f t="shared" si="31"/>
        <v>3</v>
      </c>
      <c r="AQ266" s="127"/>
      <c r="AR266" s="23"/>
      <c r="AS266" s="54" t="s">
        <v>107</v>
      </c>
      <c r="AT266" s="158"/>
      <c r="AU266" s="70">
        <f t="shared" si="26"/>
        <v>11</v>
      </c>
      <c r="AV266" s="70" t="s">
        <v>68</v>
      </c>
    </row>
    <row r="267" spans="1:48" s="136" customFormat="1" ht="19.5" hidden="1" customHeight="1" x14ac:dyDescent="0.2">
      <c r="A267" s="86">
        <v>20244</v>
      </c>
      <c r="B267" s="3" t="s">
        <v>1893</v>
      </c>
      <c r="C267" s="3" t="s">
        <v>271</v>
      </c>
      <c r="D267" s="86"/>
      <c r="E267" s="36" t="s">
        <v>94</v>
      </c>
      <c r="F267" s="48">
        <v>32495</v>
      </c>
      <c r="G267" s="36" t="s">
        <v>412</v>
      </c>
      <c r="H267" s="81" t="s">
        <v>413</v>
      </c>
      <c r="I267" s="36" t="s">
        <v>1894</v>
      </c>
      <c r="J267" s="48">
        <v>39300</v>
      </c>
      <c r="K267" s="36" t="s">
        <v>412</v>
      </c>
      <c r="L267" s="36" t="s">
        <v>123</v>
      </c>
      <c r="M267" s="36" t="s">
        <v>543</v>
      </c>
      <c r="N267" s="36"/>
      <c r="O267" s="101"/>
      <c r="P267" s="81" t="s">
        <v>1895</v>
      </c>
      <c r="Q267" s="36" t="s">
        <v>1896</v>
      </c>
      <c r="R267" s="36" t="s">
        <v>1897</v>
      </c>
      <c r="S267" s="36"/>
      <c r="T267" s="81" t="s">
        <v>1898</v>
      </c>
      <c r="U267" s="81" t="s">
        <v>1899</v>
      </c>
      <c r="V267" s="36"/>
      <c r="W267" s="36"/>
      <c r="X267" s="36"/>
      <c r="Y267" s="36"/>
      <c r="Z267" s="81"/>
      <c r="AA267" s="54"/>
      <c r="AB267" s="81"/>
      <c r="AC267" s="81"/>
      <c r="AD267" s="36"/>
      <c r="AE267" s="81"/>
      <c r="AF267" s="81" t="s">
        <v>65</v>
      </c>
      <c r="AG267" s="48"/>
      <c r="AH267" s="134" t="str">
        <f t="shared" si="29"/>
        <v/>
      </c>
      <c r="AI267" s="134"/>
      <c r="AJ267" s="48">
        <v>40477</v>
      </c>
      <c r="AK267" s="134">
        <f t="shared" si="30"/>
        <v>10</v>
      </c>
      <c r="AL267" s="94" t="s">
        <v>82</v>
      </c>
      <c r="AM267" s="78"/>
      <c r="AN267" s="78"/>
      <c r="AO267" s="190"/>
      <c r="AP267" s="136" t="str">
        <f t="shared" si="31"/>
        <v/>
      </c>
      <c r="AQ267" s="127"/>
      <c r="AR267" s="23"/>
      <c r="AS267" s="94"/>
      <c r="AT267" s="158"/>
      <c r="AU267" s="70">
        <f t="shared" si="26"/>
        <v>12</v>
      </c>
      <c r="AV267" s="70" t="s">
        <v>68</v>
      </c>
    </row>
    <row r="268" spans="1:48" s="136" customFormat="1" ht="19.5" hidden="1" customHeight="1" x14ac:dyDescent="0.2">
      <c r="A268" s="86">
        <v>20245</v>
      </c>
      <c r="B268" s="3" t="s">
        <v>1900</v>
      </c>
      <c r="C268" s="3" t="s">
        <v>778</v>
      </c>
      <c r="D268" s="86"/>
      <c r="E268" s="36" t="s">
        <v>94</v>
      </c>
      <c r="F268" s="48">
        <v>30946</v>
      </c>
      <c r="G268" s="36" t="s">
        <v>815</v>
      </c>
      <c r="H268" s="81" t="s">
        <v>816</v>
      </c>
      <c r="I268" s="36" t="s">
        <v>1901</v>
      </c>
      <c r="J268" s="48">
        <v>36759</v>
      </c>
      <c r="K268" s="36" t="s">
        <v>815</v>
      </c>
      <c r="L268" s="36" t="s">
        <v>123</v>
      </c>
      <c r="M268" s="36" t="s">
        <v>441</v>
      </c>
      <c r="N268" s="36"/>
      <c r="O268" s="101"/>
      <c r="P268" s="81" t="s">
        <v>1902</v>
      </c>
      <c r="Q268" s="36"/>
      <c r="R268" s="36" t="s">
        <v>1903</v>
      </c>
      <c r="S268" s="36"/>
      <c r="T268" s="81" t="s">
        <v>1904</v>
      </c>
      <c r="U268" s="81" t="s">
        <v>1905</v>
      </c>
      <c r="V268" s="36"/>
      <c r="W268" s="36"/>
      <c r="X268" s="36"/>
      <c r="Y268" s="36" t="s">
        <v>284</v>
      </c>
      <c r="Z268" s="81"/>
      <c r="AA268" s="54"/>
      <c r="AB268" s="81" t="s">
        <v>285</v>
      </c>
      <c r="AC268" s="81" t="s">
        <v>236</v>
      </c>
      <c r="AD268" s="36" t="s">
        <v>1166</v>
      </c>
      <c r="AE268" s="81" t="s">
        <v>1906</v>
      </c>
      <c r="AF268" s="81" t="s">
        <v>65</v>
      </c>
      <c r="AG268" s="48">
        <v>40497</v>
      </c>
      <c r="AH268" s="134">
        <f t="shared" si="29"/>
        <v>11</v>
      </c>
      <c r="AI268" s="134"/>
      <c r="AJ268" s="48">
        <v>40497</v>
      </c>
      <c r="AK268" s="134">
        <f t="shared" si="30"/>
        <v>11</v>
      </c>
      <c r="AL268" s="54" t="s">
        <v>82</v>
      </c>
      <c r="AM268" s="138"/>
      <c r="AN268" s="138"/>
      <c r="AO268" s="140">
        <v>41183</v>
      </c>
      <c r="AP268" s="65">
        <f t="shared" si="31"/>
        <v>10</v>
      </c>
      <c r="AQ268" s="123"/>
      <c r="AR268" s="23"/>
      <c r="AS268" s="54" t="s">
        <v>67</v>
      </c>
      <c r="AT268" s="158"/>
      <c r="AU268" s="70">
        <f t="shared" si="26"/>
        <v>9</v>
      </c>
      <c r="AV268" s="70" t="s">
        <v>68</v>
      </c>
    </row>
    <row r="269" spans="1:48" s="136" customFormat="1" ht="19.5" hidden="1" customHeight="1" x14ac:dyDescent="0.2">
      <c r="A269" s="86">
        <v>20246</v>
      </c>
      <c r="B269" s="3" t="s">
        <v>1844</v>
      </c>
      <c r="C269" s="3" t="s">
        <v>667</v>
      </c>
      <c r="D269" s="86"/>
      <c r="E269" s="36" t="s">
        <v>94</v>
      </c>
      <c r="F269" s="48">
        <v>32279</v>
      </c>
      <c r="G269" s="36" t="s">
        <v>303</v>
      </c>
      <c r="H269" s="81" t="s">
        <v>304</v>
      </c>
      <c r="I269" s="36" t="s">
        <v>1907</v>
      </c>
      <c r="J269" s="48">
        <v>40191</v>
      </c>
      <c r="K269" s="36" t="s">
        <v>52</v>
      </c>
      <c r="L269" s="36" t="s">
        <v>123</v>
      </c>
      <c r="M269" s="36" t="s">
        <v>96</v>
      </c>
      <c r="N269" s="36"/>
      <c r="O269" s="101"/>
      <c r="P269" s="81" t="s">
        <v>1908</v>
      </c>
      <c r="Q269" s="36"/>
      <c r="R269" s="36" t="s">
        <v>1909</v>
      </c>
      <c r="S269" s="36"/>
      <c r="T269" s="81" t="s">
        <v>1910</v>
      </c>
      <c r="U269" s="81" t="s">
        <v>1911</v>
      </c>
      <c r="V269" s="36"/>
      <c r="W269" s="36"/>
      <c r="X269" s="36"/>
      <c r="Y269" s="36" t="s">
        <v>616</v>
      </c>
      <c r="Z269" s="81"/>
      <c r="AA269" s="54"/>
      <c r="AB269" s="81">
        <v>1</v>
      </c>
      <c r="AC269" s="81" t="s">
        <v>236</v>
      </c>
      <c r="AD269" s="36" t="s">
        <v>207</v>
      </c>
      <c r="AE269" s="81"/>
      <c r="AF269" s="81" t="s">
        <v>65</v>
      </c>
      <c r="AG269" s="48"/>
      <c r="AH269" s="134" t="str">
        <f t="shared" si="29"/>
        <v/>
      </c>
      <c r="AI269" s="134"/>
      <c r="AJ269" s="48">
        <v>40497</v>
      </c>
      <c r="AK269" s="134">
        <f t="shared" si="30"/>
        <v>11</v>
      </c>
      <c r="AL269" s="94" t="s">
        <v>82</v>
      </c>
      <c r="AM269" s="78"/>
      <c r="AN269" s="78"/>
      <c r="AO269" s="190">
        <v>40868</v>
      </c>
      <c r="AP269" s="136">
        <f t="shared" si="31"/>
        <v>11</v>
      </c>
      <c r="AQ269" s="127"/>
      <c r="AR269" s="23"/>
      <c r="AS269" s="94"/>
      <c r="AT269" s="194"/>
      <c r="AU269" s="70">
        <f t="shared" si="26"/>
        <v>5</v>
      </c>
      <c r="AV269" s="70" t="s">
        <v>68</v>
      </c>
    </row>
    <row r="270" spans="1:48" ht="25.5" hidden="1" x14ac:dyDescent="0.2">
      <c r="A270" s="87">
        <v>20247</v>
      </c>
      <c r="B270" s="80" t="s">
        <v>1912</v>
      </c>
      <c r="C270" s="80" t="s">
        <v>396</v>
      </c>
      <c r="D270" s="87"/>
      <c r="E270" s="123" t="s">
        <v>94</v>
      </c>
      <c r="F270" s="140">
        <v>30950</v>
      </c>
      <c r="G270" s="123" t="s">
        <v>365</v>
      </c>
      <c r="H270" s="54" t="s">
        <v>366</v>
      </c>
      <c r="I270" s="123" t="s">
        <v>1913</v>
      </c>
      <c r="J270" s="140">
        <v>36657</v>
      </c>
      <c r="K270" s="123" t="s">
        <v>365</v>
      </c>
      <c r="L270" s="123" t="s">
        <v>123</v>
      </c>
      <c r="M270" s="123" t="s">
        <v>543</v>
      </c>
      <c r="N270" s="123" t="s">
        <v>544</v>
      </c>
      <c r="O270" s="106"/>
      <c r="P270" s="54" t="s">
        <v>1914</v>
      </c>
      <c r="Q270" s="123"/>
      <c r="R270" s="123" t="s">
        <v>1915</v>
      </c>
      <c r="S270" s="123"/>
      <c r="T270" s="54" t="s">
        <v>1916</v>
      </c>
      <c r="U270" s="54" t="s">
        <v>1917</v>
      </c>
      <c r="V270" s="123"/>
      <c r="W270" s="123"/>
      <c r="X270" s="123"/>
      <c r="Y270" s="123" t="s">
        <v>312</v>
      </c>
      <c r="Z270" s="54"/>
      <c r="AA270" s="54"/>
      <c r="AB270" s="54" t="s">
        <v>285</v>
      </c>
      <c r="AC270" s="54" t="s">
        <v>236</v>
      </c>
      <c r="AD270" s="123" t="s">
        <v>207</v>
      </c>
      <c r="AE270" s="54" t="s">
        <v>585</v>
      </c>
      <c r="AF270" s="54" t="s">
        <v>65</v>
      </c>
      <c r="AG270" s="140">
        <v>40497</v>
      </c>
      <c r="AH270" s="65">
        <f t="shared" si="29"/>
        <v>11</v>
      </c>
      <c r="AI270" s="65"/>
      <c r="AJ270" s="140">
        <v>40527</v>
      </c>
      <c r="AK270" s="65">
        <f t="shared" si="30"/>
        <v>12</v>
      </c>
      <c r="AL270" s="54" t="s">
        <v>66</v>
      </c>
      <c r="AM270" s="138"/>
      <c r="AN270" s="138"/>
      <c r="AO270" s="140"/>
      <c r="AP270" s="65" t="str">
        <f t="shared" si="31"/>
        <v/>
      </c>
      <c r="AQ270" s="123"/>
      <c r="AR270" s="23"/>
      <c r="AS270" s="54" t="s">
        <v>347</v>
      </c>
      <c r="AT270" s="136"/>
      <c r="AU270" s="70">
        <f t="shared" si="26"/>
        <v>9</v>
      </c>
      <c r="AV270" s="70" t="s">
        <v>68</v>
      </c>
    </row>
    <row r="271" spans="1:48" s="136" customFormat="1" ht="19.5" hidden="1" customHeight="1" x14ac:dyDescent="0.2">
      <c r="A271" s="87">
        <v>20248</v>
      </c>
      <c r="B271" s="80" t="s">
        <v>1446</v>
      </c>
      <c r="C271" s="80" t="s">
        <v>920</v>
      </c>
      <c r="D271" s="87"/>
      <c r="E271" s="123" t="s">
        <v>94</v>
      </c>
      <c r="F271" s="140">
        <v>30719</v>
      </c>
      <c r="G271" s="123" t="s">
        <v>171</v>
      </c>
      <c r="H271" s="54" t="s">
        <v>350</v>
      </c>
      <c r="I271" s="123" t="s">
        <v>1918</v>
      </c>
      <c r="J271" s="140">
        <v>37340</v>
      </c>
      <c r="K271" s="123" t="s">
        <v>171</v>
      </c>
      <c r="L271" s="123" t="s">
        <v>123</v>
      </c>
      <c r="M271" s="123" t="s">
        <v>1919</v>
      </c>
      <c r="N271" s="123" t="s">
        <v>1920</v>
      </c>
      <c r="O271" s="106"/>
      <c r="P271" s="54" t="s">
        <v>1921</v>
      </c>
      <c r="Q271" s="123"/>
      <c r="R271" s="123" t="s">
        <v>1922</v>
      </c>
      <c r="S271" s="123"/>
      <c r="T271" s="54" t="s">
        <v>1923</v>
      </c>
      <c r="U271" s="54" t="s">
        <v>1924</v>
      </c>
      <c r="V271" s="123"/>
      <c r="W271" s="123"/>
      <c r="X271" s="123"/>
      <c r="Y271" s="123" t="s">
        <v>206</v>
      </c>
      <c r="Z271" s="54"/>
      <c r="AA271" s="54"/>
      <c r="AB271" s="54">
        <v>3</v>
      </c>
      <c r="AC271" s="54" t="s">
        <v>63</v>
      </c>
      <c r="AD271" s="123" t="s">
        <v>207</v>
      </c>
      <c r="AE271" s="54" t="s">
        <v>1136</v>
      </c>
      <c r="AF271" s="54" t="s">
        <v>65</v>
      </c>
      <c r="AG271" s="140">
        <v>40497</v>
      </c>
      <c r="AH271" s="65">
        <f t="shared" si="29"/>
        <v>11</v>
      </c>
      <c r="AI271" s="65"/>
      <c r="AJ271" s="140">
        <v>40527</v>
      </c>
      <c r="AK271" s="65">
        <f t="shared" si="30"/>
        <v>12</v>
      </c>
      <c r="AL271" s="54" t="s">
        <v>66</v>
      </c>
      <c r="AM271" s="138"/>
      <c r="AN271" s="65" t="str">
        <f>IF((AM271=""),"",MONTH(AM271))</f>
        <v/>
      </c>
      <c r="AO271" s="140"/>
      <c r="AP271" s="65"/>
      <c r="AQ271" s="123"/>
      <c r="AR271" s="23"/>
      <c r="AS271" s="54" t="s">
        <v>347</v>
      </c>
      <c r="AT271" s="184"/>
      <c r="AU271" s="70">
        <f t="shared" si="26"/>
        <v>2</v>
      </c>
      <c r="AV271" s="70" t="s">
        <v>68</v>
      </c>
    </row>
    <row r="272" spans="1:48" s="136" customFormat="1" ht="19.5" hidden="1" customHeight="1" x14ac:dyDescent="0.2">
      <c r="A272" s="86">
        <v>20249</v>
      </c>
      <c r="B272" s="3" t="s">
        <v>1925</v>
      </c>
      <c r="C272" s="3" t="s">
        <v>667</v>
      </c>
      <c r="D272" s="86"/>
      <c r="E272" s="36" t="s">
        <v>94</v>
      </c>
      <c r="F272" s="48">
        <v>31250</v>
      </c>
      <c r="G272" s="36" t="s">
        <v>316</v>
      </c>
      <c r="H272" s="81" t="s">
        <v>323</v>
      </c>
      <c r="I272" s="36" t="s">
        <v>1926</v>
      </c>
      <c r="J272" s="48">
        <v>36516</v>
      </c>
      <c r="K272" s="36" t="s">
        <v>52</v>
      </c>
      <c r="L272" s="36" t="s">
        <v>123</v>
      </c>
      <c r="M272" s="36" t="s">
        <v>124</v>
      </c>
      <c r="N272" s="36" t="s">
        <v>1927</v>
      </c>
      <c r="O272" s="101"/>
      <c r="P272" s="81" t="s">
        <v>1928</v>
      </c>
      <c r="Q272" s="36" t="s">
        <v>1929</v>
      </c>
      <c r="R272" s="36" t="s">
        <v>1930</v>
      </c>
      <c r="S272" s="36"/>
      <c r="T272" s="81" t="s">
        <v>1931</v>
      </c>
      <c r="U272" s="81" t="s">
        <v>1931</v>
      </c>
      <c r="V272" s="36"/>
      <c r="W272" s="36"/>
      <c r="X272" s="36"/>
      <c r="Y272" s="36" t="s">
        <v>374</v>
      </c>
      <c r="Z272" s="81"/>
      <c r="AA272" s="54"/>
      <c r="AB272" s="81">
        <v>3</v>
      </c>
      <c r="AC272" s="81" t="s">
        <v>63</v>
      </c>
      <c r="AD272" s="36"/>
      <c r="AE272" s="81"/>
      <c r="AF272" s="81" t="s">
        <v>65</v>
      </c>
      <c r="AG272" s="48"/>
      <c r="AH272" s="134" t="str">
        <f t="shared" si="29"/>
        <v/>
      </c>
      <c r="AI272" s="134"/>
      <c r="AJ272" s="48">
        <v>40528</v>
      </c>
      <c r="AK272" s="134">
        <f t="shared" si="30"/>
        <v>12</v>
      </c>
      <c r="AL272" s="94" t="s">
        <v>82</v>
      </c>
      <c r="AM272" s="78"/>
      <c r="AN272" s="78"/>
      <c r="AO272" s="190">
        <v>41000</v>
      </c>
      <c r="AP272" s="136">
        <f t="shared" ref="AP272:AP279" si="32">IF((AO272=""),"",MONTH(AO272))</f>
        <v>4</v>
      </c>
      <c r="AQ272" s="127"/>
      <c r="AR272" s="23"/>
      <c r="AS272" s="94"/>
      <c r="AT272" s="158"/>
      <c r="AU272" s="70">
        <f t="shared" si="26"/>
        <v>7</v>
      </c>
      <c r="AV272" s="70" t="s">
        <v>68</v>
      </c>
    </row>
    <row r="273" spans="1:48" s="136" customFormat="1" ht="25.5" hidden="1" x14ac:dyDescent="0.2">
      <c r="A273" s="86">
        <v>20250</v>
      </c>
      <c r="B273" s="3" t="s">
        <v>1932</v>
      </c>
      <c r="C273" s="3" t="s">
        <v>1628</v>
      </c>
      <c r="D273" s="86"/>
      <c r="E273" s="36" t="s">
        <v>51</v>
      </c>
      <c r="F273" s="48">
        <v>19806</v>
      </c>
      <c r="G273" s="36" t="s">
        <v>1045</v>
      </c>
      <c r="H273" s="81" t="s">
        <v>1046</v>
      </c>
      <c r="I273" s="36" t="s">
        <v>1933</v>
      </c>
      <c r="J273" s="48">
        <v>39364</v>
      </c>
      <c r="K273" s="36" t="s">
        <v>1195</v>
      </c>
      <c r="L273" s="36" t="s">
        <v>123</v>
      </c>
      <c r="M273" s="36"/>
      <c r="N273" s="36"/>
      <c r="O273" s="101"/>
      <c r="P273" s="81"/>
      <c r="Q273" s="36" t="s">
        <v>1934</v>
      </c>
      <c r="R273" s="36" t="s">
        <v>1935</v>
      </c>
      <c r="S273" s="36"/>
      <c r="T273" s="81" t="s">
        <v>1936</v>
      </c>
      <c r="U273" s="81" t="s">
        <v>1936</v>
      </c>
      <c r="V273" s="36"/>
      <c r="W273" s="36"/>
      <c r="X273" s="36"/>
      <c r="Y273" s="36" t="s">
        <v>1937</v>
      </c>
      <c r="Z273" s="81"/>
      <c r="AA273" s="54"/>
      <c r="AB273" s="81">
        <v>1</v>
      </c>
      <c r="AC273" s="81" t="s">
        <v>236</v>
      </c>
      <c r="AD273" s="36" t="s">
        <v>1145</v>
      </c>
      <c r="AE273" s="81" t="s">
        <v>1938</v>
      </c>
      <c r="AF273" s="81" t="s">
        <v>231</v>
      </c>
      <c r="AG273" s="48">
        <v>40540</v>
      </c>
      <c r="AH273" s="134">
        <f t="shared" si="29"/>
        <v>12</v>
      </c>
      <c r="AI273" s="134"/>
      <c r="AJ273" s="48">
        <v>40540</v>
      </c>
      <c r="AK273" s="134">
        <f t="shared" si="30"/>
        <v>12</v>
      </c>
      <c r="AL273" s="54" t="s">
        <v>82</v>
      </c>
      <c r="AM273" s="138"/>
      <c r="AN273" s="138"/>
      <c r="AO273" s="140">
        <v>41456</v>
      </c>
      <c r="AP273" s="65">
        <f t="shared" si="32"/>
        <v>7</v>
      </c>
      <c r="AQ273" s="123"/>
      <c r="AR273" s="23"/>
      <c r="AS273" s="54" t="s">
        <v>107</v>
      </c>
      <c r="AT273" s="194"/>
      <c r="AU273" s="70">
        <f t="shared" si="26"/>
        <v>3</v>
      </c>
      <c r="AV273" s="70" t="s">
        <v>68</v>
      </c>
    </row>
    <row r="274" spans="1:48" ht="38.25" hidden="1" x14ac:dyDescent="0.2">
      <c r="A274" s="87">
        <v>20251</v>
      </c>
      <c r="B274" s="80" t="s">
        <v>1939</v>
      </c>
      <c r="C274" s="80" t="s">
        <v>1940</v>
      </c>
      <c r="D274" s="87"/>
      <c r="E274" s="123" t="s">
        <v>94</v>
      </c>
      <c r="F274" s="140">
        <v>31225</v>
      </c>
      <c r="G274" s="123" t="s">
        <v>52</v>
      </c>
      <c r="H274" s="54" t="s">
        <v>53</v>
      </c>
      <c r="I274" s="123" t="s">
        <v>1941</v>
      </c>
      <c r="J274" s="140">
        <v>37641</v>
      </c>
      <c r="K274" s="123" t="s">
        <v>52</v>
      </c>
      <c r="L274" s="123" t="s">
        <v>123</v>
      </c>
      <c r="M274" s="123" t="s">
        <v>96</v>
      </c>
      <c r="N274" s="123"/>
      <c r="O274" s="106"/>
      <c r="P274" s="54" t="s">
        <v>1942</v>
      </c>
      <c r="Q274" s="123"/>
      <c r="R274" s="123" t="s">
        <v>1943</v>
      </c>
      <c r="S274" s="123"/>
      <c r="T274" s="54" t="s">
        <v>1944</v>
      </c>
      <c r="U274" s="54" t="s">
        <v>1945</v>
      </c>
      <c r="V274" s="123"/>
      <c r="W274" s="123"/>
      <c r="X274" s="123"/>
      <c r="Y274" s="123" t="s">
        <v>360</v>
      </c>
      <c r="Z274" s="54"/>
      <c r="AA274" s="54"/>
      <c r="AB274" s="54" t="s">
        <v>361</v>
      </c>
      <c r="AC274" s="54" t="s">
        <v>362</v>
      </c>
      <c r="AD274" s="123" t="s">
        <v>198</v>
      </c>
      <c r="AE274" s="54" t="s">
        <v>484</v>
      </c>
      <c r="AF274" s="54" t="s">
        <v>65</v>
      </c>
      <c r="AG274" s="140">
        <v>40540</v>
      </c>
      <c r="AH274" s="65">
        <f t="shared" si="29"/>
        <v>12</v>
      </c>
      <c r="AI274" s="65"/>
      <c r="AJ274" s="140">
        <v>40603</v>
      </c>
      <c r="AK274" s="65">
        <f t="shared" si="30"/>
        <v>3</v>
      </c>
      <c r="AL274" s="54" t="s">
        <v>66</v>
      </c>
      <c r="AM274" s="164">
        <v>41091</v>
      </c>
      <c r="AN274" s="164">
        <v>41285</v>
      </c>
      <c r="AO274" s="140"/>
      <c r="AP274" s="65" t="str">
        <f t="shared" si="32"/>
        <v/>
      </c>
      <c r="AQ274" s="123"/>
      <c r="AR274" s="23"/>
      <c r="AS274" s="54" t="s">
        <v>107</v>
      </c>
      <c r="AT274" s="136"/>
      <c r="AU274" s="70">
        <f t="shared" si="26"/>
        <v>6</v>
      </c>
      <c r="AV274" s="70" t="s">
        <v>68</v>
      </c>
    </row>
    <row r="275" spans="1:48" s="136" customFormat="1" ht="19.5" hidden="1" customHeight="1" x14ac:dyDescent="0.2">
      <c r="A275" s="87">
        <v>20252</v>
      </c>
      <c r="B275" s="80" t="s">
        <v>801</v>
      </c>
      <c r="C275" s="80" t="s">
        <v>364</v>
      </c>
      <c r="D275" s="87"/>
      <c r="E275" s="123" t="s">
        <v>94</v>
      </c>
      <c r="F275" s="140">
        <v>29441</v>
      </c>
      <c r="G275" s="123" t="s">
        <v>1148</v>
      </c>
      <c r="H275" s="54" t="s">
        <v>1149</v>
      </c>
      <c r="I275" s="123" t="s">
        <v>1946</v>
      </c>
      <c r="J275" s="140">
        <v>41074</v>
      </c>
      <c r="K275" s="123" t="s">
        <v>1105</v>
      </c>
      <c r="L275" s="123" t="s">
        <v>123</v>
      </c>
      <c r="M275" s="123" t="s">
        <v>1152</v>
      </c>
      <c r="N275" s="123"/>
      <c r="O275" s="106"/>
      <c r="P275" s="54" t="s">
        <v>1947</v>
      </c>
      <c r="Q275" s="123"/>
      <c r="R275" s="123" t="s">
        <v>1948</v>
      </c>
      <c r="S275" s="123"/>
      <c r="T275" s="54" t="s">
        <v>1949</v>
      </c>
      <c r="U275" s="54" t="s">
        <v>1949</v>
      </c>
      <c r="V275" s="123"/>
      <c r="W275" s="123"/>
      <c r="X275" s="123"/>
      <c r="Y275" s="123" t="s">
        <v>206</v>
      </c>
      <c r="Z275" s="54"/>
      <c r="AA275" s="54"/>
      <c r="AB275" s="54">
        <v>3</v>
      </c>
      <c r="AC275" s="54" t="s">
        <v>63</v>
      </c>
      <c r="AD275" s="123" t="s">
        <v>1183</v>
      </c>
      <c r="AE275" s="54" t="s">
        <v>1184</v>
      </c>
      <c r="AF275" s="54" t="s">
        <v>231</v>
      </c>
      <c r="AG275" s="140">
        <v>40547</v>
      </c>
      <c r="AH275" s="65">
        <f t="shared" si="29"/>
        <v>1</v>
      </c>
      <c r="AI275" s="65"/>
      <c r="AJ275" s="140">
        <v>40606</v>
      </c>
      <c r="AK275" s="65">
        <f t="shared" si="30"/>
        <v>3</v>
      </c>
      <c r="AL275" s="54" t="s">
        <v>66</v>
      </c>
      <c r="AM275" s="138"/>
      <c r="AN275" s="138"/>
      <c r="AO275" s="140"/>
      <c r="AP275" s="65" t="str">
        <f t="shared" si="32"/>
        <v/>
      </c>
      <c r="AQ275" s="123"/>
      <c r="AR275" s="23"/>
      <c r="AS275" s="54" t="s">
        <v>347</v>
      </c>
      <c r="AT275" s="184"/>
      <c r="AU275" s="70">
        <f t="shared" si="26"/>
        <v>8</v>
      </c>
      <c r="AV275" s="70" t="s">
        <v>68</v>
      </c>
    </row>
    <row r="276" spans="1:48" s="136" customFormat="1" ht="19.5" hidden="1" customHeight="1" x14ac:dyDescent="0.2">
      <c r="A276" s="87">
        <v>20253</v>
      </c>
      <c r="B276" s="80" t="s">
        <v>1950</v>
      </c>
      <c r="C276" s="80" t="s">
        <v>1951</v>
      </c>
      <c r="D276" s="87"/>
      <c r="E276" s="123" t="s">
        <v>94</v>
      </c>
      <c r="F276" s="140">
        <v>26965</v>
      </c>
      <c r="G276" s="123" t="s">
        <v>954</v>
      </c>
      <c r="H276" s="54" t="s">
        <v>955</v>
      </c>
      <c r="I276" s="123" t="s">
        <v>1952</v>
      </c>
      <c r="J276" s="140">
        <v>39147</v>
      </c>
      <c r="K276" s="123" t="s">
        <v>1105</v>
      </c>
      <c r="L276" s="123" t="s">
        <v>123</v>
      </c>
      <c r="M276" s="123" t="s">
        <v>124</v>
      </c>
      <c r="N276" s="123"/>
      <c r="O276" s="106"/>
      <c r="P276" s="54" t="s">
        <v>1953</v>
      </c>
      <c r="Q276" s="123" t="s">
        <v>1954</v>
      </c>
      <c r="R276" s="123" t="s">
        <v>1955</v>
      </c>
      <c r="S276" s="123"/>
      <c r="T276" s="54" t="s">
        <v>1956</v>
      </c>
      <c r="U276" s="54" t="s">
        <v>1956</v>
      </c>
      <c r="V276" s="123"/>
      <c r="W276" s="123"/>
      <c r="X276" s="123"/>
      <c r="Y276" s="123" t="s">
        <v>374</v>
      </c>
      <c r="Z276" s="54"/>
      <c r="AA276" s="54"/>
      <c r="AB276" s="54">
        <v>3</v>
      </c>
      <c r="AC276" s="54" t="s">
        <v>63</v>
      </c>
      <c r="AD276" s="123" t="s">
        <v>1183</v>
      </c>
      <c r="AE276" s="54" t="s">
        <v>1807</v>
      </c>
      <c r="AF276" s="54" t="s">
        <v>231</v>
      </c>
      <c r="AG276" s="140">
        <v>40182</v>
      </c>
      <c r="AH276" s="65">
        <f t="shared" si="29"/>
        <v>1</v>
      </c>
      <c r="AI276" s="65"/>
      <c r="AJ276" s="140">
        <v>40603</v>
      </c>
      <c r="AK276" s="65">
        <f t="shared" si="30"/>
        <v>3</v>
      </c>
      <c r="AL276" s="54" t="s">
        <v>66</v>
      </c>
      <c r="AM276" s="138"/>
      <c r="AN276" s="138"/>
      <c r="AO276" s="140"/>
      <c r="AP276" s="65" t="str">
        <f t="shared" si="32"/>
        <v/>
      </c>
      <c r="AQ276" s="123"/>
      <c r="AR276" s="23"/>
      <c r="AS276" s="54" t="s">
        <v>107</v>
      </c>
      <c r="AT276" s="158"/>
      <c r="AU276" s="70">
        <f t="shared" si="26"/>
        <v>10</v>
      </c>
      <c r="AV276" s="70" t="s">
        <v>68</v>
      </c>
    </row>
    <row r="277" spans="1:48" s="136" customFormat="1" ht="12.75" hidden="1" x14ac:dyDescent="0.2">
      <c r="A277" s="86">
        <v>20254</v>
      </c>
      <c r="B277" s="3" t="s">
        <v>1957</v>
      </c>
      <c r="C277" s="3" t="s">
        <v>685</v>
      </c>
      <c r="D277" s="86"/>
      <c r="E277" s="36" t="s">
        <v>94</v>
      </c>
      <c r="F277" s="48"/>
      <c r="G277" s="36"/>
      <c r="H277" s="81" t="s">
        <v>0</v>
      </c>
      <c r="I277" s="36"/>
      <c r="J277" s="48"/>
      <c r="K277" s="36"/>
      <c r="L277" s="36"/>
      <c r="M277" s="36"/>
      <c r="N277" s="36"/>
      <c r="O277" s="101"/>
      <c r="P277" s="81"/>
      <c r="Q277" s="36"/>
      <c r="R277" s="36"/>
      <c r="S277" s="36"/>
      <c r="T277" s="81" t="s">
        <v>0</v>
      </c>
      <c r="U277" s="81" t="s">
        <v>0</v>
      </c>
      <c r="V277" s="36"/>
      <c r="W277" s="36"/>
      <c r="X277" s="36"/>
      <c r="Y277" s="36"/>
      <c r="Z277" s="81"/>
      <c r="AA277" s="54"/>
      <c r="AB277" s="81"/>
      <c r="AC277" s="81"/>
      <c r="AD277" s="36"/>
      <c r="AE277" s="81"/>
      <c r="AF277" s="81" t="s">
        <v>231</v>
      </c>
      <c r="AG277" s="48"/>
      <c r="AH277" s="134" t="str">
        <f t="shared" si="29"/>
        <v/>
      </c>
      <c r="AI277" s="134"/>
      <c r="AJ277" s="48"/>
      <c r="AK277" s="134" t="str">
        <f t="shared" si="30"/>
        <v/>
      </c>
      <c r="AL277" s="94" t="s">
        <v>82</v>
      </c>
      <c r="AM277" s="78"/>
      <c r="AN277" s="78"/>
      <c r="AO277" s="190"/>
      <c r="AP277" s="136" t="str">
        <f t="shared" si="32"/>
        <v/>
      </c>
      <c r="AQ277" s="127"/>
      <c r="AR277" s="23"/>
      <c r="AS277" s="94"/>
      <c r="AT277" s="158"/>
      <c r="AU277" s="70" t="str">
        <f t="shared" si="26"/>
        <v/>
      </c>
      <c r="AV277" s="70" t="s">
        <v>68</v>
      </c>
    </row>
    <row r="278" spans="1:48" s="136" customFormat="1" ht="19.5" hidden="1" customHeight="1" x14ac:dyDescent="0.2">
      <c r="A278" s="86">
        <v>20255</v>
      </c>
      <c r="B278" s="3" t="s">
        <v>1958</v>
      </c>
      <c r="C278" s="3" t="s">
        <v>223</v>
      </c>
      <c r="D278" s="86"/>
      <c r="E278" s="36" t="s">
        <v>51</v>
      </c>
      <c r="F278" s="48">
        <v>30206</v>
      </c>
      <c r="G278" s="36" t="s">
        <v>231</v>
      </c>
      <c r="H278" s="81" t="s">
        <v>239</v>
      </c>
      <c r="I278" s="36" t="s">
        <v>1959</v>
      </c>
      <c r="J278" s="48">
        <v>35749</v>
      </c>
      <c r="K278" s="36" t="s">
        <v>1195</v>
      </c>
      <c r="L278" s="36" t="s">
        <v>123</v>
      </c>
      <c r="M278" s="36" t="s">
        <v>1960</v>
      </c>
      <c r="N278" s="36"/>
      <c r="O278" s="101"/>
      <c r="P278" s="81" t="s">
        <v>1961</v>
      </c>
      <c r="Q278" s="36" t="s">
        <v>1962</v>
      </c>
      <c r="R278" s="36" t="s">
        <v>1963</v>
      </c>
      <c r="S278" s="36"/>
      <c r="T278" s="81" t="s">
        <v>1964</v>
      </c>
      <c r="U278" s="81" t="s">
        <v>1964</v>
      </c>
      <c r="V278" s="36"/>
      <c r="W278" s="36"/>
      <c r="X278" s="36"/>
      <c r="Y278" s="36" t="s">
        <v>284</v>
      </c>
      <c r="Z278" s="81"/>
      <c r="AA278" s="54"/>
      <c r="AB278" s="81" t="s">
        <v>285</v>
      </c>
      <c r="AC278" s="81" t="s">
        <v>236</v>
      </c>
      <c r="AD278" s="36" t="s">
        <v>230</v>
      </c>
      <c r="AE278" s="81"/>
      <c r="AF278" s="81" t="s">
        <v>231</v>
      </c>
      <c r="AG278" s="48"/>
      <c r="AH278" s="134" t="str">
        <f t="shared" si="29"/>
        <v/>
      </c>
      <c r="AI278" s="134"/>
      <c r="AJ278" s="48">
        <v>40560</v>
      </c>
      <c r="AK278" s="134">
        <f t="shared" si="30"/>
        <v>1</v>
      </c>
      <c r="AL278" s="94" t="s">
        <v>82</v>
      </c>
      <c r="AM278" s="78"/>
      <c r="AN278" s="78"/>
      <c r="AO278" s="190">
        <v>40603</v>
      </c>
      <c r="AP278" s="136">
        <f t="shared" si="32"/>
        <v>3</v>
      </c>
      <c r="AQ278" s="127"/>
      <c r="AR278" s="23"/>
      <c r="AS278" s="94"/>
      <c r="AT278" s="194"/>
      <c r="AU278" s="70">
        <f t="shared" si="26"/>
        <v>9</v>
      </c>
      <c r="AV278" s="70" t="s">
        <v>68</v>
      </c>
    </row>
    <row r="279" spans="1:48" ht="19.5" hidden="1" customHeight="1" x14ac:dyDescent="0.2">
      <c r="A279" s="87">
        <v>20256</v>
      </c>
      <c r="B279" s="80" t="s">
        <v>1965</v>
      </c>
      <c r="C279" s="80" t="s">
        <v>1966</v>
      </c>
      <c r="D279" s="87"/>
      <c r="E279" s="123" t="s">
        <v>94</v>
      </c>
      <c r="F279" s="140">
        <v>31453</v>
      </c>
      <c r="G279" s="123" t="s">
        <v>1967</v>
      </c>
      <c r="H279" s="54" t="s">
        <v>1968</v>
      </c>
      <c r="I279" s="123" t="s">
        <v>1969</v>
      </c>
      <c r="J279" s="140">
        <v>36684</v>
      </c>
      <c r="K279" s="123" t="s">
        <v>1967</v>
      </c>
      <c r="L279" s="123" t="s">
        <v>123</v>
      </c>
      <c r="M279" s="123" t="s">
        <v>859</v>
      </c>
      <c r="N279" s="123"/>
      <c r="O279" s="106"/>
      <c r="P279" s="54" t="s">
        <v>1970</v>
      </c>
      <c r="Q279" s="123" t="s">
        <v>1971</v>
      </c>
      <c r="R279" s="123" t="s">
        <v>1972</v>
      </c>
      <c r="S279" s="123"/>
      <c r="T279" s="54" t="s">
        <v>1973</v>
      </c>
      <c r="U279" s="54" t="s">
        <v>1974</v>
      </c>
      <c r="V279" s="123"/>
      <c r="W279" s="123"/>
      <c r="X279" s="123"/>
      <c r="Y279" s="123" t="s">
        <v>605</v>
      </c>
      <c r="Z279" s="54"/>
      <c r="AA279" s="54"/>
      <c r="AB279" s="54" t="s">
        <v>361</v>
      </c>
      <c r="AC279" s="54" t="s">
        <v>362</v>
      </c>
      <c r="AD279" s="123" t="s">
        <v>866</v>
      </c>
      <c r="AE279" s="54" t="s">
        <v>867</v>
      </c>
      <c r="AF279" s="54" t="s">
        <v>231</v>
      </c>
      <c r="AG279" s="140">
        <v>40560</v>
      </c>
      <c r="AH279" s="65">
        <f t="shared" si="29"/>
        <v>1</v>
      </c>
      <c r="AI279" s="65"/>
      <c r="AJ279" s="140">
        <v>40619</v>
      </c>
      <c r="AK279" s="65">
        <f t="shared" si="30"/>
        <v>3</v>
      </c>
      <c r="AL279" s="54" t="s">
        <v>66</v>
      </c>
      <c r="AM279" s="138"/>
      <c r="AN279" s="138"/>
      <c r="AO279" s="140"/>
      <c r="AP279" s="65" t="str">
        <f t="shared" si="32"/>
        <v/>
      </c>
      <c r="AQ279" s="123"/>
      <c r="AR279" s="23"/>
      <c r="AS279" s="54" t="s">
        <v>347</v>
      </c>
      <c r="AT279" s="136"/>
      <c r="AU279" s="70">
        <f t="shared" si="26"/>
        <v>2</v>
      </c>
      <c r="AV279" s="70" t="s">
        <v>68</v>
      </c>
    </row>
    <row r="280" spans="1:48" s="136" customFormat="1" ht="19.5" hidden="1" customHeight="1" x14ac:dyDescent="0.2">
      <c r="A280" s="86">
        <v>20257</v>
      </c>
      <c r="B280" s="3" t="s">
        <v>199</v>
      </c>
      <c r="C280" s="3" t="s">
        <v>364</v>
      </c>
      <c r="D280" s="86"/>
      <c r="E280" s="36" t="s">
        <v>94</v>
      </c>
      <c r="F280" s="48">
        <v>31477</v>
      </c>
      <c r="G280" s="36"/>
      <c r="H280" s="81" t="s">
        <v>1186</v>
      </c>
      <c r="I280" s="36" t="s">
        <v>1975</v>
      </c>
      <c r="J280" s="48" t="s">
        <v>6353</v>
      </c>
      <c r="K280" s="36" t="s">
        <v>1186</v>
      </c>
      <c r="L280" s="36" t="s">
        <v>318</v>
      </c>
      <c r="M280" s="36" t="s">
        <v>1976</v>
      </c>
      <c r="N280" s="36" t="s">
        <v>320</v>
      </c>
      <c r="O280" s="101"/>
      <c r="P280" s="159" t="s">
        <v>1977</v>
      </c>
      <c r="Q280" s="36"/>
      <c r="R280" s="36" t="s">
        <v>1978</v>
      </c>
      <c r="S280" s="36"/>
      <c r="T280" s="81"/>
      <c r="U280" s="81" t="s">
        <v>1979</v>
      </c>
      <c r="V280" s="36"/>
      <c r="W280" s="36"/>
      <c r="X280" s="36"/>
      <c r="Y280" s="36" t="s">
        <v>284</v>
      </c>
      <c r="Z280" s="81"/>
      <c r="AA280" s="54"/>
      <c r="AB280" s="81" t="s">
        <v>285</v>
      </c>
      <c r="AC280" s="81" t="s">
        <v>236</v>
      </c>
      <c r="AD280" s="36" t="s">
        <v>230</v>
      </c>
      <c r="AE280" s="81" t="s">
        <v>1980</v>
      </c>
      <c r="AF280" s="81" t="s">
        <v>231</v>
      </c>
      <c r="AG280" s="48"/>
      <c r="AH280" s="134" t="str">
        <f t="shared" si="29"/>
        <v/>
      </c>
      <c r="AI280" s="134"/>
      <c r="AJ280" s="48">
        <v>40618</v>
      </c>
      <c r="AK280" s="134">
        <f t="shared" si="30"/>
        <v>3</v>
      </c>
      <c r="AL280" s="54" t="s">
        <v>82</v>
      </c>
      <c r="AM280" s="54"/>
      <c r="AN280" s="54"/>
      <c r="AO280" s="190"/>
      <c r="AQ280" s="123"/>
      <c r="AR280" s="23"/>
      <c r="AS280" s="54"/>
      <c r="AT280" s="65"/>
      <c r="AU280" s="70">
        <f t="shared" si="26"/>
        <v>3</v>
      </c>
      <c r="AV280" s="70" t="s">
        <v>68</v>
      </c>
    </row>
    <row r="281" spans="1:48" s="136" customFormat="1" ht="38.25" hidden="1" x14ac:dyDescent="0.2">
      <c r="A281" s="86">
        <v>20259</v>
      </c>
      <c r="B281" s="3" t="s">
        <v>1981</v>
      </c>
      <c r="C281" s="3" t="s">
        <v>1226</v>
      </c>
      <c r="D281" s="86"/>
      <c r="E281" s="36" t="s">
        <v>51</v>
      </c>
      <c r="F281" s="48">
        <v>32326</v>
      </c>
      <c r="G281" s="36" t="s">
        <v>750</v>
      </c>
      <c r="H281" s="81" t="s">
        <v>751</v>
      </c>
      <c r="I281" s="36" t="s">
        <v>1982</v>
      </c>
      <c r="J281" s="48">
        <v>39304</v>
      </c>
      <c r="K281" s="36" t="s">
        <v>52</v>
      </c>
      <c r="L281" s="36" t="s">
        <v>123</v>
      </c>
      <c r="M281" s="36" t="s">
        <v>124</v>
      </c>
      <c r="N281" s="36"/>
      <c r="O281" s="101"/>
      <c r="P281" s="81" t="s">
        <v>1983</v>
      </c>
      <c r="Q281" s="36" t="s">
        <v>1984</v>
      </c>
      <c r="R281" s="36" t="s">
        <v>1985</v>
      </c>
      <c r="S281" s="36"/>
      <c r="T281" s="81" t="s">
        <v>1986</v>
      </c>
      <c r="U281" s="81" t="s">
        <v>1987</v>
      </c>
      <c r="V281" s="36"/>
      <c r="W281" s="36"/>
      <c r="X281" s="36"/>
      <c r="Y281" s="36" t="s">
        <v>294</v>
      </c>
      <c r="Z281" s="81"/>
      <c r="AA281" s="54"/>
      <c r="AB281" s="81" t="s">
        <v>285</v>
      </c>
      <c r="AC281" s="81" t="s">
        <v>236</v>
      </c>
      <c r="AD281" s="36" t="s">
        <v>1067</v>
      </c>
      <c r="AE281" s="81"/>
      <c r="AF281" s="81" t="s">
        <v>65</v>
      </c>
      <c r="AG281" s="48"/>
      <c r="AH281" s="134" t="str">
        <f t="shared" si="29"/>
        <v/>
      </c>
      <c r="AI281" s="134"/>
      <c r="AJ281" s="48">
        <v>40544</v>
      </c>
      <c r="AK281" s="134">
        <f t="shared" si="30"/>
        <v>1</v>
      </c>
      <c r="AL281" s="94" t="s">
        <v>82</v>
      </c>
      <c r="AM281" s="78"/>
      <c r="AN281" s="78"/>
      <c r="AO281" s="190">
        <v>40618</v>
      </c>
      <c r="AP281" s="136">
        <f t="shared" ref="AP281:AP292" si="33">IF((AO281=""),"",MONTH(AO281))</f>
        <v>3</v>
      </c>
      <c r="AQ281" s="127"/>
      <c r="AR281" s="23"/>
      <c r="AS281" s="94"/>
      <c r="AT281" s="184"/>
      <c r="AU281" s="70">
        <f t="shared" si="26"/>
        <v>7</v>
      </c>
      <c r="AV281" s="70" t="s">
        <v>68</v>
      </c>
    </row>
    <row r="282" spans="1:48" s="136" customFormat="1" ht="19.5" hidden="1" customHeight="1" x14ac:dyDescent="0.2">
      <c r="A282" s="87">
        <v>20260</v>
      </c>
      <c r="B282" s="80" t="s">
        <v>1988</v>
      </c>
      <c r="C282" s="80" t="s">
        <v>643</v>
      </c>
      <c r="D282" s="87"/>
      <c r="E282" s="123" t="s">
        <v>94</v>
      </c>
      <c r="F282" s="140">
        <v>32766</v>
      </c>
      <c r="G282" s="123" t="s">
        <v>52</v>
      </c>
      <c r="H282" s="54" t="s">
        <v>53</v>
      </c>
      <c r="I282" s="123" t="s">
        <v>1989</v>
      </c>
      <c r="J282" s="140">
        <v>37904</v>
      </c>
      <c r="K282" s="123" t="s">
        <v>52</v>
      </c>
      <c r="L282" s="123" t="s">
        <v>341</v>
      </c>
      <c r="M282" s="123" t="s">
        <v>1990</v>
      </c>
      <c r="N282" s="123"/>
      <c r="O282" s="106"/>
      <c r="P282" s="54" t="s">
        <v>1991</v>
      </c>
      <c r="Q282" s="123"/>
      <c r="R282" s="123" t="s">
        <v>1992</v>
      </c>
      <c r="S282" s="123"/>
      <c r="T282" s="54" t="s">
        <v>1993</v>
      </c>
      <c r="U282" s="54" t="s">
        <v>1994</v>
      </c>
      <c r="V282" s="123"/>
      <c r="W282" s="123"/>
      <c r="X282" s="123"/>
      <c r="Y282" s="123" t="s">
        <v>360</v>
      </c>
      <c r="Z282" s="54"/>
      <c r="AA282" s="54"/>
      <c r="AB282" s="54" t="s">
        <v>361</v>
      </c>
      <c r="AC282" s="54" t="s">
        <v>362</v>
      </c>
      <c r="AD282" s="123" t="s">
        <v>1067</v>
      </c>
      <c r="AE282" s="54" t="s">
        <v>1118</v>
      </c>
      <c r="AF282" s="54" t="s">
        <v>65</v>
      </c>
      <c r="AG282" s="140">
        <v>40544</v>
      </c>
      <c r="AH282" s="65">
        <f t="shared" si="29"/>
        <v>1</v>
      </c>
      <c r="AI282" s="65"/>
      <c r="AJ282" s="140">
        <v>40544</v>
      </c>
      <c r="AK282" s="65">
        <f t="shared" si="30"/>
        <v>1</v>
      </c>
      <c r="AL282" s="54" t="s">
        <v>66</v>
      </c>
      <c r="AM282" s="138"/>
      <c r="AN282" s="138"/>
      <c r="AO282" s="140"/>
      <c r="AP282" s="65" t="str">
        <f t="shared" si="33"/>
        <v/>
      </c>
      <c r="AQ282" s="123" t="s">
        <v>1995</v>
      </c>
      <c r="AR282" s="23"/>
      <c r="AS282" s="54" t="s">
        <v>107</v>
      </c>
      <c r="AT282" s="194"/>
      <c r="AU282" s="70">
        <f t="shared" si="26"/>
        <v>9</v>
      </c>
      <c r="AV282" s="70" t="s">
        <v>68</v>
      </c>
    </row>
    <row r="283" spans="1:48" ht="19.5" hidden="1" customHeight="1" x14ac:dyDescent="0.2">
      <c r="A283" s="87">
        <v>20261</v>
      </c>
      <c r="B283" s="80" t="s">
        <v>1996</v>
      </c>
      <c r="C283" s="80" t="s">
        <v>1658</v>
      </c>
      <c r="D283" s="87"/>
      <c r="E283" s="123" t="s">
        <v>94</v>
      </c>
      <c r="F283" s="140">
        <v>32431</v>
      </c>
      <c r="G283" s="123" t="s">
        <v>52</v>
      </c>
      <c r="H283" s="54" t="s">
        <v>53</v>
      </c>
      <c r="I283" s="123" t="s">
        <v>1997</v>
      </c>
      <c r="J283" s="140">
        <v>38849</v>
      </c>
      <c r="K283" s="123" t="s">
        <v>52</v>
      </c>
      <c r="L283" s="123" t="s">
        <v>123</v>
      </c>
      <c r="M283" s="123" t="s">
        <v>1048</v>
      </c>
      <c r="N283" s="123"/>
      <c r="O283" s="106"/>
      <c r="P283" s="54" t="s">
        <v>1998</v>
      </c>
      <c r="Q283" s="123" t="s">
        <v>1999</v>
      </c>
      <c r="R283" s="123" t="s">
        <v>2000</v>
      </c>
      <c r="S283" s="123"/>
      <c r="T283" s="54" t="s">
        <v>2001</v>
      </c>
      <c r="U283" s="54" t="s">
        <v>2001</v>
      </c>
      <c r="V283" s="123"/>
      <c r="W283" s="123"/>
      <c r="X283" s="123"/>
      <c r="Y283" s="123" t="s">
        <v>1649</v>
      </c>
      <c r="Z283" s="54"/>
      <c r="AA283" s="54"/>
      <c r="AB283" s="54" t="s">
        <v>361</v>
      </c>
      <c r="AC283" s="54" t="s">
        <v>362</v>
      </c>
      <c r="AD283" s="123" t="s">
        <v>512</v>
      </c>
      <c r="AE283" s="54" t="s">
        <v>1650</v>
      </c>
      <c r="AF283" s="54" t="s">
        <v>65</v>
      </c>
      <c r="AG283" s="140">
        <v>40575</v>
      </c>
      <c r="AH283" s="65">
        <f t="shared" si="29"/>
        <v>2</v>
      </c>
      <c r="AI283" s="65"/>
      <c r="AJ283" s="140">
        <v>40575</v>
      </c>
      <c r="AK283" s="65">
        <f t="shared" si="30"/>
        <v>2</v>
      </c>
      <c r="AL283" s="54" t="s">
        <v>66</v>
      </c>
      <c r="AM283" s="138"/>
      <c r="AN283" s="138"/>
      <c r="AO283" s="140"/>
      <c r="AP283" s="65" t="str">
        <f t="shared" si="33"/>
        <v/>
      </c>
      <c r="AQ283" s="123"/>
      <c r="AR283" s="23"/>
      <c r="AS283" s="54" t="s">
        <v>107</v>
      </c>
      <c r="AT283" s="136"/>
      <c r="AU283" s="70">
        <f t="shared" si="26"/>
        <v>10</v>
      </c>
      <c r="AV283" s="70" t="s">
        <v>68</v>
      </c>
    </row>
    <row r="284" spans="1:48" s="136" customFormat="1" ht="25.5" hidden="1" x14ac:dyDescent="0.2">
      <c r="A284" s="87">
        <v>20262</v>
      </c>
      <c r="B284" s="80" t="s">
        <v>2002</v>
      </c>
      <c r="C284" s="80" t="s">
        <v>2003</v>
      </c>
      <c r="D284" s="87"/>
      <c r="E284" s="123" t="s">
        <v>51</v>
      </c>
      <c r="F284" s="140">
        <v>32072</v>
      </c>
      <c r="G284" s="123" t="s">
        <v>365</v>
      </c>
      <c r="H284" s="54" t="s">
        <v>366</v>
      </c>
      <c r="I284" s="123" t="s">
        <v>2004</v>
      </c>
      <c r="J284" s="140">
        <v>38356</v>
      </c>
      <c r="K284" s="123" t="s">
        <v>365</v>
      </c>
      <c r="L284" s="123" t="s">
        <v>123</v>
      </c>
      <c r="M284" s="123" t="s">
        <v>217</v>
      </c>
      <c r="N284" s="123"/>
      <c r="O284" s="106"/>
      <c r="P284" s="54" t="s">
        <v>2005</v>
      </c>
      <c r="Q284" s="123" t="s">
        <v>2006</v>
      </c>
      <c r="R284" s="123" t="s">
        <v>2007</v>
      </c>
      <c r="S284" s="123"/>
      <c r="T284" s="54" t="s">
        <v>2008</v>
      </c>
      <c r="U284" s="54" t="s">
        <v>2009</v>
      </c>
      <c r="V284" s="123"/>
      <c r="W284" s="123"/>
      <c r="X284" s="123"/>
      <c r="Y284" s="123" t="s">
        <v>102</v>
      </c>
      <c r="Z284" s="54"/>
      <c r="AA284" s="54"/>
      <c r="AB284" s="54" t="s">
        <v>103</v>
      </c>
      <c r="AC284" s="54" t="s">
        <v>63</v>
      </c>
      <c r="AD284" s="123" t="s">
        <v>181</v>
      </c>
      <c r="AE284" s="54"/>
      <c r="AF284" s="54" t="s">
        <v>65</v>
      </c>
      <c r="AG284" s="140"/>
      <c r="AH284" s="65" t="str">
        <f t="shared" si="29"/>
        <v/>
      </c>
      <c r="AI284" s="65"/>
      <c r="AJ284" s="140">
        <v>41631</v>
      </c>
      <c r="AK284" s="65">
        <f t="shared" si="30"/>
        <v>12</v>
      </c>
      <c r="AL284" s="54" t="s">
        <v>66</v>
      </c>
      <c r="AM284" s="138"/>
      <c r="AN284" s="138"/>
      <c r="AO284" s="140"/>
      <c r="AP284" s="65" t="str">
        <f t="shared" si="33"/>
        <v/>
      </c>
      <c r="AQ284" s="123"/>
      <c r="AR284" s="23"/>
      <c r="AS284" s="54" t="s">
        <v>67</v>
      </c>
      <c r="AT284" s="184"/>
      <c r="AU284" s="70">
        <f t="shared" si="26"/>
        <v>10</v>
      </c>
      <c r="AV284" s="70" t="s">
        <v>68</v>
      </c>
    </row>
    <row r="285" spans="1:48" s="136" customFormat="1" ht="25.5" hidden="1" x14ac:dyDescent="0.2">
      <c r="A285" s="86">
        <v>20263</v>
      </c>
      <c r="B285" s="3" t="s">
        <v>2010</v>
      </c>
      <c r="C285" s="3" t="s">
        <v>2011</v>
      </c>
      <c r="D285" s="86"/>
      <c r="E285" s="36" t="s">
        <v>51</v>
      </c>
      <c r="F285" s="48">
        <v>32468</v>
      </c>
      <c r="G285" s="36" t="s">
        <v>52</v>
      </c>
      <c r="H285" s="81" t="s">
        <v>53</v>
      </c>
      <c r="I285" s="36" t="s">
        <v>2012</v>
      </c>
      <c r="J285" s="48"/>
      <c r="K285" s="36" t="s">
        <v>52</v>
      </c>
      <c r="L285" s="36" t="s">
        <v>123</v>
      </c>
      <c r="M285" s="36" t="s">
        <v>382</v>
      </c>
      <c r="N285" s="36"/>
      <c r="O285" s="101"/>
      <c r="P285" s="81" t="s">
        <v>2013</v>
      </c>
      <c r="Q285" s="36" t="s">
        <v>2014</v>
      </c>
      <c r="R285" s="36" t="s">
        <v>2015</v>
      </c>
      <c r="S285" s="36"/>
      <c r="T285" s="81" t="s">
        <v>2016</v>
      </c>
      <c r="U285" s="81" t="s">
        <v>2016</v>
      </c>
      <c r="V285" s="36"/>
      <c r="W285" s="36"/>
      <c r="X285" s="36"/>
      <c r="Y285" s="36" t="s">
        <v>374</v>
      </c>
      <c r="Z285" s="81"/>
      <c r="AA285" s="54"/>
      <c r="AB285" s="81">
        <v>3</v>
      </c>
      <c r="AC285" s="81" t="s">
        <v>63</v>
      </c>
      <c r="AD285" s="36" t="s">
        <v>2017</v>
      </c>
      <c r="AE285" s="81"/>
      <c r="AF285" s="81" t="s">
        <v>65</v>
      </c>
      <c r="AG285" s="48"/>
      <c r="AH285" s="134" t="str">
        <f t="shared" si="29"/>
        <v/>
      </c>
      <c r="AI285" s="134"/>
      <c r="AJ285" s="48">
        <v>40452</v>
      </c>
      <c r="AK285" s="134">
        <f t="shared" si="30"/>
        <v>10</v>
      </c>
      <c r="AL285" s="94" t="s">
        <v>82</v>
      </c>
      <c r="AM285" s="78"/>
      <c r="AN285" s="78"/>
      <c r="AO285" s="190">
        <v>40544</v>
      </c>
      <c r="AP285" s="136">
        <f t="shared" si="33"/>
        <v>1</v>
      </c>
      <c r="AQ285" s="127"/>
      <c r="AR285" s="23"/>
      <c r="AS285" s="94"/>
      <c r="AT285" s="194"/>
      <c r="AU285" s="70">
        <f t="shared" si="26"/>
        <v>11</v>
      </c>
      <c r="AV285" s="70" t="s">
        <v>68</v>
      </c>
    </row>
    <row r="286" spans="1:48" ht="25.5" hidden="1" x14ac:dyDescent="0.2">
      <c r="A286" s="86">
        <v>20264</v>
      </c>
      <c r="B286" s="3" t="s">
        <v>2018</v>
      </c>
      <c r="C286" s="3" t="s">
        <v>2019</v>
      </c>
      <c r="D286" s="86"/>
      <c r="E286" s="36" t="s">
        <v>51</v>
      </c>
      <c r="F286" s="48">
        <v>32536</v>
      </c>
      <c r="G286" s="36" t="s">
        <v>316</v>
      </c>
      <c r="H286" s="81" t="s">
        <v>323</v>
      </c>
      <c r="I286" s="36" t="s">
        <v>2020</v>
      </c>
      <c r="J286" s="48">
        <v>38091</v>
      </c>
      <c r="K286" s="36" t="s">
        <v>52</v>
      </c>
      <c r="L286" s="36" t="s">
        <v>123</v>
      </c>
      <c r="M286" s="36" t="s">
        <v>217</v>
      </c>
      <c r="N286" s="36"/>
      <c r="O286" s="101"/>
      <c r="P286" s="81" t="s">
        <v>2021</v>
      </c>
      <c r="Q286" s="36" t="s">
        <v>2022</v>
      </c>
      <c r="R286" s="36" t="s">
        <v>2023</v>
      </c>
      <c r="S286" s="36"/>
      <c r="T286" s="81" t="s">
        <v>2024</v>
      </c>
      <c r="U286" s="81" t="s">
        <v>2025</v>
      </c>
      <c r="V286" s="36"/>
      <c r="W286" s="36"/>
      <c r="X286" s="36"/>
      <c r="Y286" s="36" t="s">
        <v>374</v>
      </c>
      <c r="Z286" s="81"/>
      <c r="AA286" s="54"/>
      <c r="AB286" s="81">
        <v>3</v>
      </c>
      <c r="AC286" s="81" t="s">
        <v>63</v>
      </c>
      <c r="AD286" s="36" t="s">
        <v>198</v>
      </c>
      <c r="AE286" s="81" t="s">
        <v>484</v>
      </c>
      <c r="AF286" s="81" t="s">
        <v>65</v>
      </c>
      <c r="AG286" s="48">
        <v>40452</v>
      </c>
      <c r="AH286" s="134">
        <f t="shared" si="29"/>
        <v>10</v>
      </c>
      <c r="AI286" s="134"/>
      <c r="AJ286" s="48">
        <v>40543</v>
      </c>
      <c r="AK286" s="134">
        <f t="shared" si="30"/>
        <v>12</v>
      </c>
      <c r="AL286" s="54" t="s">
        <v>82</v>
      </c>
      <c r="AM286" s="138"/>
      <c r="AN286" s="138"/>
      <c r="AO286" s="140"/>
      <c r="AP286" s="65" t="str">
        <f t="shared" si="33"/>
        <v/>
      </c>
      <c r="AQ286" s="123"/>
      <c r="AR286" s="23"/>
      <c r="AS286" s="54" t="s">
        <v>107</v>
      </c>
      <c r="AT286" s="136"/>
      <c r="AU286" s="70">
        <f t="shared" si="26"/>
        <v>1</v>
      </c>
      <c r="AV286" s="70" t="s">
        <v>68</v>
      </c>
    </row>
    <row r="287" spans="1:48" s="136" customFormat="1" ht="25.5" hidden="1" x14ac:dyDescent="0.2">
      <c r="A287" s="86">
        <v>20265</v>
      </c>
      <c r="B287" s="3" t="s">
        <v>2026</v>
      </c>
      <c r="C287" s="3" t="s">
        <v>2027</v>
      </c>
      <c r="D287" s="86"/>
      <c r="E287" s="36" t="s">
        <v>51</v>
      </c>
      <c r="F287" s="48">
        <v>31698</v>
      </c>
      <c r="G287" s="36" t="s">
        <v>954</v>
      </c>
      <c r="H287" s="81" t="s">
        <v>955</v>
      </c>
      <c r="I287" s="36" t="s">
        <v>2028</v>
      </c>
      <c r="J287" s="48">
        <v>38433</v>
      </c>
      <c r="K287" s="36" t="s">
        <v>954</v>
      </c>
      <c r="L287" s="36" t="s">
        <v>123</v>
      </c>
      <c r="M287" s="36" t="s">
        <v>382</v>
      </c>
      <c r="N287" s="36"/>
      <c r="O287" s="101"/>
      <c r="P287" s="81" t="s">
        <v>2029</v>
      </c>
      <c r="Q287" s="36"/>
      <c r="R287" s="36" t="s">
        <v>2030</v>
      </c>
      <c r="S287" s="36"/>
      <c r="T287" s="81" t="s">
        <v>2031</v>
      </c>
      <c r="U287" s="81" t="s">
        <v>2009</v>
      </c>
      <c r="V287" s="36"/>
      <c r="W287" s="36"/>
      <c r="X287" s="36"/>
      <c r="Y287" s="36" t="s">
        <v>206</v>
      </c>
      <c r="Z287" s="81"/>
      <c r="AA287" s="54"/>
      <c r="AB287" s="81">
        <v>3</v>
      </c>
      <c r="AC287" s="81" t="s">
        <v>63</v>
      </c>
      <c r="AD287" s="36" t="s">
        <v>1166</v>
      </c>
      <c r="AE287" s="81" t="s">
        <v>1906</v>
      </c>
      <c r="AF287" s="81" t="s">
        <v>65</v>
      </c>
      <c r="AG287" s="48">
        <v>40452</v>
      </c>
      <c r="AH287" s="134">
        <f t="shared" si="29"/>
        <v>10</v>
      </c>
      <c r="AI287" s="134"/>
      <c r="AJ287" s="48">
        <v>40543</v>
      </c>
      <c r="AK287" s="134">
        <f t="shared" si="30"/>
        <v>12</v>
      </c>
      <c r="AL287" s="54" t="s">
        <v>82</v>
      </c>
      <c r="AM287" s="138"/>
      <c r="AN287" s="138"/>
      <c r="AO287" s="140"/>
      <c r="AP287" s="65" t="str">
        <f t="shared" si="33"/>
        <v/>
      </c>
      <c r="AQ287" s="123"/>
      <c r="AR287" s="23"/>
      <c r="AS287" s="54" t="s">
        <v>107</v>
      </c>
      <c r="AT287" s="23"/>
      <c r="AU287" s="70">
        <f t="shared" si="26"/>
        <v>10</v>
      </c>
      <c r="AV287" s="70" t="s">
        <v>68</v>
      </c>
    </row>
    <row r="288" spans="1:48" ht="19.5" hidden="1" customHeight="1" x14ac:dyDescent="0.2">
      <c r="A288" s="86">
        <v>20266</v>
      </c>
      <c r="B288" s="3" t="s">
        <v>964</v>
      </c>
      <c r="C288" s="3" t="s">
        <v>514</v>
      </c>
      <c r="D288" s="86"/>
      <c r="E288" s="36" t="s">
        <v>51</v>
      </c>
      <c r="F288" s="48">
        <v>31802</v>
      </c>
      <c r="G288" s="36" t="s">
        <v>895</v>
      </c>
      <c r="H288" s="81" t="s">
        <v>1588</v>
      </c>
      <c r="I288" s="36" t="s">
        <v>2032</v>
      </c>
      <c r="J288" s="48">
        <v>38145</v>
      </c>
      <c r="K288" s="36" t="s">
        <v>895</v>
      </c>
      <c r="L288" s="36" t="s">
        <v>123</v>
      </c>
      <c r="M288" s="36"/>
      <c r="N288" s="36"/>
      <c r="O288" s="101"/>
      <c r="P288" s="81" t="s">
        <v>2033</v>
      </c>
      <c r="Q288" s="36"/>
      <c r="R288" s="36" t="s">
        <v>2034</v>
      </c>
      <c r="S288" s="36"/>
      <c r="T288" s="81" t="s">
        <v>2035</v>
      </c>
      <c r="U288" s="81" t="s">
        <v>2009</v>
      </c>
      <c r="V288" s="36"/>
      <c r="W288" s="36"/>
      <c r="X288" s="36"/>
      <c r="Y288" s="36" t="s">
        <v>294</v>
      </c>
      <c r="Z288" s="81"/>
      <c r="AA288" s="54"/>
      <c r="AB288" s="81">
        <v>1</v>
      </c>
      <c r="AC288" s="81" t="s">
        <v>236</v>
      </c>
      <c r="AD288" s="36"/>
      <c r="AE288" s="81"/>
      <c r="AF288" s="81" t="s">
        <v>65</v>
      </c>
      <c r="AG288" s="48"/>
      <c r="AH288" s="134" t="str">
        <f t="shared" si="29"/>
        <v/>
      </c>
      <c r="AI288" s="134"/>
      <c r="AJ288" s="48">
        <v>40603</v>
      </c>
      <c r="AK288" s="134">
        <f t="shared" si="30"/>
        <v>3</v>
      </c>
      <c r="AL288" s="94" t="s">
        <v>82</v>
      </c>
      <c r="AM288" s="78"/>
      <c r="AN288" s="78"/>
      <c r="AO288" s="190">
        <v>41000</v>
      </c>
      <c r="AP288" s="136">
        <f t="shared" si="33"/>
        <v>4</v>
      </c>
      <c r="AQ288" s="127"/>
      <c r="AR288" s="23"/>
      <c r="AS288" s="94"/>
      <c r="AT288" s="136"/>
      <c r="AU288" s="70">
        <f t="shared" si="26"/>
        <v>1</v>
      </c>
      <c r="AV288" s="70" t="s">
        <v>68</v>
      </c>
    </row>
    <row r="289" spans="1:48" ht="38.25" hidden="1" x14ac:dyDescent="0.2">
      <c r="A289" s="86">
        <v>20267</v>
      </c>
      <c r="B289" s="3" t="s">
        <v>222</v>
      </c>
      <c r="C289" s="3" t="s">
        <v>2036</v>
      </c>
      <c r="D289" s="86"/>
      <c r="E289" s="36" t="s">
        <v>51</v>
      </c>
      <c r="F289" s="48">
        <v>32760</v>
      </c>
      <c r="G289" s="36" t="s">
        <v>412</v>
      </c>
      <c r="H289" s="81" t="s">
        <v>413</v>
      </c>
      <c r="I289" s="36" t="s">
        <v>2037</v>
      </c>
      <c r="J289" s="48">
        <v>38945</v>
      </c>
      <c r="K289" s="36" t="s">
        <v>412</v>
      </c>
      <c r="L289" s="36" t="s">
        <v>341</v>
      </c>
      <c r="M289" s="36" t="s">
        <v>2038</v>
      </c>
      <c r="N289" s="36"/>
      <c r="O289" s="101"/>
      <c r="P289" s="81" t="s">
        <v>2039</v>
      </c>
      <c r="Q289" s="36" t="s">
        <v>2040</v>
      </c>
      <c r="R289" s="36" t="s">
        <v>2041</v>
      </c>
      <c r="S289" s="36"/>
      <c r="T289" s="81" t="s">
        <v>2042</v>
      </c>
      <c r="U289" s="81" t="s">
        <v>2043</v>
      </c>
      <c r="V289" s="36"/>
      <c r="W289" s="36"/>
      <c r="X289" s="36"/>
      <c r="Y289" s="36" t="s">
        <v>595</v>
      </c>
      <c r="Z289" s="81"/>
      <c r="AA289" s="54"/>
      <c r="AB289" s="81">
        <v>1</v>
      </c>
      <c r="AC289" s="81" t="s">
        <v>63</v>
      </c>
      <c r="AD289" s="36" t="s">
        <v>230</v>
      </c>
      <c r="AE289" s="81"/>
      <c r="AF289" s="81" t="s">
        <v>231</v>
      </c>
      <c r="AG289" s="48"/>
      <c r="AH289" s="134" t="str">
        <f t="shared" si="29"/>
        <v/>
      </c>
      <c r="AI289" s="134"/>
      <c r="AJ289" s="48">
        <v>40634</v>
      </c>
      <c r="AK289" s="134">
        <f t="shared" si="30"/>
        <v>4</v>
      </c>
      <c r="AL289" s="94" t="s">
        <v>82</v>
      </c>
      <c r="AM289" s="78"/>
      <c r="AN289" s="78"/>
      <c r="AO289" s="190">
        <v>40892</v>
      </c>
      <c r="AP289" s="136">
        <f t="shared" si="33"/>
        <v>12</v>
      </c>
      <c r="AQ289" s="127"/>
      <c r="AR289" s="23"/>
      <c r="AS289" s="94"/>
      <c r="AT289" s="136"/>
      <c r="AU289" s="70">
        <f t="shared" si="26"/>
        <v>9</v>
      </c>
      <c r="AV289" s="70" t="s">
        <v>68</v>
      </c>
    </row>
    <row r="290" spans="1:48" s="136" customFormat="1" ht="38.25" hidden="1" x14ac:dyDescent="0.2">
      <c r="A290" s="87">
        <v>20268</v>
      </c>
      <c r="B290" s="80" t="s">
        <v>2044</v>
      </c>
      <c r="C290" s="80" t="s">
        <v>2045</v>
      </c>
      <c r="D290" s="87"/>
      <c r="E290" s="123" t="s">
        <v>94</v>
      </c>
      <c r="F290" s="140">
        <v>31317</v>
      </c>
      <c r="G290" s="123" t="s">
        <v>2046</v>
      </c>
      <c r="H290" s="54" t="s">
        <v>2047</v>
      </c>
      <c r="I290" s="123" t="s">
        <v>2048</v>
      </c>
      <c r="J290" s="140">
        <v>38318</v>
      </c>
      <c r="K290" s="123" t="s">
        <v>2049</v>
      </c>
      <c r="L290" s="123" t="s">
        <v>341</v>
      </c>
      <c r="M290" s="123" t="s">
        <v>2050</v>
      </c>
      <c r="N290" s="123"/>
      <c r="O290" s="106"/>
      <c r="P290" s="54" t="s">
        <v>2051</v>
      </c>
      <c r="Q290" s="123"/>
      <c r="R290" s="123" t="s">
        <v>2052</v>
      </c>
      <c r="S290" s="123"/>
      <c r="T290" s="54" t="s">
        <v>2053</v>
      </c>
      <c r="U290" s="54" t="s">
        <v>2054</v>
      </c>
      <c r="V290" s="123"/>
      <c r="W290" s="123"/>
      <c r="X290" s="123"/>
      <c r="Y290" s="123" t="s">
        <v>865</v>
      </c>
      <c r="Z290" s="54"/>
      <c r="AA290" s="54"/>
      <c r="AB290" s="54">
        <v>1</v>
      </c>
      <c r="AC290" s="54" t="s">
        <v>236</v>
      </c>
      <c r="AD290" s="123" t="s">
        <v>866</v>
      </c>
      <c r="AE290" s="54" t="s">
        <v>867</v>
      </c>
      <c r="AF290" s="54" t="s">
        <v>231</v>
      </c>
      <c r="AG290" s="140">
        <v>40634</v>
      </c>
      <c r="AH290" s="65">
        <f t="shared" si="29"/>
        <v>4</v>
      </c>
      <c r="AI290" s="65"/>
      <c r="AJ290" s="140">
        <v>40695</v>
      </c>
      <c r="AK290" s="65">
        <f t="shared" si="30"/>
        <v>6</v>
      </c>
      <c r="AL290" s="54" t="s">
        <v>66</v>
      </c>
      <c r="AM290" s="138"/>
      <c r="AN290" s="138"/>
      <c r="AO290" s="140"/>
      <c r="AP290" s="65" t="str">
        <f t="shared" si="33"/>
        <v/>
      </c>
      <c r="AQ290" s="123"/>
      <c r="AR290" s="23"/>
      <c r="AS290" s="54" t="s">
        <v>347</v>
      </c>
      <c r="AT290" s="23"/>
      <c r="AU290" s="70">
        <f t="shared" si="26"/>
        <v>9</v>
      </c>
      <c r="AV290" s="70" t="s">
        <v>68</v>
      </c>
    </row>
    <row r="291" spans="1:48" ht="38.25" hidden="1" x14ac:dyDescent="0.2">
      <c r="A291" s="86">
        <v>20269</v>
      </c>
      <c r="B291" s="3" t="s">
        <v>894</v>
      </c>
      <c r="C291" s="3" t="s">
        <v>2055</v>
      </c>
      <c r="D291" s="86"/>
      <c r="E291" s="36" t="s">
        <v>51</v>
      </c>
      <c r="F291" s="48">
        <v>30918</v>
      </c>
      <c r="G291" s="36" t="s">
        <v>2056</v>
      </c>
      <c r="H291" s="81" t="s">
        <v>2057</v>
      </c>
      <c r="I291" s="36" t="s">
        <v>2058</v>
      </c>
      <c r="J291" s="48">
        <v>39409</v>
      </c>
      <c r="K291" s="36" t="s">
        <v>2056</v>
      </c>
      <c r="L291" s="36" t="s">
        <v>123</v>
      </c>
      <c r="M291" s="36" t="s">
        <v>1864</v>
      </c>
      <c r="N291" s="36"/>
      <c r="O291" s="101"/>
      <c r="P291" s="81" t="s">
        <v>2059</v>
      </c>
      <c r="Q291" s="36"/>
      <c r="R291" s="36" t="s">
        <v>2060</v>
      </c>
      <c r="S291" s="36"/>
      <c r="T291" s="81" t="s">
        <v>2061</v>
      </c>
      <c r="U291" s="81" t="s">
        <v>2061</v>
      </c>
      <c r="V291" s="36"/>
      <c r="W291" s="36"/>
      <c r="X291" s="36"/>
      <c r="Y291" s="36" t="s">
        <v>294</v>
      </c>
      <c r="Z291" s="81"/>
      <c r="AA291" s="54"/>
      <c r="AB291" s="81">
        <v>1</v>
      </c>
      <c r="AC291" s="81" t="s">
        <v>236</v>
      </c>
      <c r="AD291" s="36" t="s">
        <v>230</v>
      </c>
      <c r="AE291" s="81"/>
      <c r="AF291" s="81" t="s">
        <v>231</v>
      </c>
      <c r="AG291" s="48"/>
      <c r="AH291" s="134" t="str">
        <f t="shared" si="29"/>
        <v/>
      </c>
      <c r="AI291" s="134"/>
      <c r="AJ291" s="48">
        <v>40667</v>
      </c>
      <c r="AK291" s="134">
        <f t="shared" si="30"/>
        <v>5</v>
      </c>
      <c r="AL291" s="94" t="s">
        <v>82</v>
      </c>
      <c r="AM291" s="78"/>
      <c r="AN291" s="78"/>
      <c r="AO291" s="190">
        <v>40674</v>
      </c>
      <c r="AP291" s="136">
        <f t="shared" si="33"/>
        <v>5</v>
      </c>
      <c r="AQ291" s="127"/>
      <c r="AR291" s="23"/>
      <c r="AS291" s="94"/>
      <c r="AT291" s="136"/>
      <c r="AU291" s="70">
        <f t="shared" ref="AU291:AU354" si="34">IF((F291=""),"",MONTH(F291))</f>
        <v>8</v>
      </c>
      <c r="AV291" s="70" t="s">
        <v>68</v>
      </c>
    </row>
    <row r="292" spans="1:48" ht="25.5" hidden="1" x14ac:dyDescent="0.2">
      <c r="A292" s="86">
        <v>20270</v>
      </c>
      <c r="B292" s="3" t="s">
        <v>2062</v>
      </c>
      <c r="C292" s="3" t="s">
        <v>271</v>
      </c>
      <c r="D292" s="86"/>
      <c r="E292" s="36" t="s">
        <v>94</v>
      </c>
      <c r="F292" s="48">
        <v>32263</v>
      </c>
      <c r="G292" s="36" t="s">
        <v>1881</v>
      </c>
      <c r="H292" s="81" t="s">
        <v>2063</v>
      </c>
      <c r="I292" s="36" t="s">
        <v>2064</v>
      </c>
      <c r="J292" s="48">
        <v>38819</v>
      </c>
      <c r="K292" s="36" t="s">
        <v>1045</v>
      </c>
      <c r="L292" s="36" t="s">
        <v>341</v>
      </c>
      <c r="M292" s="36" t="s">
        <v>1403</v>
      </c>
      <c r="N292" s="36"/>
      <c r="O292" s="101"/>
      <c r="P292" s="81" t="s">
        <v>2065</v>
      </c>
      <c r="Q292" s="36"/>
      <c r="R292" s="36" t="s">
        <v>2066</v>
      </c>
      <c r="S292" s="36"/>
      <c r="T292" s="81" t="s">
        <v>2067</v>
      </c>
      <c r="U292" s="81" t="s">
        <v>2068</v>
      </c>
      <c r="V292" s="36"/>
      <c r="W292" s="36"/>
      <c r="X292" s="36"/>
      <c r="Y292" s="36" t="s">
        <v>616</v>
      </c>
      <c r="Z292" s="81"/>
      <c r="AA292" s="54"/>
      <c r="AB292" s="81" t="s">
        <v>285</v>
      </c>
      <c r="AC292" s="81" t="s">
        <v>236</v>
      </c>
      <c r="AD292" s="36" t="s">
        <v>230</v>
      </c>
      <c r="AE292" s="81"/>
      <c r="AF292" s="81" t="s">
        <v>231</v>
      </c>
      <c r="AG292" s="48"/>
      <c r="AH292" s="134" t="str">
        <f t="shared" si="29"/>
        <v/>
      </c>
      <c r="AI292" s="134"/>
      <c r="AJ292" s="48">
        <v>40681</v>
      </c>
      <c r="AK292" s="134">
        <f t="shared" si="30"/>
        <v>5</v>
      </c>
      <c r="AL292" s="94" t="s">
        <v>82</v>
      </c>
      <c r="AM292" s="78"/>
      <c r="AN292" s="78"/>
      <c r="AO292" s="190">
        <v>40722</v>
      </c>
      <c r="AP292" s="136">
        <f t="shared" si="33"/>
        <v>6</v>
      </c>
      <c r="AQ292" s="127"/>
      <c r="AR292" s="23"/>
      <c r="AS292" s="94"/>
      <c r="AT292" s="136"/>
      <c r="AU292" s="70">
        <f t="shared" si="34"/>
        <v>4</v>
      </c>
      <c r="AV292" s="70" t="s">
        <v>68</v>
      </c>
    </row>
    <row r="293" spans="1:48" s="136" customFormat="1" ht="19.5" hidden="1" customHeight="1" x14ac:dyDescent="0.2">
      <c r="A293" s="86">
        <v>20271</v>
      </c>
      <c r="B293" s="3" t="s">
        <v>265</v>
      </c>
      <c r="C293" s="3" t="s">
        <v>2069</v>
      </c>
      <c r="D293" s="86"/>
      <c r="E293" s="36" t="s">
        <v>94</v>
      </c>
      <c r="F293" s="48">
        <v>31522</v>
      </c>
      <c r="G293" s="36"/>
      <c r="H293" s="81" t="s">
        <v>856</v>
      </c>
      <c r="I293" s="36" t="s">
        <v>2070</v>
      </c>
      <c r="J293" s="48" t="s">
        <v>6353</v>
      </c>
      <c r="K293" s="36" t="s">
        <v>856</v>
      </c>
      <c r="L293" s="36" t="s">
        <v>318</v>
      </c>
      <c r="M293" s="36" t="s">
        <v>2071</v>
      </c>
      <c r="N293" s="36" t="s">
        <v>320</v>
      </c>
      <c r="O293" s="101"/>
      <c r="P293" s="159" t="s">
        <v>2072</v>
      </c>
      <c r="Q293" s="36"/>
      <c r="R293" s="36" t="s">
        <v>2073</v>
      </c>
      <c r="S293" s="36"/>
      <c r="T293" s="81"/>
      <c r="U293" s="81" t="s">
        <v>2074</v>
      </c>
      <c r="V293" s="36"/>
      <c r="W293" s="36"/>
      <c r="X293" s="36"/>
      <c r="Y293" s="36" t="s">
        <v>284</v>
      </c>
      <c r="Z293" s="81"/>
      <c r="AA293" s="54"/>
      <c r="AB293" s="81" t="s">
        <v>285</v>
      </c>
      <c r="AC293" s="81" t="s">
        <v>236</v>
      </c>
      <c r="AD293" s="36" t="s">
        <v>230</v>
      </c>
      <c r="AE293" s="81" t="s">
        <v>839</v>
      </c>
      <c r="AF293" s="81" t="s">
        <v>231</v>
      </c>
      <c r="AG293" s="48"/>
      <c r="AH293" s="134" t="str">
        <f t="shared" si="29"/>
        <v/>
      </c>
      <c r="AI293" s="134"/>
      <c r="AJ293" s="48">
        <v>40742</v>
      </c>
      <c r="AK293" s="134">
        <f t="shared" si="30"/>
        <v>7</v>
      </c>
      <c r="AL293" s="54" t="s">
        <v>82</v>
      </c>
      <c r="AM293" s="54"/>
      <c r="AN293" s="54"/>
      <c r="AO293" s="190"/>
      <c r="AQ293" s="123"/>
      <c r="AR293" s="23"/>
      <c r="AS293" s="54"/>
      <c r="AT293" s="65"/>
      <c r="AU293" s="70">
        <f t="shared" si="34"/>
        <v>4</v>
      </c>
      <c r="AV293" s="70" t="s">
        <v>68</v>
      </c>
    </row>
    <row r="294" spans="1:48" ht="25.5" hidden="1" x14ac:dyDescent="0.2">
      <c r="A294" s="86">
        <v>20272</v>
      </c>
      <c r="B294" s="3" t="s">
        <v>2075</v>
      </c>
      <c r="C294" s="3" t="s">
        <v>893</v>
      </c>
      <c r="D294" s="86"/>
      <c r="E294" s="36" t="s">
        <v>94</v>
      </c>
      <c r="F294" s="48">
        <v>32489</v>
      </c>
      <c r="G294" s="36" t="s">
        <v>921</v>
      </c>
      <c r="H294" s="81" t="s">
        <v>922</v>
      </c>
      <c r="I294" s="36" t="s">
        <v>2076</v>
      </c>
      <c r="J294" s="48">
        <v>38422</v>
      </c>
      <c r="K294" s="36" t="s">
        <v>921</v>
      </c>
      <c r="L294" s="36" t="s">
        <v>123</v>
      </c>
      <c r="M294" s="36" t="s">
        <v>1704</v>
      </c>
      <c r="N294" s="36"/>
      <c r="O294" s="101"/>
      <c r="P294" s="81" t="s">
        <v>2077</v>
      </c>
      <c r="Q294" s="36"/>
      <c r="R294" s="36" t="s">
        <v>2078</v>
      </c>
      <c r="S294" s="36"/>
      <c r="T294" s="81" t="s">
        <v>2079</v>
      </c>
      <c r="U294" s="81" t="s">
        <v>2080</v>
      </c>
      <c r="V294" s="36"/>
      <c r="W294" s="36"/>
      <c r="X294" s="36"/>
      <c r="Y294" s="36" t="s">
        <v>294</v>
      </c>
      <c r="Z294" s="81"/>
      <c r="AA294" s="54"/>
      <c r="AB294" s="81" t="s">
        <v>285</v>
      </c>
      <c r="AC294" s="81" t="s">
        <v>236</v>
      </c>
      <c r="AD294" s="36" t="s">
        <v>230</v>
      </c>
      <c r="AE294" s="81"/>
      <c r="AF294" s="81" t="s">
        <v>231</v>
      </c>
      <c r="AG294" s="48"/>
      <c r="AH294" s="134" t="str">
        <f t="shared" si="29"/>
        <v/>
      </c>
      <c r="AI294" s="134"/>
      <c r="AJ294" s="48">
        <v>40695</v>
      </c>
      <c r="AK294" s="134">
        <f t="shared" si="30"/>
        <v>6</v>
      </c>
      <c r="AL294" s="94" t="s">
        <v>82</v>
      </c>
      <c r="AM294" s="78"/>
      <c r="AN294" s="78"/>
      <c r="AO294" s="190">
        <v>40755</v>
      </c>
      <c r="AP294" s="136">
        <f>IF((AO294=""),"",MONTH(AO294))</f>
        <v>7</v>
      </c>
      <c r="AQ294" s="127"/>
      <c r="AR294" s="23"/>
      <c r="AS294" s="94"/>
      <c r="AT294" s="136"/>
      <c r="AU294" s="70">
        <f t="shared" si="34"/>
        <v>12</v>
      </c>
      <c r="AV294" s="70" t="s">
        <v>68</v>
      </c>
    </row>
    <row r="295" spans="1:48" s="136" customFormat="1" ht="25.5" hidden="1" x14ac:dyDescent="0.2">
      <c r="A295" s="86">
        <v>20273</v>
      </c>
      <c r="B295" s="3" t="s">
        <v>2081</v>
      </c>
      <c r="C295" s="3" t="s">
        <v>2082</v>
      </c>
      <c r="D295" s="86"/>
      <c r="E295" s="36" t="s">
        <v>51</v>
      </c>
      <c r="F295" s="48">
        <v>30482</v>
      </c>
      <c r="G295" s="36" t="s">
        <v>171</v>
      </c>
      <c r="H295" s="81" t="s">
        <v>350</v>
      </c>
      <c r="I295" s="36" t="s">
        <v>2083</v>
      </c>
      <c r="J295" s="48">
        <v>36675</v>
      </c>
      <c r="K295" s="36" t="s">
        <v>52</v>
      </c>
      <c r="L295" s="36" t="s">
        <v>123</v>
      </c>
      <c r="M295" s="36" t="s">
        <v>124</v>
      </c>
      <c r="N295" s="36"/>
      <c r="O295" s="101"/>
      <c r="P295" s="81" t="s">
        <v>2084</v>
      </c>
      <c r="Q295" s="36"/>
      <c r="R295" s="36" t="s">
        <v>2085</v>
      </c>
      <c r="S295" s="36"/>
      <c r="T295" s="81" t="s">
        <v>2086</v>
      </c>
      <c r="U295" s="81" t="s">
        <v>2086</v>
      </c>
      <c r="V295" s="36"/>
      <c r="W295" s="36"/>
      <c r="X295" s="36"/>
      <c r="Y295" s="36" t="s">
        <v>284</v>
      </c>
      <c r="Z295" s="81"/>
      <c r="AA295" s="54"/>
      <c r="AB295" s="81" t="s">
        <v>285</v>
      </c>
      <c r="AC295" s="81" t="s">
        <v>236</v>
      </c>
      <c r="AD295" s="36"/>
      <c r="AE295" s="81"/>
      <c r="AF295" s="81" t="s">
        <v>65</v>
      </c>
      <c r="AG295" s="48"/>
      <c r="AH295" s="134" t="str">
        <f t="shared" si="29"/>
        <v/>
      </c>
      <c r="AI295" s="134"/>
      <c r="AJ295" s="48">
        <v>40695</v>
      </c>
      <c r="AK295" s="134">
        <f t="shared" si="30"/>
        <v>6</v>
      </c>
      <c r="AL295" s="94" t="s">
        <v>82</v>
      </c>
      <c r="AM295" s="78"/>
      <c r="AN295" s="78"/>
      <c r="AO295" s="190">
        <v>41122</v>
      </c>
      <c r="AP295" s="136">
        <f>IF((AO295=""),"",MONTH(AO295))</f>
        <v>8</v>
      </c>
      <c r="AQ295" s="127"/>
      <c r="AR295" s="23"/>
      <c r="AS295" s="94"/>
      <c r="AT295" s="23"/>
      <c r="AU295" s="70">
        <f t="shared" si="34"/>
        <v>6</v>
      </c>
      <c r="AV295" s="70" t="s">
        <v>68</v>
      </c>
    </row>
    <row r="296" spans="1:48" ht="38.25" hidden="1" x14ac:dyDescent="0.2">
      <c r="A296" s="86">
        <v>20274</v>
      </c>
      <c r="B296" s="3" t="s">
        <v>199</v>
      </c>
      <c r="C296" s="3" t="s">
        <v>1428</v>
      </c>
      <c r="D296" s="86"/>
      <c r="E296" s="36" t="s">
        <v>94</v>
      </c>
      <c r="F296" s="48">
        <v>31340</v>
      </c>
      <c r="G296" s="36" t="s">
        <v>303</v>
      </c>
      <c r="H296" s="81" t="s">
        <v>304</v>
      </c>
      <c r="I296" s="36" t="s">
        <v>2087</v>
      </c>
      <c r="J296" s="48">
        <v>37414</v>
      </c>
      <c r="K296" s="36" t="s">
        <v>303</v>
      </c>
      <c r="L296" s="36" t="s">
        <v>123</v>
      </c>
      <c r="M296" s="36" t="s">
        <v>124</v>
      </c>
      <c r="N296" s="36" t="s">
        <v>2088</v>
      </c>
      <c r="O296" s="101"/>
      <c r="P296" s="81" t="s">
        <v>2089</v>
      </c>
      <c r="Q296" s="36"/>
      <c r="R296" s="36" t="s">
        <v>2090</v>
      </c>
      <c r="S296" s="36"/>
      <c r="T296" s="81" t="s">
        <v>2091</v>
      </c>
      <c r="U296" s="81" t="s">
        <v>2091</v>
      </c>
      <c r="V296" s="36"/>
      <c r="W296" s="36"/>
      <c r="X296" s="36"/>
      <c r="Y296" s="36" t="s">
        <v>616</v>
      </c>
      <c r="Z296" s="81"/>
      <c r="AA296" s="54"/>
      <c r="AB296" s="81" t="s">
        <v>285</v>
      </c>
      <c r="AC296" s="81" t="s">
        <v>236</v>
      </c>
      <c r="AD296" s="36" t="s">
        <v>207</v>
      </c>
      <c r="AE296" s="81" t="s">
        <v>585</v>
      </c>
      <c r="AF296" s="81" t="s">
        <v>65</v>
      </c>
      <c r="AG296" s="48">
        <v>40695</v>
      </c>
      <c r="AH296" s="134">
        <f t="shared" si="29"/>
        <v>6</v>
      </c>
      <c r="AI296" s="134"/>
      <c r="AJ296" s="48">
        <v>40757</v>
      </c>
      <c r="AK296" s="134">
        <f t="shared" si="30"/>
        <v>8</v>
      </c>
      <c r="AL296" s="54" t="s">
        <v>82</v>
      </c>
      <c r="AM296" s="138">
        <v>41244</v>
      </c>
      <c r="AN296" s="138">
        <v>41435</v>
      </c>
      <c r="AO296" s="140">
        <v>41512</v>
      </c>
      <c r="AP296" s="23"/>
      <c r="AQ296" s="123"/>
      <c r="AR296" s="23"/>
      <c r="AS296" s="54" t="s">
        <v>347</v>
      </c>
      <c r="AT296" s="136"/>
      <c r="AU296" s="70">
        <f t="shared" si="34"/>
        <v>10</v>
      </c>
      <c r="AV296" s="70" t="s">
        <v>68</v>
      </c>
    </row>
    <row r="297" spans="1:48" s="136" customFormat="1" ht="25.5" hidden="1" x14ac:dyDescent="0.2">
      <c r="A297" s="87">
        <v>20275</v>
      </c>
      <c r="B297" s="80" t="s">
        <v>2092</v>
      </c>
      <c r="C297" s="80" t="s">
        <v>1102</v>
      </c>
      <c r="D297" s="87"/>
      <c r="E297" s="123" t="s">
        <v>94</v>
      </c>
      <c r="F297" s="140">
        <v>32875</v>
      </c>
      <c r="G297" s="123" t="s">
        <v>397</v>
      </c>
      <c r="H297" s="54" t="s">
        <v>398</v>
      </c>
      <c r="I297" s="123" t="s">
        <v>2093</v>
      </c>
      <c r="J297" s="140">
        <v>38052</v>
      </c>
      <c r="K297" s="123" t="s">
        <v>397</v>
      </c>
      <c r="L297" s="123" t="s">
        <v>123</v>
      </c>
      <c r="M297" s="123" t="s">
        <v>382</v>
      </c>
      <c r="N297" s="123" t="s">
        <v>2094</v>
      </c>
      <c r="O297" s="106"/>
      <c r="P297" s="54" t="s">
        <v>2095</v>
      </c>
      <c r="Q297" s="123" t="s">
        <v>2096</v>
      </c>
      <c r="R297" s="123" t="s">
        <v>2097</v>
      </c>
      <c r="S297" s="123"/>
      <c r="T297" s="54" t="s">
        <v>2098</v>
      </c>
      <c r="U297" s="54" t="s">
        <v>2098</v>
      </c>
      <c r="V297" s="123"/>
      <c r="W297" s="123"/>
      <c r="X297" s="123"/>
      <c r="Y297" s="123" t="s">
        <v>312</v>
      </c>
      <c r="Z297" s="54"/>
      <c r="AA297" s="54"/>
      <c r="AB297" s="54" t="s">
        <v>285</v>
      </c>
      <c r="AC297" s="54" t="s">
        <v>236</v>
      </c>
      <c r="AD297" s="123" t="s">
        <v>375</v>
      </c>
      <c r="AE297" s="54" t="s">
        <v>2099</v>
      </c>
      <c r="AF297" s="54" t="s">
        <v>65</v>
      </c>
      <c r="AG297" s="140"/>
      <c r="AH297" s="65" t="str">
        <f t="shared" si="29"/>
        <v/>
      </c>
      <c r="AI297" s="65"/>
      <c r="AJ297" s="140">
        <v>40707</v>
      </c>
      <c r="AK297" s="65">
        <f t="shared" si="30"/>
        <v>6</v>
      </c>
      <c r="AL297" s="54" t="s">
        <v>66</v>
      </c>
      <c r="AM297" s="138"/>
      <c r="AN297" s="138"/>
      <c r="AO297" s="140"/>
      <c r="AP297" s="65" t="str">
        <f>IF((AO297=""),"",MONTH(AO297))</f>
        <v/>
      </c>
      <c r="AQ297" s="123"/>
      <c r="AR297" s="23"/>
      <c r="AS297" s="54" t="s">
        <v>107</v>
      </c>
      <c r="AT297" s="23"/>
      <c r="AU297" s="70">
        <f t="shared" si="34"/>
        <v>1</v>
      </c>
      <c r="AV297" s="70" t="s">
        <v>68</v>
      </c>
    </row>
    <row r="298" spans="1:48" s="136" customFormat="1" ht="25.5" hidden="1" x14ac:dyDescent="0.2">
      <c r="A298" s="86">
        <v>20276</v>
      </c>
      <c r="B298" s="3" t="s">
        <v>130</v>
      </c>
      <c r="C298" s="3" t="s">
        <v>667</v>
      </c>
      <c r="D298" s="86"/>
      <c r="E298" s="36" t="s">
        <v>94</v>
      </c>
      <c r="F298" s="48"/>
      <c r="G298" s="36"/>
      <c r="H298" s="81" t="s">
        <v>52</v>
      </c>
      <c r="I298" s="36" t="s">
        <v>2100</v>
      </c>
      <c r="J298" s="48">
        <v>37767</v>
      </c>
      <c r="K298" s="36" t="s">
        <v>52</v>
      </c>
      <c r="L298" s="36" t="s">
        <v>318</v>
      </c>
      <c r="M298" s="36" t="s">
        <v>2101</v>
      </c>
      <c r="N298" s="36" t="s">
        <v>2102</v>
      </c>
      <c r="O298" s="101"/>
      <c r="P298" s="159" t="s">
        <v>2103</v>
      </c>
      <c r="Q298" s="36"/>
      <c r="R298" s="36" t="s">
        <v>2104</v>
      </c>
      <c r="S298" s="36"/>
      <c r="T298" s="81"/>
      <c r="U298" s="81" t="s">
        <v>2105</v>
      </c>
      <c r="V298" s="36"/>
      <c r="W298" s="36"/>
      <c r="X298" s="36"/>
      <c r="Y298" s="36" t="s">
        <v>831</v>
      </c>
      <c r="Z298" s="81"/>
      <c r="AA298" s="54"/>
      <c r="AB298" s="81" t="s">
        <v>361</v>
      </c>
      <c r="AC298" s="81" t="s">
        <v>362</v>
      </c>
      <c r="AD298" s="36" t="s">
        <v>207</v>
      </c>
      <c r="AE298" s="81" t="s">
        <v>2106</v>
      </c>
      <c r="AF298" s="81" t="s">
        <v>65</v>
      </c>
      <c r="AG298" s="48"/>
      <c r="AH298" s="134" t="str">
        <f t="shared" si="29"/>
        <v/>
      </c>
      <c r="AI298" s="134"/>
      <c r="AJ298" s="48">
        <v>40767</v>
      </c>
      <c r="AK298" s="134">
        <f t="shared" si="30"/>
        <v>8</v>
      </c>
      <c r="AL298" s="54" t="s">
        <v>82</v>
      </c>
      <c r="AM298" s="54"/>
      <c r="AN298" s="54"/>
      <c r="AO298" s="190"/>
      <c r="AQ298" s="123"/>
      <c r="AR298" s="23"/>
      <c r="AS298" s="54"/>
      <c r="AT298" s="65"/>
      <c r="AU298" s="70" t="str">
        <f t="shared" si="34"/>
        <v/>
      </c>
      <c r="AV298" s="70" t="s">
        <v>68</v>
      </c>
    </row>
    <row r="299" spans="1:48" ht="19.5" hidden="1" customHeight="1" x14ac:dyDescent="0.2">
      <c r="A299" s="87">
        <v>20277</v>
      </c>
      <c r="B299" s="80" t="s">
        <v>265</v>
      </c>
      <c r="C299" s="80" t="s">
        <v>200</v>
      </c>
      <c r="D299" s="87"/>
      <c r="E299" s="123" t="s">
        <v>94</v>
      </c>
      <c r="F299" s="140">
        <v>30256</v>
      </c>
      <c r="G299" s="123" t="s">
        <v>815</v>
      </c>
      <c r="H299" s="54" t="s">
        <v>816</v>
      </c>
      <c r="I299" s="123" t="s">
        <v>2107</v>
      </c>
      <c r="J299" s="140">
        <v>36350</v>
      </c>
      <c r="K299" s="123" t="s">
        <v>815</v>
      </c>
      <c r="L299" s="123" t="s">
        <v>123</v>
      </c>
      <c r="M299" s="123" t="s">
        <v>632</v>
      </c>
      <c r="N299" s="123" t="s">
        <v>2108</v>
      </c>
      <c r="O299" s="106"/>
      <c r="P299" s="54" t="s">
        <v>2109</v>
      </c>
      <c r="Q299" s="123"/>
      <c r="R299" s="123" t="s">
        <v>2110</v>
      </c>
      <c r="S299" s="123"/>
      <c r="T299" s="54" t="s">
        <v>2111</v>
      </c>
      <c r="U299" s="54" t="s">
        <v>2112</v>
      </c>
      <c r="V299" s="123"/>
      <c r="W299" s="123"/>
      <c r="X299" s="123"/>
      <c r="Y299" s="123" t="s">
        <v>865</v>
      </c>
      <c r="Z299" s="54"/>
      <c r="AA299" s="54"/>
      <c r="AB299" s="54" t="s">
        <v>285</v>
      </c>
      <c r="AC299" s="54" t="s">
        <v>236</v>
      </c>
      <c r="AD299" s="123" t="s">
        <v>207</v>
      </c>
      <c r="AE299" s="54" t="s">
        <v>585</v>
      </c>
      <c r="AF299" s="54" t="s">
        <v>65</v>
      </c>
      <c r="AG299" s="140">
        <v>40707</v>
      </c>
      <c r="AH299" s="65">
        <f t="shared" si="29"/>
        <v>6</v>
      </c>
      <c r="AI299" s="65"/>
      <c r="AJ299" s="140">
        <v>41365</v>
      </c>
      <c r="AK299" s="65">
        <f t="shared" si="30"/>
        <v>4</v>
      </c>
      <c r="AL299" s="54" t="s">
        <v>105</v>
      </c>
      <c r="AM299" s="138">
        <v>41587</v>
      </c>
      <c r="AN299" s="138"/>
      <c r="AO299" s="140"/>
      <c r="AP299" s="23"/>
      <c r="AQ299" s="123"/>
      <c r="AR299" s="23"/>
      <c r="AS299" s="54" t="s">
        <v>347</v>
      </c>
      <c r="AT299" s="136"/>
      <c r="AU299" s="70">
        <f t="shared" si="34"/>
        <v>11</v>
      </c>
      <c r="AV299" s="70" t="s">
        <v>68</v>
      </c>
    </row>
    <row r="300" spans="1:48" s="136" customFormat="1" ht="25.5" hidden="1" x14ac:dyDescent="0.2">
      <c r="A300" s="86">
        <v>20278</v>
      </c>
      <c r="B300" s="3" t="s">
        <v>199</v>
      </c>
      <c r="C300" s="3" t="s">
        <v>711</v>
      </c>
      <c r="D300" s="86"/>
      <c r="E300" s="36" t="s">
        <v>94</v>
      </c>
      <c r="F300" s="48">
        <v>32366</v>
      </c>
      <c r="G300" s="36"/>
      <c r="H300" s="81" t="s">
        <v>1139</v>
      </c>
      <c r="I300" s="36" t="s">
        <v>2113</v>
      </c>
      <c r="J300" s="48">
        <v>38949</v>
      </c>
      <c r="K300" s="36" t="s">
        <v>1139</v>
      </c>
      <c r="L300" s="36" t="s">
        <v>318</v>
      </c>
      <c r="M300" s="36" t="s">
        <v>1508</v>
      </c>
      <c r="N300" s="36" t="s">
        <v>320</v>
      </c>
      <c r="O300" s="101"/>
      <c r="P300" s="159" t="s">
        <v>2114</v>
      </c>
      <c r="Q300" s="36"/>
      <c r="R300" s="36" t="s">
        <v>2115</v>
      </c>
      <c r="S300" s="36"/>
      <c r="T300" s="81"/>
      <c r="U300" s="81" t="s">
        <v>2116</v>
      </c>
      <c r="V300" s="36"/>
      <c r="W300" s="36"/>
      <c r="X300" s="36"/>
      <c r="Y300" s="36" t="s">
        <v>284</v>
      </c>
      <c r="Z300" s="81"/>
      <c r="AA300" s="54"/>
      <c r="AB300" s="81" t="s">
        <v>285</v>
      </c>
      <c r="AC300" s="81" t="s">
        <v>236</v>
      </c>
      <c r="AD300" s="36" t="s">
        <v>230</v>
      </c>
      <c r="AE300" s="81" t="s">
        <v>1192</v>
      </c>
      <c r="AF300" s="81" t="s">
        <v>231</v>
      </c>
      <c r="AG300" s="48"/>
      <c r="AH300" s="134" t="str">
        <f t="shared" si="29"/>
        <v/>
      </c>
      <c r="AI300" s="134"/>
      <c r="AJ300" s="48">
        <v>40770</v>
      </c>
      <c r="AK300" s="134">
        <f t="shared" si="30"/>
        <v>8</v>
      </c>
      <c r="AL300" s="54" t="s">
        <v>82</v>
      </c>
      <c r="AM300" s="54"/>
      <c r="AN300" s="54"/>
      <c r="AO300" s="190"/>
      <c r="AQ300" s="123"/>
      <c r="AR300" s="23"/>
      <c r="AS300" s="54"/>
      <c r="AT300" s="65"/>
      <c r="AU300" s="70">
        <f t="shared" si="34"/>
        <v>8</v>
      </c>
      <c r="AV300" s="70" t="s">
        <v>68</v>
      </c>
    </row>
    <row r="301" spans="1:48" s="136" customFormat="1" ht="19.5" hidden="1" customHeight="1" x14ac:dyDescent="0.2">
      <c r="A301" s="86">
        <v>20279</v>
      </c>
      <c r="B301" s="3" t="s">
        <v>2117</v>
      </c>
      <c r="C301" s="3" t="s">
        <v>51</v>
      </c>
      <c r="D301" s="86"/>
      <c r="E301" s="36" t="s">
        <v>51</v>
      </c>
      <c r="F301" s="48">
        <v>30775</v>
      </c>
      <c r="G301" s="36" t="s">
        <v>272</v>
      </c>
      <c r="H301" s="81" t="s">
        <v>273</v>
      </c>
      <c r="I301" s="36" t="s">
        <v>2118</v>
      </c>
      <c r="J301" s="48">
        <v>39644</v>
      </c>
      <c r="K301" s="36" t="s">
        <v>272</v>
      </c>
      <c r="L301" s="36" t="s">
        <v>123</v>
      </c>
      <c r="M301" s="36" t="s">
        <v>448</v>
      </c>
      <c r="N301" s="36" t="s">
        <v>458</v>
      </c>
      <c r="O301" s="101"/>
      <c r="P301" s="81" t="s">
        <v>2119</v>
      </c>
      <c r="Q301" s="36" t="s">
        <v>2120</v>
      </c>
      <c r="R301" s="36" t="s">
        <v>2121</v>
      </c>
      <c r="S301" s="36"/>
      <c r="T301" s="81" t="s">
        <v>2122</v>
      </c>
      <c r="U301" s="81" t="s">
        <v>2123</v>
      </c>
      <c r="V301" s="36"/>
      <c r="W301" s="36"/>
      <c r="X301" s="36"/>
      <c r="Y301" s="36" t="s">
        <v>284</v>
      </c>
      <c r="Z301" s="81"/>
      <c r="AA301" s="54"/>
      <c r="AB301" s="81" t="s">
        <v>285</v>
      </c>
      <c r="AC301" s="81" t="s">
        <v>236</v>
      </c>
      <c r="AD301" s="36" t="s">
        <v>207</v>
      </c>
      <c r="AE301" s="81" t="s">
        <v>1128</v>
      </c>
      <c r="AF301" s="81" t="s">
        <v>65</v>
      </c>
      <c r="AG301" s="48">
        <v>40707</v>
      </c>
      <c r="AH301" s="134">
        <f t="shared" si="29"/>
        <v>6</v>
      </c>
      <c r="AI301" s="134"/>
      <c r="AJ301" s="48">
        <v>40768</v>
      </c>
      <c r="AK301" s="134">
        <f t="shared" si="30"/>
        <v>8</v>
      </c>
      <c r="AL301" s="94" t="s">
        <v>82</v>
      </c>
      <c r="AM301" s="78"/>
      <c r="AN301" s="78"/>
      <c r="AO301" s="190">
        <v>41291</v>
      </c>
      <c r="AP301" s="136">
        <f>IF((AO301=""),"",MONTH(AO301))</f>
        <v>1</v>
      </c>
      <c r="AQ301" s="127"/>
      <c r="AR301" s="23"/>
      <c r="AS301" s="54" t="s">
        <v>347</v>
      </c>
      <c r="AT301" s="23"/>
      <c r="AU301" s="70">
        <f t="shared" si="34"/>
        <v>4</v>
      </c>
      <c r="AV301" s="70" t="s">
        <v>68</v>
      </c>
    </row>
    <row r="302" spans="1:48" ht="19.5" hidden="1" customHeight="1" x14ac:dyDescent="0.2">
      <c r="A302" s="86">
        <v>20280</v>
      </c>
      <c r="B302" s="3" t="s">
        <v>2124</v>
      </c>
      <c r="C302" s="3" t="s">
        <v>160</v>
      </c>
      <c r="D302" s="86"/>
      <c r="E302" s="36" t="s">
        <v>51</v>
      </c>
      <c r="F302" s="48">
        <v>31743</v>
      </c>
      <c r="G302" s="36" t="s">
        <v>303</v>
      </c>
      <c r="H302" s="81" t="s">
        <v>304</v>
      </c>
      <c r="I302" s="36" t="s">
        <v>2125</v>
      </c>
      <c r="J302" s="48">
        <v>39479</v>
      </c>
      <c r="K302" s="36" t="s">
        <v>303</v>
      </c>
      <c r="L302" s="36" t="s">
        <v>123</v>
      </c>
      <c r="M302" s="36" t="s">
        <v>1501</v>
      </c>
      <c r="N302" s="36" t="s">
        <v>2126</v>
      </c>
      <c r="O302" s="101"/>
      <c r="P302" s="81" t="s">
        <v>2127</v>
      </c>
      <c r="Q302" s="36" t="s">
        <v>2128</v>
      </c>
      <c r="R302" s="36" t="s">
        <v>2129</v>
      </c>
      <c r="S302" s="36"/>
      <c r="T302" s="81" t="s">
        <v>2130</v>
      </c>
      <c r="U302" s="81" t="s">
        <v>2131</v>
      </c>
      <c r="V302" s="36"/>
      <c r="W302" s="36"/>
      <c r="X302" s="36"/>
      <c r="Y302" s="36" t="s">
        <v>294</v>
      </c>
      <c r="Z302" s="81"/>
      <c r="AA302" s="54"/>
      <c r="AB302" s="81" t="s">
        <v>285</v>
      </c>
      <c r="AC302" s="81" t="s">
        <v>236</v>
      </c>
      <c r="AD302" s="36"/>
      <c r="AE302" s="81"/>
      <c r="AF302" s="81" t="s">
        <v>65</v>
      </c>
      <c r="AG302" s="48"/>
      <c r="AH302" s="134" t="str">
        <f t="shared" si="29"/>
        <v/>
      </c>
      <c r="AI302" s="134"/>
      <c r="AJ302" s="48">
        <v>40717</v>
      </c>
      <c r="AK302" s="134">
        <f t="shared" si="30"/>
        <v>6</v>
      </c>
      <c r="AL302" s="94" t="s">
        <v>82</v>
      </c>
      <c r="AM302" s="78"/>
      <c r="AN302" s="78"/>
      <c r="AO302" s="190">
        <v>41000</v>
      </c>
      <c r="AP302" s="136">
        <f>IF((AO302=""),"",MONTH(AO302))</f>
        <v>4</v>
      </c>
      <c r="AQ302" s="127"/>
      <c r="AR302" s="23"/>
      <c r="AS302" s="94"/>
      <c r="AT302" s="136"/>
      <c r="AU302" s="70">
        <f t="shared" si="34"/>
        <v>11</v>
      </c>
      <c r="AV302" s="70" t="s">
        <v>68</v>
      </c>
    </row>
    <row r="303" spans="1:48" s="136" customFormat="1" ht="38.25" hidden="1" x14ac:dyDescent="0.2">
      <c r="A303" s="86">
        <v>20281</v>
      </c>
      <c r="B303" s="3" t="s">
        <v>2132</v>
      </c>
      <c r="C303" s="3" t="s">
        <v>561</v>
      </c>
      <c r="D303" s="86"/>
      <c r="E303" s="36" t="s">
        <v>94</v>
      </c>
      <c r="F303" s="48">
        <v>31054</v>
      </c>
      <c r="G303" s="36" t="s">
        <v>52</v>
      </c>
      <c r="H303" s="81" t="s">
        <v>53</v>
      </c>
      <c r="I303" s="36" t="s">
        <v>2133</v>
      </c>
      <c r="J303" s="48">
        <v>37475</v>
      </c>
      <c r="K303" s="36" t="s">
        <v>171</v>
      </c>
      <c r="L303" s="36" t="s">
        <v>123</v>
      </c>
      <c r="M303" s="36" t="s">
        <v>382</v>
      </c>
      <c r="N303" s="36" t="s">
        <v>368</v>
      </c>
      <c r="O303" s="101"/>
      <c r="P303" s="81" t="s">
        <v>2134</v>
      </c>
      <c r="Q303" s="36" t="s">
        <v>2135</v>
      </c>
      <c r="R303" s="36" t="s">
        <v>2136</v>
      </c>
      <c r="S303" s="36"/>
      <c r="T303" s="81" t="s">
        <v>2137</v>
      </c>
      <c r="U303" s="81" t="s">
        <v>2138</v>
      </c>
      <c r="V303" s="36"/>
      <c r="W303" s="36"/>
      <c r="X303" s="36"/>
      <c r="Y303" s="36" t="s">
        <v>284</v>
      </c>
      <c r="Z303" s="81"/>
      <c r="AA303" s="54"/>
      <c r="AB303" s="81" t="s">
        <v>285</v>
      </c>
      <c r="AC303" s="81" t="s">
        <v>236</v>
      </c>
      <c r="AD303" s="36" t="s">
        <v>629</v>
      </c>
      <c r="AE303" s="81"/>
      <c r="AF303" s="81" t="s">
        <v>65</v>
      </c>
      <c r="AG303" s="48"/>
      <c r="AH303" s="134" t="str">
        <f t="shared" si="29"/>
        <v/>
      </c>
      <c r="AI303" s="134"/>
      <c r="AJ303" s="48">
        <v>40701</v>
      </c>
      <c r="AK303" s="134">
        <f t="shared" si="30"/>
        <v>6</v>
      </c>
      <c r="AL303" s="94" t="s">
        <v>82</v>
      </c>
      <c r="AM303" s="78"/>
      <c r="AN303" s="78"/>
      <c r="AO303" s="190">
        <v>40794</v>
      </c>
      <c r="AP303" s="136">
        <f>IF((AO303=""),"",MONTH(AO303))</f>
        <v>9</v>
      </c>
      <c r="AQ303" s="127"/>
      <c r="AR303" s="23"/>
      <c r="AS303" s="94"/>
      <c r="AT303" s="184"/>
      <c r="AU303" s="70">
        <f t="shared" si="34"/>
        <v>1</v>
      </c>
      <c r="AV303" s="70" t="s">
        <v>68</v>
      </c>
    </row>
    <row r="304" spans="1:48" s="136" customFormat="1" ht="25.5" hidden="1" x14ac:dyDescent="0.2">
      <c r="A304" s="87">
        <v>20282</v>
      </c>
      <c r="B304" s="80" t="s">
        <v>596</v>
      </c>
      <c r="C304" s="80" t="s">
        <v>2139</v>
      </c>
      <c r="D304" s="87"/>
      <c r="E304" s="123" t="s">
        <v>94</v>
      </c>
      <c r="F304" s="140">
        <v>31192</v>
      </c>
      <c r="G304" s="123" t="s">
        <v>303</v>
      </c>
      <c r="H304" s="54" t="s">
        <v>304</v>
      </c>
      <c r="I304" s="123" t="s">
        <v>2140</v>
      </c>
      <c r="J304" s="140">
        <v>37645</v>
      </c>
      <c r="K304" s="123" t="s">
        <v>750</v>
      </c>
      <c r="L304" s="123" t="s">
        <v>341</v>
      </c>
      <c r="M304" s="123" t="s">
        <v>1300</v>
      </c>
      <c r="N304" s="123" t="s">
        <v>368</v>
      </c>
      <c r="O304" s="106"/>
      <c r="P304" s="54" t="s">
        <v>2141</v>
      </c>
      <c r="Q304" s="123" t="s">
        <v>2142</v>
      </c>
      <c r="R304" s="123" t="s">
        <v>2143</v>
      </c>
      <c r="S304" s="123"/>
      <c r="T304" s="54" t="s">
        <v>2144</v>
      </c>
      <c r="U304" s="54" t="s">
        <v>2145</v>
      </c>
      <c r="V304" s="123"/>
      <c r="W304" s="123"/>
      <c r="X304" s="123"/>
      <c r="Y304" s="123" t="s">
        <v>605</v>
      </c>
      <c r="Z304" s="54"/>
      <c r="AA304" s="54"/>
      <c r="AB304" s="54" t="s">
        <v>361</v>
      </c>
      <c r="AC304" s="54" t="s">
        <v>362</v>
      </c>
      <c r="AD304" s="123" t="s">
        <v>207</v>
      </c>
      <c r="AE304" s="54" t="s">
        <v>585</v>
      </c>
      <c r="AF304" s="54" t="s">
        <v>65</v>
      </c>
      <c r="AG304" s="140">
        <v>40735</v>
      </c>
      <c r="AH304" s="65">
        <f t="shared" si="29"/>
        <v>7</v>
      </c>
      <c r="AI304" s="65"/>
      <c r="AJ304" s="140">
        <v>40797</v>
      </c>
      <c r="AK304" s="65">
        <f t="shared" si="30"/>
        <v>9</v>
      </c>
      <c r="AL304" s="54" t="s">
        <v>105</v>
      </c>
      <c r="AM304" s="138">
        <v>41609</v>
      </c>
      <c r="AN304" s="138"/>
      <c r="AO304" s="140"/>
      <c r="AP304" s="65"/>
      <c r="AQ304" s="123"/>
      <c r="AR304" s="23"/>
      <c r="AS304" s="54" t="s">
        <v>347</v>
      </c>
      <c r="AT304" s="158"/>
      <c r="AU304" s="70">
        <f t="shared" si="34"/>
        <v>5</v>
      </c>
      <c r="AV304" s="70" t="s">
        <v>68</v>
      </c>
    </row>
    <row r="305" spans="1:48" s="136" customFormat="1" ht="19.5" hidden="1" customHeight="1" x14ac:dyDescent="0.2">
      <c r="A305" s="86">
        <v>20283</v>
      </c>
      <c r="B305" s="3" t="s">
        <v>1208</v>
      </c>
      <c r="C305" s="3" t="s">
        <v>160</v>
      </c>
      <c r="D305" s="86"/>
      <c r="E305" s="36" t="s">
        <v>94</v>
      </c>
      <c r="F305" s="48">
        <v>30312</v>
      </c>
      <c r="G305" s="36" t="s">
        <v>52</v>
      </c>
      <c r="H305" s="81" t="s">
        <v>53</v>
      </c>
      <c r="I305" s="36" t="s">
        <v>2146</v>
      </c>
      <c r="J305" s="48">
        <v>39940</v>
      </c>
      <c r="K305" s="36" t="s">
        <v>52</v>
      </c>
      <c r="L305" s="36" t="s">
        <v>341</v>
      </c>
      <c r="M305" s="36" t="s">
        <v>795</v>
      </c>
      <c r="N305" s="36" t="s">
        <v>796</v>
      </c>
      <c r="O305" s="101"/>
      <c r="P305" s="81" t="s">
        <v>2147</v>
      </c>
      <c r="Q305" s="36" t="s">
        <v>2148</v>
      </c>
      <c r="R305" s="36" t="s">
        <v>2149</v>
      </c>
      <c r="S305" s="36"/>
      <c r="T305" s="81" t="s">
        <v>2150</v>
      </c>
      <c r="U305" s="81" t="s">
        <v>2150</v>
      </c>
      <c r="V305" s="36"/>
      <c r="W305" s="36"/>
      <c r="X305" s="36"/>
      <c r="Y305" s="36" t="s">
        <v>616</v>
      </c>
      <c r="Z305" s="81"/>
      <c r="AA305" s="54"/>
      <c r="AB305" s="81" t="s">
        <v>285</v>
      </c>
      <c r="AC305" s="81" t="s">
        <v>236</v>
      </c>
      <c r="AD305" s="36" t="s">
        <v>1067</v>
      </c>
      <c r="AE305" s="81"/>
      <c r="AF305" s="81" t="s">
        <v>65</v>
      </c>
      <c r="AG305" s="48"/>
      <c r="AH305" s="134" t="str">
        <f t="shared" si="29"/>
        <v/>
      </c>
      <c r="AI305" s="134"/>
      <c r="AJ305" s="48">
        <v>40730</v>
      </c>
      <c r="AK305" s="134">
        <f t="shared" si="30"/>
        <v>7</v>
      </c>
      <c r="AL305" s="94" t="s">
        <v>82</v>
      </c>
      <c r="AM305" s="78"/>
      <c r="AN305" s="78"/>
      <c r="AO305" s="190">
        <v>40877</v>
      </c>
      <c r="AP305" s="136">
        <f t="shared" ref="AP305:AP319" si="35">IF((AO305=""),"",MONTH(AO305))</f>
        <v>11</v>
      </c>
      <c r="AQ305" s="127"/>
      <c r="AR305" s="23"/>
      <c r="AS305" s="94"/>
      <c r="AT305" s="158"/>
      <c r="AU305" s="70">
        <f t="shared" si="34"/>
        <v>12</v>
      </c>
      <c r="AV305" s="70" t="s">
        <v>68</v>
      </c>
    </row>
    <row r="306" spans="1:48" s="136" customFormat="1" ht="19.5" hidden="1" customHeight="1" x14ac:dyDescent="0.2">
      <c r="A306" s="86">
        <v>20284</v>
      </c>
      <c r="B306" s="3" t="s">
        <v>265</v>
      </c>
      <c r="C306" s="3" t="s">
        <v>2151</v>
      </c>
      <c r="D306" s="86"/>
      <c r="E306" s="36" t="s">
        <v>94</v>
      </c>
      <c r="F306" s="48">
        <v>31783</v>
      </c>
      <c r="G306" s="36" t="s">
        <v>412</v>
      </c>
      <c r="H306" s="81" t="s">
        <v>413</v>
      </c>
      <c r="I306" s="36"/>
      <c r="J306" s="48"/>
      <c r="K306" s="36"/>
      <c r="L306" s="36" t="s">
        <v>123</v>
      </c>
      <c r="M306" s="36"/>
      <c r="N306" s="36"/>
      <c r="O306" s="101"/>
      <c r="P306" s="81" t="s">
        <v>2152</v>
      </c>
      <c r="Q306" s="36"/>
      <c r="R306" s="36"/>
      <c r="S306" s="36"/>
      <c r="T306" s="81" t="s">
        <v>0</v>
      </c>
      <c r="U306" s="81" t="s">
        <v>0</v>
      </c>
      <c r="V306" s="36"/>
      <c r="W306" s="36"/>
      <c r="X306" s="36"/>
      <c r="Y306" s="36" t="s">
        <v>294</v>
      </c>
      <c r="Z306" s="81"/>
      <c r="AA306" s="54"/>
      <c r="AB306" s="81" t="s">
        <v>285</v>
      </c>
      <c r="AC306" s="81" t="s">
        <v>236</v>
      </c>
      <c r="AD306" s="36" t="s">
        <v>2153</v>
      </c>
      <c r="AE306" s="81"/>
      <c r="AF306" s="81" t="s">
        <v>65</v>
      </c>
      <c r="AG306" s="48"/>
      <c r="AH306" s="134" t="str">
        <f t="shared" si="29"/>
        <v/>
      </c>
      <c r="AI306" s="134"/>
      <c r="AJ306" s="48">
        <v>40731</v>
      </c>
      <c r="AK306" s="134">
        <f t="shared" si="30"/>
        <v>7</v>
      </c>
      <c r="AL306" s="94" t="s">
        <v>82</v>
      </c>
      <c r="AM306" s="78"/>
      <c r="AN306" s="78"/>
      <c r="AO306" s="190">
        <v>40822</v>
      </c>
      <c r="AP306" s="136">
        <f t="shared" si="35"/>
        <v>10</v>
      </c>
      <c r="AQ306" s="127"/>
      <c r="AR306" s="23"/>
      <c r="AS306" s="94"/>
      <c r="AT306" s="194"/>
      <c r="AU306" s="70">
        <f t="shared" si="34"/>
        <v>1</v>
      </c>
      <c r="AV306" s="70" t="s">
        <v>68</v>
      </c>
    </row>
    <row r="307" spans="1:48" s="136" customFormat="1" ht="19.5" hidden="1" customHeight="1" x14ac:dyDescent="0.2">
      <c r="A307" s="86">
        <v>20285</v>
      </c>
      <c r="B307" s="3" t="s">
        <v>801</v>
      </c>
      <c r="C307" s="3" t="s">
        <v>250</v>
      </c>
      <c r="D307" s="86"/>
      <c r="E307" s="36" t="s">
        <v>94</v>
      </c>
      <c r="F307" s="48">
        <v>31262</v>
      </c>
      <c r="G307" s="36"/>
      <c r="H307" s="81" t="s">
        <v>303</v>
      </c>
      <c r="I307" s="36" t="s">
        <v>2154</v>
      </c>
      <c r="J307" s="48">
        <v>37979</v>
      </c>
      <c r="K307" s="36" t="s">
        <v>726</v>
      </c>
      <c r="L307" s="36" t="s">
        <v>318</v>
      </c>
      <c r="M307" s="36" t="s">
        <v>217</v>
      </c>
      <c r="N307" s="36" t="s">
        <v>1815</v>
      </c>
      <c r="O307" s="101"/>
      <c r="P307" s="159" t="s">
        <v>2155</v>
      </c>
      <c r="Q307" s="36"/>
      <c r="R307" s="36" t="s">
        <v>2156</v>
      </c>
      <c r="S307" s="36"/>
      <c r="T307" s="81"/>
      <c r="U307" s="81" t="s">
        <v>2157</v>
      </c>
      <c r="V307" s="36"/>
      <c r="W307" s="36"/>
      <c r="X307" s="36"/>
      <c r="Y307" s="36" t="s">
        <v>284</v>
      </c>
      <c r="Z307" s="81"/>
      <c r="AA307" s="54"/>
      <c r="AB307" s="81" t="s">
        <v>285</v>
      </c>
      <c r="AC307" s="81" t="s">
        <v>236</v>
      </c>
      <c r="AD307" s="36" t="s">
        <v>230</v>
      </c>
      <c r="AE307" s="81" t="s">
        <v>2158</v>
      </c>
      <c r="AF307" s="81" t="s">
        <v>231</v>
      </c>
      <c r="AG307" s="48"/>
      <c r="AH307" s="134" t="str">
        <f t="shared" si="29"/>
        <v/>
      </c>
      <c r="AI307" s="134"/>
      <c r="AJ307" s="48">
        <v>40803</v>
      </c>
      <c r="AK307" s="134">
        <f t="shared" si="30"/>
        <v>9</v>
      </c>
      <c r="AL307" s="54" t="s">
        <v>82</v>
      </c>
      <c r="AM307" s="54"/>
      <c r="AN307" s="54"/>
      <c r="AO307" s="190"/>
      <c r="AP307" s="136" t="str">
        <f t="shared" si="35"/>
        <v/>
      </c>
      <c r="AQ307" s="123"/>
      <c r="AR307" s="23"/>
      <c r="AS307" s="54"/>
      <c r="AT307" s="65"/>
      <c r="AU307" s="70">
        <f t="shared" si="34"/>
        <v>8</v>
      </c>
      <c r="AV307" s="70" t="s">
        <v>68</v>
      </c>
    </row>
    <row r="308" spans="1:48" ht="25.5" hidden="1" x14ac:dyDescent="0.2">
      <c r="A308" s="87">
        <v>20286</v>
      </c>
      <c r="B308" s="80" t="s">
        <v>2159</v>
      </c>
      <c r="C308" s="80" t="s">
        <v>170</v>
      </c>
      <c r="D308" s="87"/>
      <c r="E308" s="123" t="s">
        <v>94</v>
      </c>
      <c r="F308" s="140">
        <v>32070</v>
      </c>
      <c r="G308" s="123" t="s">
        <v>1829</v>
      </c>
      <c r="H308" s="54" t="s">
        <v>824</v>
      </c>
      <c r="I308" s="123" t="s">
        <v>2160</v>
      </c>
      <c r="J308" s="140">
        <v>37357</v>
      </c>
      <c r="K308" s="123" t="s">
        <v>1829</v>
      </c>
      <c r="L308" s="123" t="s">
        <v>123</v>
      </c>
      <c r="M308" s="123" t="s">
        <v>543</v>
      </c>
      <c r="N308" s="123" t="s">
        <v>2161</v>
      </c>
      <c r="O308" s="106"/>
      <c r="P308" s="54" t="s">
        <v>2162</v>
      </c>
      <c r="Q308" s="123"/>
      <c r="R308" s="123" t="s">
        <v>2163</v>
      </c>
      <c r="S308" s="123"/>
      <c r="T308" s="54" t="s">
        <v>2164</v>
      </c>
      <c r="U308" s="54" t="s">
        <v>2165</v>
      </c>
      <c r="V308" s="123"/>
      <c r="W308" s="123"/>
      <c r="X308" s="123"/>
      <c r="Y308" s="123" t="s">
        <v>206</v>
      </c>
      <c r="Z308" s="54"/>
      <c r="AA308" s="54"/>
      <c r="AB308" s="54">
        <v>3</v>
      </c>
      <c r="AC308" s="54" t="s">
        <v>63</v>
      </c>
      <c r="AD308" s="123" t="s">
        <v>866</v>
      </c>
      <c r="AE308" s="54" t="s">
        <v>867</v>
      </c>
      <c r="AF308" s="54" t="s">
        <v>231</v>
      </c>
      <c r="AG308" s="140">
        <v>40742</v>
      </c>
      <c r="AH308" s="65">
        <f t="shared" si="29"/>
        <v>7</v>
      </c>
      <c r="AI308" s="65"/>
      <c r="AJ308" s="140">
        <v>40804</v>
      </c>
      <c r="AK308" s="65">
        <f t="shared" si="30"/>
        <v>9</v>
      </c>
      <c r="AL308" s="54" t="s">
        <v>66</v>
      </c>
      <c r="AM308" s="138"/>
      <c r="AN308" s="138"/>
      <c r="AO308" s="140"/>
      <c r="AP308" s="65" t="str">
        <f t="shared" si="35"/>
        <v/>
      </c>
      <c r="AQ308" s="123"/>
      <c r="AR308" s="23"/>
      <c r="AS308" s="54" t="s">
        <v>347</v>
      </c>
      <c r="AT308" s="136"/>
      <c r="AU308" s="70">
        <f t="shared" si="34"/>
        <v>10</v>
      </c>
      <c r="AV308" s="70" t="s">
        <v>68</v>
      </c>
    </row>
    <row r="309" spans="1:48" s="136" customFormat="1" ht="25.5" hidden="1" x14ac:dyDescent="0.2">
      <c r="A309" s="86">
        <v>20287</v>
      </c>
      <c r="B309" s="3" t="s">
        <v>848</v>
      </c>
      <c r="C309" s="3" t="s">
        <v>667</v>
      </c>
      <c r="D309" s="86"/>
      <c r="E309" s="36" t="s">
        <v>94</v>
      </c>
      <c r="F309" s="48">
        <v>32215</v>
      </c>
      <c r="G309" s="36" t="s">
        <v>52</v>
      </c>
      <c r="H309" s="81" t="s">
        <v>53</v>
      </c>
      <c r="I309" s="36" t="s">
        <v>2166</v>
      </c>
      <c r="J309" s="48">
        <v>37329</v>
      </c>
      <c r="K309" s="36" t="s">
        <v>52</v>
      </c>
      <c r="L309" s="36" t="s">
        <v>123</v>
      </c>
      <c r="M309" s="36" t="s">
        <v>448</v>
      </c>
      <c r="N309" s="36" t="s">
        <v>1256</v>
      </c>
      <c r="O309" s="101"/>
      <c r="P309" s="81" t="s">
        <v>2167</v>
      </c>
      <c r="Q309" s="36" t="s">
        <v>2168</v>
      </c>
      <c r="R309" s="36" t="s">
        <v>2169</v>
      </c>
      <c r="S309" s="36"/>
      <c r="T309" s="81" t="s">
        <v>2170</v>
      </c>
      <c r="U309" s="81" t="s">
        <v>2171</v>
      </c>
      <c r="V309" s="36"/>
      <c r="W309" s="36"/>
      <c r="X309" s="36"/>
      <c r="Y309" s="36" t="s">
        <v>294</v>
      </c>
      <c r="Z309" s="81"/>
      <c r="AA309" s="54"/>
      <c r="AB309" s="81" t="s">
        <v>285</v>
      </c>
      <c r="AC309" s="81" t="s">
        <v>236</v>
      </c>
      <c r="AD309" s="36"/>
      <c r="AE309" s="81"/>
      <c r="AF309" s="81" t="s">
        <v>65</v>
      </c>
      <c r="AG309" s="48"/>
      <c r="AH309" s="134" t="str">
        <f t="shared" si="29"/>
        <v/>
      </c>
      <c r="AI309" s="134"/>
      <c r="AJ309" s="48">
        <v>40742</v>
      </c>
      <c r="AK309" s="134">
        <f t="shared" si="30"/>
        <v>7</v>
      </c>
      <c r="AL309" s="94" t="s">
        <v>82</v>
      </c>
      <c r="AM309" s="78"/>
      <c r="AN309" s="78"/>
      <c r="AO309" s="190">
        <v>40912</v>
      </c>
      <c r="AP309" s="136">
        <f t="shared" si="35"/>
        <v>1</v>
      </c>
      <c r="AQ309" s="127"/>
      <c r="AR309" s="23"/>
      <c r="AS309" s="94"/>
      <c r="AT309" s="23"/>
      <c r="AU309" s="70">
        <f t="shared" si="34"/>
        <v>3</v>
      </c>
      <c r="AV309" s="70" t="s">
        <v>68</v>
      </c>
    </row>
    <row r="310" spans="1:48" ht="19.5" hidden="1" customHeight="1" x14ac:dyDescent="0.2">
      <c r="A310" s="86">
        <v>20288</v>
      </c>
      <c r="B310" s="3" t="s">
        <v>2172</v>
      </c>
      <c r="C310" s="3" t="s">
        <v>70</v>
      </c>
      <c r="D310" s="86"/>
      <c r="E310" s="36" t="s">
        <v>94</v>
      </c>
      <c r="F310" s="48">
        <v>32397</v>
      </c>
      <c r="G310" s="36" t="s">
        <v>303</v>
      </c>
      <c r="H310" s="81" t="s">
        <v>304</v>
      </c>
      <c r="I310" s="36" t="s">
        <v>2173</v>
      </c>
      <c r="J310" s="48"/>
      <c r="K310" s="36" t="s">
        <v>303</v>
      </c>
      <c r="L310" s="36" t="s">
        <v>123</v>
      </c>
      <c r="M310" s="36" t="s">
        <v>217</v>
      </c>
      <c r="N310" s="36"/>
      <c r="O310" s="101"/>
      <c r="P310" s="81" t="s">
        <v>2174</v>
      </c>
      <c r="Q310" s="36"/>
      <c r="R310" s="36" t="s">
        <v>2175</v>
      </c>
      <c r="S310" s="36"/>
      <c r="T310" s="81" t="s">
        <v>0</v>
      </c>
      <c r="U310" s="81" t="s">
        <v>0</v>
      </c>
      <c r="V310" s="36"/>
      <c r="W310" s="36"/>
      <c r="X310" s="36"/>
      <c r="Y310" s="36" t="s">
        <v>294</v>
      </c>
      <c r="Z310" s="81"/>
      <c r="AA310" s="54"/>
      <c r="AB310" s="81" t="s">
        <v>285</v>
      </c>
      <c r="AC310" s="81" t="s">
        <v>236</v>
      </c>
      <c r="AD310" s="36"/>
      <c r="AE310" s="81"/>
      <c r="AF310" s="81" t="s">
        <v>65</v>
      </c>
      <c r="AG310" s="48">
        <v>40742</v>
      </c>
      <c r="AH310" s="134">
        <f t="shared" si="29"/>
        <v>7</v>
      </c>
      <c r="AI310" s="134"/>
      <c r="AJ310" s="48">
        <v>40803</v>
      </c>
      <c r="AK310" s="134">
        <f t="shared" si="30"/>
        <v>9</v>
      </c>
      <c r="AL310" s="94" t="s">
        <v>82</v>
      </c>
      <c r="AM310" s="78"/>
      <c r="AN310" s="78"/>
      <c r="AO310" s="190">
        <v>41030</v>
      </c>
      <c r="AP310" s="136">
        <f t="shared" si="35"/>
        <v>5</v>
      </c>
      <c r="AQ310" s="127"/>
      <c r="AR310" s="23"/>
      <c r="AS310" s="94"/>
      <c r="AT310" s="136"/>
      <c r="AU310" s="70">
        <f t="shared" si="34"/>
        <v>9</v>
      </c>
      <c r="AV310" s="70" t="s">
        <v>68</v>
      </c>
    </row>
    <row r="311" spans="1:48" ht="25.5" hidden="1" x14ac:dyDescent="0.2">
      <c r="A311" s="86">
        <v>20289</v>
      </c>
      <c r="B311" s="3" t="s">
        <v>2176</v>
      </c>
      <c r="C311" s="3" t="s">
        <v>50</v>
      </c>
      <c r="D311" s="86"/>
      <c r="E311" s="36" t="s">
        <v>51</v>
      </c>
      <c r="F311" s="48">
        <v>30621</v>
      </c>
      <c r="G311" s="36"/>
      <c r="H311" s="81" t="s">
        <v>52</v>
      </c>
      <c r="I311" s="36" t="s">
        <v>2177</v>
      </c>
      <c r="J311" s="48">
        <v>39440</v>
      </c>
      <c r="K311" s="36" t="s">
        <v>171</v>
      </c>
      <c r="L311" s="36" t="s">
        <v>318</v>
      </c>
      <c r="M311" s="36" t="s">
        <v>382</v>
      </c>
      <c r="N311" s="36" t="s">
        <v>2178</v>
      </c>
      <c r="O311" s="101"/>
      <c r="P311" s="159" t="s">
        <v>2179</v>
      </c>
      <c r="Q311" s="36"/>
      <c r="R311" s="36" t="s">
        <v>2180</v>
      </c>
      <c r="S311" s="36"/>
      <c r="T311" s="81"/>
      <c r="U311" s="81" t="s">
        <v>2181</v>
      </c>
      <c r="V311" s="36"/>
      <c r="W311" s="36"/>
      <c r="X311" s="36"/>
      <c r="Y311" s="36" t="s">
        <v>284</v>
      </c>
      <c r="Z311" s="81"/>
      <c r="AA311" s="54"/>
      <c r="AB311" s="81" t="s">
        <v>285</v>
      </c>
      <c r="AC311" s="81" t="s">
        <v>236</v>
      </c>
      <c r="AD311" s="36"/>
      <c r="AE311" s="81"/>
      <c r="AF311" s="81" t="s">
        <v>65</v>
      </c>
      <c r="AG311" s="48"/>
      <c r="AH311" s="134" t="str">
        <f t="shared" si="29"/>
        <v/>
      </c>
      <c r="AI311" s="134"/>
      <c r="AJ311" s="48">
        <v>40791</v>
      </c>
      <c r="AK311" s="134">
        <f t="shared" si="30"/>
        <v>9</v>
      </c>
      <c r="AL311" s="54" t="s">
        <v>82</v>
      </c>
      <c r="AM311" s="54"/>
      <c r="AN311" s="54"/>
      <c r="AO311" s="190"/>
      <c r="AP311" s="136" t="str">
        <f t="shared" si="35"/>
        <v/>
      </c>
      <c r="AQ311" s="123"/>
      <c r="AR311" s="23"/>
      <c r="AS311" s="54"/>
      <c r="AT311" s="23"/>
      <c r="AU311" s="70">
        <f t="shared" si="34"/>
        <v>11</v>
      </c>
      <c r="AV311" s="70" t="s">
        <v>68</v>
      </c>
    </row>
    <row r="312" spans="1:48" ht="38.25" hidden="1" x14ac:dyDescent="0.2">
      <c r="A312" s="86">
        <v>20290</v>
      </c>
      <c r="B312" s="3" t="s">
        <v>2182</v>
      </c>
      <c r="C312" s="3" t="s">
        <v>1012</v>
      </c>
      <c r="D312" s="86"/>
      <c r="E312" s="36" t="s">
        <v>51</v>
      </c>
      <c r="F312" s="48">
        <v>28840</v>
      </c>
      <c r="G312" s="36" t="s">
        <v>120</v>
      </c>
      <c r="H312" s="81" t="s">
        <v>121</v>
      </c>
      <c r="I312" s="36" t="s">
        <v>2183</v>
      </c>
      <c r="J312" s="48">
        <v>40311</v>
      </c>
      <c r="K312" s="36" t="s">
        <v>52</v>
      </c>
      <c r="L312" s="36" t="s">
        <v>55</v>
      </c>
      <c r="M312" s="36" t="s">
        <v>2184</v>
      </c>
      <c r="N312" s="36" t="s">
        <v>2185</v>
      </c>
      <c r="O312" s="101"/>
      <c r="P312" s="81" t="s">
        <v>2186</v>
      </c>
      <c r="Q312" s="36" t="s">
        <v>2187</v>
      </c>
      <c r="R312" s="36" t="s">
        <v>2188</v>
      </c>
      <c r="S312" s="36"/>
      <c r="T312" s="81" t="s">
        <v>2189</v>
      </c>
      <c r="U312" s="81" t="s">
        <v>2190</v>
      </c>
      <c r="V312" s="36"/>
      <c r="W312" s="36"/>
      <c r="X312" s="36"/>
      <c r="Y312" s="36" t="s">
        <v>831</v>
      </c>
      <c r="Z312" s="81"/>
      <c r="AA312" s="54"/>
      <c r="AB312" s="81" t="s">
        <v>361</v>
      </c>
      <c r="AC312" s="81" t="s">
        <v>362</v>
      </c>
      <c r="AD312" s="123" t="s">
        <v>375</v>
      </c>
      <c r="AE312" s="81" t="s">
        <v>2099</v>
      </c>
      <c r="AF312" s="81" t="s">
        <v>65</v>
      </c>
      <c r="AG312" s="48">
        <v>40730</v>
      </c>
      <c r="AH312" s="134">
        <f t="shared" si="29"/>
        <v>7</v>
      </c>
      <c r="AI312" s="134"/>
      <c r="AJ312" s="48">
        <v>40730</v>
      </c>
      <c r="AK312" s="134">
        <f t="shared" si="30"/>
        <v>7</v>
      </c>
      <c r="AL312" s="94" t="s">
        <v>82</v>
      </c>
      <c r="AM312" s="78"/>
      <c r="AN312" s="78"/>
      <c r="AO312" s="190">
        <v>41334</v>
      </c>
      <c r="AP312" s="136">
        <f t="shared" si="35"/>
        <v>3</v>
      </c>
      <c r="AQ312" s="127"/>
      <c r="AR312" s="23"/>
      <c r="AS312" s="54" t="s">
        <v>107</v>
      </c>
      <c r="AT312" s="136"/>
      <c r="AU312" s="70">
        <f t="shared" si="34"/>
        <v>12</v>
      </c>
      <c r="AV312" s="70" t="s">
        <v>68</v>
      </c>
    </row>
    <row r="313" spans="1:48" s="136" customFormat="1" ht="38.25" hidden="1" x14ac:dyDescent="0.2">
      <c r="A313" s="86">
        <v>20291</v>
      </c>
      <c r="B313" s="3" t="s">
        <v>2191</v>
      </c>
      <c r="C313" s="3" t="s">
        <v>2192</v>
      </c>
      <c r="D313" s="86"/>
      <c r="E313" s="36" t="s">
        <v>94</v>
      </c>
      <c r="F313" s="48">
        <v>32622</v>
      </c>
      <c r="G313" s="36" t="s">
        <v>1186</v>
      </c>
      <c r="H313" s="81" t="s">
        <v>2193</v>
      </c>
      <c r="I313" s="36" t="s">
        <v>2194</v>
      </c>
      <c r="J313" s="48">
        <v>38539</v>
      </c>
      <c r="K313" s="36" t="s">
        <v>1186</v>
      </c>
      <c r="L313" s="36" t="s">
        <v>123</v>
      </c>
      <c r="M313" s="36" t="s">
        <v>1919</v>
      </c>
      <c r="N313" s="36" t="s">
        <v>2195</v>
      </c>
      <c r="O313" s="101"/>
      <c r="P313" s="81" t="s">
        <v>2196</v>
      </c>
      <c r="Q313" s="36"/>
      <c r="R313" s="36" t="s">
        <v>2197</v>
      </c>
      <c r="S313" s="36"/>
      <c r="T313" s="81" t="s">
        <v>2198</v>
      </c>
      <c r="U313" s="81" t="s">
        <v>2199</v>
      </c>
      <c r="V313" s="36"/>
      <c r="W313" s="36"/>
      <c r="X313" s="36"/>
      <c r="Y313" s="36" t="s">
        <v>284</v>
      </c>
      <c r="Z313" s="81"/>
      <c r="AA313" s="54"/>
      <c r="AB313" s="81" t="s">
        <v>285</v>
      </c>
      <c r="AC313" s="81" t="s">
        <v>236</v>
      </c>
      <c r="AD313" s="36"/>
      <c r="AE313" s="81"/>
      <c r="AF313" s="81" t="s">
        <v>65</v>
      </c>
      <c r="AG313" s="48"/>
      <c r="AH313" s="134" t="str">
        <f t="shared" si="29"/>
        <v/>
      </c>
      <c r="AI313" s="134"/>
      <c r="AJ313" s="48">
        <v>40810</v>
      </c>
      <c r="AK313" s="134">
        <f t="shared" si="30"/>
        <v>9</v>
      </c>
      <c r="AL313" s="94" t="s">
        <v>82</v>
      </c>
      <c r="AM313" s="78"/>
      <c r="AN313" s="78"/>
      <c r="AO313" s="190">
        <v>40763</v>
      </c>
      <c r="AP313" s="136">
        <f t="shared" si="35"/>
        <v>8</v>
      </c>
      <c r="AQ313" s="127"/>
      <c r="AR313" s="23"/>
      <c r="AS313" s="94"/>
      <c r="AT313" s="184"/>
      <c r="AU313" s="70">
        <f t="shared" si="34"/>
        <v>4</v>
      </c>
      <c r="AV313" s="70" t="s">
        <v>68</v>
      </c>
    </row>
    <row r="314" spans="1:48" s="136" customFormat="1" ht="12.75" hidden="1" x14ac:dyDescent="0.2">
      <c r="A314" s="86">
        <v>20292</v>
      </c>
      <c r="B314" s="3" t="s">
        <v>1306</v>
      </c>
      <c r="C314" s="3" t="s">
        <v>725</v>
      </c>
      <c r="D314" s="86"/>
      <c r="E314" s="36" t="s">
        <v>94</v>
      </c>
      <c r="F314" s="48">
        <v>32428</v>
      </c>
      <c r="G314" s="36" t="s">
        <v>231</v>
      </c>
      <c r="H314" s="81" t="s">
        <v>239</v>
      </c>
      <c r="I314" s="36" t="s">
        <v>2200</v>
      </c>
      <c r="J314" s="48">
        <v>40624</v>
      </c>
      <c r="K314" s="36" t="s">
        <v>231</v>
      </c>
      <c r="L314" s="36" t="s">
        <v>341</v>
      </c>
      <c r="M314" s="36" t="s">
        <v>1106</v>
      </c>
      <c r="N314" s="36"/>
      <c r="O314" s="101"/>
      <c r="P314" s="81" t="s">
        <v>2201</v>
      </c>
      <c r="Q314" s="36"/>
      <c r="R314" s="36" t="s">
        <v>2202</v>
      </c>
      <c r="S314" s="36"/>
      <c r="T314" s="81" t="s">
        <v>2203</v>
      </c>
      <c r="U314" s="81" t="s">
        <v>2204</v>
      </c>
      <c r="V314" s="36"/>
      <c r="W314" s="36"/>
      <c r="X314" s="36"/>
      <c r="Y314" s="36" t="s">
        <v>616</v>
      </c>
      <c r="Z314" s="81"/>
      <c r="AA314" s="54"/>
      <c r="AB314" s="81" t="s">
        <v>285</v>
      </c>
      <c r="AC314" s="81" t="s">
        <v>236</v>
      </c>
      <c r="AD314" s="36" t="s">
        <v>230</v>
      </c>
      <c r="AE314" s="81"/>
      <c r="AF314" s="81" t="s">
        <v>231</v>
      </c>
      <c r="AG314" s="48"/>
      <c r="AH314" s="134" t="str">
        <f t="shared" si="29"/>
        <v/>
      </c>
      <c r="AI314" s="134"/>
      <c r="AJ314" s="48">
        <v>40794</v>
      </c>
      <c r="AK314" s="134">
        <f t="shared" si="30"/>
        <v>9</v>
      </c>
      <c r="AL314" s="94" t="s">
        <v>82</v>
      </c>
      <c r="AM314" s="78"/>
      <c r="AN314" s="78"/>
      <c r="AO314" s="190">
        <v>40823</v>
      </c>
      <c r="AP314" s="136">
        <f t="shared" si="35"/>
        <v>10</v>
      </c>
      <c r="AQ314" s="127"/>
      <c r="AR314" s="23"/>
      <c r="AS314" s="94"/>
      <c r="AT314" s="158"/>
      <c r="AU314" s="70">
        <f t="shared" si="34"/>
        <v>10</v>
      </c>
      <c r="AV314" s="70" t="s">
        <v>68</v>
      </c>
    </row>
    <row r="315" spans="1:48" s="136" customFormat="1" ht="63.75" hidden="1" x14ac:dyDescent="0.2">
      <c r="A315" s="86">
        <v>20293</v>
      </c>
      <c r="B315" s="3" t="s">
        <v>2205</v>
      </c>
      <c r="C315" s="3" t="s">
        <v>1951</v>
      </c>
      <c r="D315" s="86"/>
      <c r="E315" s="36" t="s">
        <v>94</v>
      </c>
      <c r="F315" s="48">
        <v>32752</v>
      </c>
      <c r="G315" s="36" t="s">
        <v>1280</v>
      </c>
      <c r="H315" s="81" t="s">
        <v>1281</v>
      </c>
      <c r="I315" s="36" t="s">
        <v>2206</v>
      </c>
      <c r="J315" s="48">
        <v>38937</v>
      </c>
      <c r="K315" s="36" t="s">
        <v>2207</v>
      </c>
      <c r="L315" s="36" t="s">
        <v>123</v>
      </c>
      <c r="M315" s="36" t="s">
        <v>1864</v>
      </c>
      <c r="N315" s="36"/>
      <c r="O315" s="101"/>
      <c r="P315" s="81" t="s">
        <v>2208</v>
      </c>
      <c r="Q315" s="36" t="s">
        <v>2209</v>
      </c>
      <c r="R315" s="36" t="s">
        <v>2210</v>
      </c>
      <c r="S315" s="36"/>
      <c r="T315" s="81" t="s">
        <v>2211</v>
      </c>
      <c r="U315" s="81" t="s">
        <v>2212</v>
      </c>
      <c r="V315" s="36"/>
      <c r="W315" s="36"/>
      <c r="X315" s="36"/>
      <c r="Y315" s="36" t="s">
        <v>616</v>
      </c>
      <c r="Z315" s="81"/>
      <c r="AA315" s="54"/>
      <c r="AB315" s="81" t="s">
        <v>285</v>
      </c>
      <c r="AC315" s="81" t="s">
        <v>236</v>
      </c>
      <c r="AD315" s="36" t="s">
        <v>230</v>
      </c>
      <c r="AE315" s="81"/>
      <c r="AF315" s="81" t="s">
        <v>231</v>
      </c>
      <c r="AG315" s="48"/>
      <c r="AH315" s="134" t="str">
        <f t="shared" si="29"/>
        <v/>
      </c>
      <c r="AI315" s="134"/>
      <c r="AJ315" s="48">
        <v>40756</v>
      </c>
      <c r="AK315" s="134">
        <f t="shared" si="30"/>
        <v>8</v>
      </c>
      <c r="AL315" s="94" t="s">
        <v>82</v>
      </c>
      <c r="AM315" s="78"/>
      <c r="AN315" s="78"/>
      <c r="AO315" s="190">
        <v>40817</v>
      </c>
      <c r="AP315" s="136">
        <f t="shared" si="35"/>
        <v>10</v>
      </c>
      <c r="AQ315" s="127"/>
      <c r="AR315" s="23"/>
      <c r="AS315" s="94"/>
      <c r="AT315" s="158"/>
      <c r="AU315" s="70">
        <f t="shared" si="34"/>
        <v>9</v>
      </c>
      <c r="AV315" s="70" t="s">
        <v>68</v>
      </c>
    </row>
    <row r="316" spans="1:48" s="136" customFormat="1" ht="19.5" hidden="1" customHeight="1" x14ac:dyDescent="0.2">
      <c r="A316" s="87">
        <v>20294</v>
      </c>
      <c r="B316" s="80" t="s">
        <v>801</v>
      </c>
      <c r="C316" s="80" t="s">
        <v>287</v>
      </c>
      <c r="D316" s="87"/>
      <c r="E316" s="123" t="s">
        <v>94</v>
      </c>
      <c r="F316" s="140">
        <v>29300</v>
      </c>
      <c r="G316" s="123" t="s">
        <v>1829</v>
      </c>
      <c r="H316" s="54" t="s">
        <v>2213</v>
      </c>
      <c r="I316" s="123" t="s">
        <v>2214</v>
      </c>
      <c r="J316" s="140">
        <v>34785</v>
      </c>
      <c r="K316" s="123" t="s">
        <v>2215</v>
      </c>
      <c r="L316" s="123" t="s">
        <v>123</v>
      </c>
      <c r="M316" s="123" t="s">
        <v>1704</v>
      </c>
      <c r="N316" s="123"/>
      <c r="O316" s="106"/>
      <c r="P316" s="54" t="s">
        <v>2216</v>
      </c>
      <c r="Q316" s="123"/>
      <c r="R316" s="123" t="s">
        <v>2217</v>
      </c>
      <c r="S316" s="123"/>
      <c r="T316" s="54" t="s">
        <v>2218</v>
      </c>
      <c r="U316" s="54" t="s">
        <v>2218</v>
      </c>
      <c r="V316" s="123"/>
      <c r="W316" s="123"/>
      <c r="X316" s="123"/>
      <c r="Y316" s="123" t="s">
        <v>374</v>
      </c>
      <c r="Z316" s="54"/>
      <c r="AA316" s="54"/>
      <c r="AB316" s="54">
        <v>3</v>
      </c>
      <c r="AC316" s="54" t="s">
        <v>63</v>
      </c>
      <c r="AD316" s="123" t="s">
        <v>1145</v>
      </c>
      <c r="AE316" s="54" t="s">
        <v>2219</v>
      </c>
      <c r="AF316" s="54" t="s">
        <v>231</v>
      </c>
      <c r="AG316" s="140">
        <v>40756</v>
      </c>
      <c r="AH316" s="65">
        <f t="shared" si="29"/>
        <v>8</v>
      </c>
      <c r="AI316" s="65"/>
      <c r="AJ316" s="140">
        <v>40817</v>
      </c>
      <c r="AK316" s="65">
        <f t="shared" si="30"/>
        <v>10</v>
      </c>
      <c r="AL316" s="54" t="s">
        <v>66</v>
      </c>
      <c r="AM316" s="138"/>
      <c r="AN316" s="138"/>
      <c r="AO316" s="140"/>
      <c r="AP316" s="65" t="str">
        <f t="shared" si="35"/>
        <v/>
      </c>
      <c r="AQ316" s="123"/>
      <c r="AR316" s="23"/>
      <c r="AS316" s="54" t="s">
        <v>107</v>
      </c>
      <c r="AT316" s="158"/>
      <c r="AU316" s="70">
        <f t="shared" si="34"/>
        <v>3</v>
      </c>
      <c r="AV316" s="70" t="s">
        <v>68</v>
      </c>
    </row>
    <row r="317" spans="1:48" s="136" customFormat="1" ht="38.25" hidden="1" x14ac:dyDescent="0.2">
      <c r="A317" s="86">
        <v>20295</v>
      </c>
      <c r="B317" s="3" t="s">
        <v>2220</v>
      </c>
      <c r="C317" s="3" t="s">
        <v>1092</v>
      </c>
      <c r="D317" s="86"/>
      <c r="E317" s="36" t="s">
        <v>51</v>
      </c>
      <c r="F317" s="48">
        <v>27869</v>
      </c>
      <c r="G317" s="36" t="s">
        <v>231</v>
      </c>
      <c r="H317" s="81" t="s">
        <v>239</v>
      </c>
      <c r="I317" s="36" t="s">
        <v>2221</v>
      </c>
      <c r="J317" s="48">
        <v>40617</v>
      </c>
      <c r="K317" s="36" t="s">
        <v>231</v>
      </c>
      <c r="L317" s="36" t="s">
        <v>123</v>
      </c>
      <c r="M317" s="36" t="s">
        <v>1864</v>
      </c>
      <c r="N317" s="36" t="s">
        <v>368</v>
      </c>
      <c r="O317" s="101"/>
      <c r="P317" s="81" t="s">
        <v>2222</v>
      </c>
      <c r="Q317" s="36" t="s">
        <v>2223</v>
      </c>
      <c r="R317" s="36" t="s">
        <v>2224</v>
      </c>
      <c r="S317" s="36"/>
      <c r="T317" s="81" t="s">
        <v>2225</v>
      </c>
      <c r="U317" s="81" t="s">
        <v>2226</v>
      </c>
      <c r="V317" s="36"/>
      <c r="W317" s="36"/>
      <c r="X317" s="36"/>
      <c r="Y317" s="36" t="s">
        <v>180</v>
      </c>
      <c r="Z317" s="81"/>
      <c r="AA317" s="54"/>
      <c r="AB317" s="81" t="s">
        <v>103</v>
      </c>
      <c r="AC317" s="81" t="s">
        <v>63</v>
      </c>
      <c r="AD317" s="36" t="s">
        <v>230</v>
      </c>
      <c r="AE317" s="81"/>
      <c r="AF317" s="81" t="s">
        <v>231</v>
      </c>
      <c r="AG317" s="48"/>
      <c r="AH317" s="134" t="str">
        <f t="shared" si="29"/>
        <v/>
      </c>
      <c r="AI317" s="134"/>
      <c r="AJ317" s="48">
        <v>40770</v>
      </c>
      <c r="AK317" s="134">
        <f t="shared" si="30"/>
        <v>8</v>
      </c>
      <c r="AL317" s="94" t="s">
        <v>82</v>
      </c>
      <c r="AM317" s="78"/>
      <c r="AN317" s="78"/>
      <c r="AO317" s="190">
        <v>40812</v>
      </c>
      <c r="AP317" s="136">
        <f t="shared" si="35"/>
        <v>9</v>
      </c>
      <c r="AQ317" s="127"/>
      <c r="AR317" s="23"/>
      <c r="AS317" s="94"/>
      <c r="AT317" s="158"/>
      <c r="AU317" s="70">
        <f t="shared" si="34"/>
        <v>4</v>
      </c>
      <c r="AV317" s="70" t="s">
        <v>68</v>
      </c>
    </row>
    <row r="318" spans="1:48" s="136" customFormat="1" ht="19.5" hidden="1" customHeight="1" x14ac:dyDescent="0.2">
      <c r="A318" s="86">
        <v>20296</v>
      </c>
      <c r="B318" s="3" t="s">
        <v>2227</v>
      </c>
      <c r="C318" s="3" t="s">
        <v>238</v>
      </c>
      <c r="D318" s="86"/>
      <c r="E318" s="36" t="s">
        <v>94</v>
      </c>
      <c r="F318" s="48"/>
      <c r="G318" s="36" t="s">
        <v>2228</v>
      </c>
      <c r="H318" s="81" t="s">
        <v>2229</v>
      </c>
      <c r="I318" s="36" t="s">
        <v>2230</v>
      </c>
      <c r="J318" s="48">
        <v>38833</v>
      </c>
      <c r="K318" s="36" t="s">
        <v>2228</v>
      </c>
      <c r="L318" s="36" t="s">
        <v>123</v>
      </c>
      <c r="M318" s="36" t="s">
        <v>1864</v>
      </c>
      <c r="N318" s="36" t="s">
        <v>760</v>
      </c>
      <c r="O318" s="101"/>
      <c r="P318" s="81" t="s">
        <v>2231</v>
      </c>
      <c r="Q318" s="36" t="s">
        <v>2232</v>
      </c>
      <c r="R318" s="36" t="s">
        <v>2233</v>
      </c>
      <c r="S318" s="36"/>
      <c r="T318" s="81" t="s">
        <v>2234</v>
      </c>
      <c r="U318" s="81" t="s">
        <v>2235</v>
      </c>
      <c r="V318" s="36"/>
      <c r="W318" s="36"/>
      <c r="X318" s="36"/>
      <c r="Y318" s="36" t="s">
        <v>616</v>
      </c>
      <c r="Z318" s="81"/>
      <c r="AA318" s="54"/>
      <c r="AB318" s="81" t="s">
        <v>285</v>
      </c>
      <c r="AC318" s="81" t="s">
        <v>236</v>
      </c>
      <c r="AD318" s="36" t="s">
        <v>230</v>
      </c>
      <c r="AE318" s="81"/>
      <c r="AF318" s="81" t="s">
        <v>231</v>
      </c>
      <c r="AG318" s="48"/>
      <c r="AH318" s="134" t="str">
        <f t="shared" si="29"/>
        <v/>
      </c>
      <c r="AI318" s="134"/>
      <c r="AJ318" s="48">
        <v>40771</v>
      </c>
      <c r="AK318" s="134">
        <f t="shared" si="30"/>
        <v>8</v>
      </c>
      <c r="AL318" s="94" t="s">
        <v>82</v>
      </c>
      <c r="AM318" s="78"/>
      <c r="AN318" s="78"/>
      <c r="AO318" s="190">
        <v>40783</v>
      </c>
      <c r="AP318" s="136">
        <f t="shared" si="35"/>
        <v>8</v>
      </c>
      <c r="AQ318" s="127"/>
      <c r="AR318" s="23"/>
      <c r="AS318" s="94"/>
      <c r="AT318" s="158"/>
      <c r="AU318" s="70" t="str">
        <f t="shared" si="34"/>
        <v/>
      </c>
      <c r="AV318" s="70" t="s">
        <v>68</v>
      </c>
    </row>
    <row r="319" spans="1:48" s="136" customFormat="1" ht="38.25" hidden="1" x14ac:dyDescent="0.2">
      <c r="A319" s="87">
        <v>20297</v>
      </c>
      <c r="B319" s="80" t="s">
        <v>2236</v>
      </c>
      <c r="C319" s="80" t="s">
        <v>486</v>
      </c>
      <c r="D319" s="87"/>
      <c r="E319" s="123" t="s">
        <v>51</v>
      </c>
      <c r="F319" s="140">
        <v>29869</v>
      </c>
      <c r="G319" s="123" t="s">
        <v>1186</v>
      </c>
      <c r="H319" s="54" t="s">
        <v>2193</v>
      </c>
      <c r="I319" s="123" t="s">
        <v>2237</v>
      </c>
      <c r="J319" s="140">
        <v>40632</v>
      </c>
      <c r="K319" s="123" t="s">
        <v>231</v>
      </c>
      <c r="L319" s="123" t="s">
        <v>123</v>
      </c>
      <c r="M319" s="123" t="s">
        <v>2238</v>
      </c>
      <c r="N319" s="123" t="s">
        <v>2239</v>
      </c>
      <c r="O319" s="106"/>
      <c r="P319" s="54" t="s">
        <v>2240</v>
      </c>
      <c r="Q319" s="123" t="s">
        <v>2241</v>
      </c>
      <c r="R319" s="123" t="s">
        <v>2242</v>
      </c>
      <c r="S319" s="123"/>
      <c r="T319" s="54" t="s">
        <v>2243</v>
      </c>
      <c r="U319" s="54" t="s">
        <v>2244</v>
      </c>
      <c r="V319" s="123"/>
      <c r="W319" s="123"/>
      <c r="X319" s="123"/>
      <c r="Y319" s="123" t="s">
        <v>1649</v>
      </c>
      <c r="Z319" s="54"/>
      <c r="AA319" s="54"/>
      <c r="AB319" s="54">
        <v>2</v>
      </c>
      <c r="AC319" s="54" t="s">
        <v>362</v>
      </c>
      <c r="AD319" s="123" t="s">
        <v>1183</v>
      </c>
      <c r="AE319" s="54" t="s">
        <v>1807</v>
      </c>
      <c r="AF319" s="54" t="s">
        <v>231</v>
      </c>
      <c r="AG319" s="140">
        <v>40771</v>
      </c>
      <c r="AH319" s="65">
        <f t="shared" si="29"/>
        <v>8</v>
      </c>
      <c r="AI319" s="65"/>
      <c r="AJ319" s="140">
        <v>40832</v>
      </c>
      <c r="AK319" s="65">
        <f t="shared" si="30"/>
        <v>10</v>
      </c>
      <c r="AL319" s="54" t="s">
        <v>66</v>
      </c>
      <c r="AM319" s="138"/>
      <c r="AN319" s="138"/>
      <c r="AO319" s="140"/>
      <c r="AP319" s="65" t="str">
        <f t="shared" si="35"/>
        <v/>
      </c>
      <c r="AQ319" s="123"/>
      <c r="AR319" s="23"/>
      <c r="AS319" s="54" t="s">
        <v>107</v>
      </c>
      <c r="AT319" s="194"/>
      <c r="AU319" s="70">
        <f t="shared" si="34"/>
        <v>10</v>
      </c>
      <c r="AV319" s="70" t="s">
        <v>68</v>
      </c>
    </row>
    <row r="320" spans="1:48" s="136" customFormat="1" ht="63.75" hidden="1" x14ac:dyDescent="0.2">
      <c r="A320" s="86">
        <v>20298</v>
      </c>
      <c r="B320" s="3" t="s">
        <v>2245</v>
      </c>
      <c r="C320" s="3" t="s">
        <v>364</v>
      </c>
      <c r="D320" s="86"/>
      <c r="E320" s="36" t="s">
        <v>94</v>
      </c>
      <c r="F320" s="48">
        <v>32445</v>
      </c>
      <c r="G320" s="36"/>
      <c r="H320" s="81" t="s">
        <v>1456</v>
      </c>
      <c r="I320" s="36" t="s">
        <v>2206</v>
      </c>
      <c r="J320" s="48" t="s">
        <v>6353</v>
      </c>
      <c r="K320" s="36" t="s">
        <v>2207</v>
      </c>
      <c r="L320" s="36" t="s">
        <v>318</v>
      </c>
      <c r="M320" s="36" t="s">
        <v>2246</v>
      </c>
      <c r="N320" s="36" t="s">
        <v>320</v>
      </c>
      <c r="O320" s="101"/>
      <c r="P320" s="159" t="s">
        <v>2247</v>
      </c>
      <c r="Q320" s="36"/>
      <c r="R320" s="36" t="s">
        <v>2248</v>
      </c>
      <c r="S320" s="36"/>
      <c r="T320" s="81"/>
      <c r="U320" s="81" t="s">
        <v>2249</v>
      </c>
      <c r="V320" s="36"/>
      <c r="W320" s="36"/>
      <c r="X320" s="36"/>
      <c r="Y320" s="36" t="s">
        <v>616</v>
      </c>
      <c r="Z320" s="81"/>
      <c r="AA320" s="54"/>
      <c r="AB320" s="81" t="s">
        <v>285</v>
      </c>
      <c r="AC320" s="81" t="s">
        <v>236</v>
      </c>
      <c r="AD320" s="36" t="s">
        <v>230</v>
      </c>
      <c r="AE320" s="81" t="s">
        <v>839</v>
      </c>
      <c r="AF320" s="81" t="s">
        <v>231</v>
      </c>
      <c r="AG320" s="48"/>
      <c r="AH320" s="134" t="str">
        <f t="shared" si="29"/>
        <v/>
      </c>
      <c r="AI320" s="134"/>
      <c r="AJ320" s="48">
        <v>40831</v>
      </c>
      <c r="AK320" s="134">
        <f t="shared" si="30"/>
        <v>10</v>
      </c>
      <c r="AL320" s="54" t="s">
        <v>82</v>
      </c>
      <c r="AM320" s="54"/>
      <c r="AN320" s="54"/>
      <c r="AO320" s="190"/>
      <c r="AQ320" s="123"/>
      <c r="AR320" s="23"/>
      <c r="AS320" s="54"/>
      <c r="AT320" s="65"/>
      <c r="AU320" s="70">
        <f t="shared" si="34"/>
        <v>10</v>
      </c>
      <c r="AV320" s="70" t="s">
        <v>68</v>
      </c>
    </row>
    <row r="321" spans="1:48" s="136" customFormat="1" ht="19.5" hidden="1" customHeight="1" x14ac:dyDescent="0.2">
      <c r="A321" s="86">
        <v>20299</v>
      </c>
      <c r="B321" s="3" t="s">
        <v>2250</v>
      </c>
      <c r="C321" s="3" t="s">
        <v>109</v>
      </c>
      <c r="D321" s="86"/>
      <c r="E321" s="36" t="s">
        <v>94</v>
      </c>
      <c r="F321" s="48">
        <v>32920</v>
      </c>
      <c r="G321" s="36"/>
      <c r="H321" s="81" t="s">
        <v>303</v>
      </c>
      <c r="I321" s="36" t="s">
        <v>2251</v>
      </c>
      <c r="J321" s="48">
        <v>38989</v>
      </c>
      <c r="K321" s="36" t="s">
        <v>2252</v>
      </c>
      <c r="L321" s="36" t="s">
        <v>318</v>
      </c>
      <c r="M321" s="36" t="s">
        <v>320</v>
      </c>
      <c r="N321" s="36" t="s">
        <v>320</v>
      </c>
      <c r="O321" s="101"/>
      <c r="P321" s="159" t="s">
        <v>2253</v>
      </c>
      <c r="Q321" s="36"/>
      <c r="R321" s="36" t="s">
        <v>2254</v>
      </c>
      <c r="S321" s="36"/>
      <c r="T321" s="81"/>
      <c r="U321" s="81" t="s">
        <v>2255</v>
      </c>
      <c r="V321" s="36"/>
      <c r="W321" s="36"/>
      <c r="X321" s="36"/>
      <c r="Y321" s="36" t="s">
        <v>284</v>
      </c>
      <c r="Z321" s="81"/>
      <c r="AA321" s="54"/>
      <c r="AB321" s="81" t="s">
        <v>285</v>
      </c>
      <c r="AC321" s="81" t="s">
        <v>236</v>
      </c>
      <c r="AD321" s="36" t="s">
        <v>230</v>
      </c>
      <c r="AE321" s="81" t="s">
        <v>2256</v>
      </c>
      <c r="AF321" s="81" t="s">
        <v>231</v>
      </c>
      <c r="AG321" s="48"/>
      <c r="AH321" s="134" t="str">
        <f t="shared" si="29"/>
        <v/>
      </c>
      <c r="AI321" s="134"/>
      <c r="AJ321" s="48">
        <v>40896</v>
      </c>
      <c r="AK321" s="134">
        <f t="shared" si="30"/>
        <v>12</v>
      </c>
      <c r="AL321" s="54" t="s">
        <v>82</v>
      </c>
      <c r="AM321" s="54"/>
      <c r="AN321" s="54"/>
      <c r="AO321" s="190"/>
      <c r="AQ321" s="123"/>
      <c r="AR321" s="23"/>
      <c r="AS321" s="54"/>
      <c r="AT321" s="65"/>
      <c r="AU321" s="70">
        <f t="shared" si="34"/>
        <v>2</v>
      </c>
      <c r="AV321" s="70" t="s">
        <v>68</v>
      </c>
    </row>
    <row r="322" spans="1:48" s="136" customFormat="1" ht="38.25" hidden="1" x14ac:dyDescent="0.2">
      <c r="A322" s="86">
        <v>20300</v>
      </c>
      <c r="B322" s="3" t="s">
        <v>2257</v>
      </c>
      <c r="C322" s="3" t="s">
        <v>2258</v>
      </c>
      <c r="D322" s="86"/>
      <c r="E322" s="36" t="s">
        <v>51</v>
      </c>
      <c r="F322" s="48" t="s">
        <v>2259</v>
      </c>
      <c r="G322" s="36"/>
      <c r="H322" s="81" t="s">
        <v>161</v>
      </c>
      <c r="I322" s="36" t="s">
        <v>2260</v>
      </c>
      <c r="J322" s="48">
        <v>36333</v>
      </c>
      <c r="K322" s="36" t="s">
        <v>268</v>
      </c>
      <c r="L322" s="36" t="s">
        <v>318</v>
      </c>
      <c r="M322" s="36" t="s">
        <v>2261</v>
      </c>
      <c r="N322" s="36" t="s">
        <v>320</v>
      </c>
      <c r="O322" s="101"/>
      <c r="P322" s="159" t="s">
        <v>2262</v>
      </c>
      <c r="Q322" s="36"/>
      <c r="R322" s="36" t="s">
        <v>2263</v>
      </c>
      <c r="S322" s="36"/>
      <c r="T322" s="81"/>
      <c r="U322" s="81" t="s">
        <v>2264</v>
      </c>
      <c r="V322" s="36"/>
      <c r="W322" s="36"/>
      <c r="X322" s="36"/>
      <c r="Y322" s="36" t="s">
        <v>284</v>
      </c>
      <c r="Z322" s="81"/>
      <c r="AA322" s="54"/>
      <c r="AB322" s="81" t="s">
        <v>285</v>
      </c>
      <c r="AC322" s="81" t="s">
        <v>236</v>
      </c>
      <c r="AD322" s="36" t="s">
        <v>230</v>
      </c>
      <c r="AE322" s="81"/>
      <c r="AF322" s="81" t="s">
        <v>231</v>
      </c>
      <c r="AG322" s="48"/>
      <c r="AH322" s="48"/>
      <c r="AI322" s="48"/>
      <c r="AJ322" s="48">
        <v>40882</v>
      </c>
      <c r="AK322" s="134">
        <f t="shared" si="30"/>
        <v>12</v>
      </c>
      <c r="AL322" s="54" t="s">
        <v>82</v>
      </c>
      <c r="AM322" s="54"/>
      <c r="AN322" s="54"/>
      <c r="AO322" s="190">
        <v>40544</v>
      </c>
      <c r="AP322" s="136">
        <f>IF((AO322=""),"",MONTH(AO322))</f>
        <v>1</v>
      </c>
      <c r="AQ322" s="123"/>
      <c r="AR322" s="23"/>
      <c r="AS322" s="54"/>
      <c r="AT322" s="65"/>
      <c r="AU322" s="70">
        <f t="shared" si="34"/>
        <v>1</v>
      </c>
      <c r="AV322" s="70" t="s">
        <v>68</v>
      </c>
    </row>
    <row r="323" spans="1:48" s="136" customFormat="1" ht="25.5" hidden="1" x14ac:dyDescent="0.2">
      <c r="A323" s="86">
        <v>20301</v>
      </c>
      <c r="B323" s="3" t="s">
        <v>2265</v>
      </c>
      <c r="C323" s="3" t="s">
        <v>2266</v>
      </c>
      <c r="D323" s="86"/>
      <c r="E323" s="36" t="s">
        <v>94</v>
      </c>
      <c r="F323" s="48">
        <v>32321</v>
      </c>
      <c r="G323" s="36"/>
      <c r="H323" s="81" t="s">
        <v>231</v>
      </c>
      <c r="I323" s="36" t="s">
        <v>2267</v>
      </c>
      <c r="J323" s="48">
        <v>37979</v>
      </c>
      <c r="K323" s="36" t="s">
        <v>241</v>
      </c>
      <c r="L323" s="36" t="s">
        <v>318</v>
      </c>
      <c r="M323" s="36" t="s">
        <v>2268</v>
      </c>
      <c r="N323" s="36" t="s">
        <v>320</v>
      </c>
      <c r="O323" s="101"/>
      <c r="P323" s="159" t="s">
        <v>2269</v>
      </c>
      <c r="Q323" s="36"/>
      <c r="R323" s="36" t="s">
        <v>2270</v>
      </c>
      <c r="S323" s="36"/>
      <c r="T323" s="81"/>
      <c r="U323" s="81" t="s">
        <v>2271</v>
      </c>
      <c r="V323" s="36"/>
      <c r="W323" s="36"/>
      <c r="X323" s="36"/>
      <c r="Y323" s="36" t="s">
        <v>284</v>
      </c>
      <c r="Z323" s="81"/>
      <c r="AA323" s="54"/>
      <c r="AB323" s="81" t="s">
        <v>285</v>
      </c>
      <c r="AC323" s="81" t="s">
        <v>236</v>
      </c>
      <c r="AD323" s="36" t="s">
        <v>230</v>
      </c>
      <c r="AE323" s="81"/>
      <c r="AF323" s="81" t="s">
        <v>231</v>
      </c>
      <c r="AG323" s="48"/>
      <c r="AH323" s="48"/>
      <c r="AI323" s="48"/>
      <c r="AJ323" s="48">
        <v>40858</v>
      </c>
      <c r="AK323" s="134">
        <f t="shared" ref="AK323:AK386" si="36">IF((AJ323=""),"",MONTH(AJ323))</f>
        <v>11</v>
      </c>
      <c r="AL323" s="54" t="s">
        <v>82</v>
      </c>
      <c r="AM323" s="54"/>
      <c r="AN323" s="54"/>
      <c r="AO323" s="190">
        <v>41189</v>
      </c>
      <c r="AP323" s="136">
        <f>IF((AO323=""),"",MONTH(AO323))</f>
        <v>10</v>
      </c>
      <c r="AQ323" s="123"/>
      <c r="AR323" s="23"/>
      <c r="AS323" s="54"/>
      <c r="AT323" s="65"/>
      <c r="AU323" s="70">
        <f t="shared" si="34"/>
        <v>6</v>
      </c>
      <c r="AV323" s="70" t="s">
        <v>68</v>
      </c>
    </row>
    <row r="324" spans="1:48" s="136" customFormat="1" ht="19.5" hidden="1" customHeight="1" x14ac:dyDescent="0.2">
      <c r="A324" s="87">
        <v>20302</v>
      </c>
      <c r="B324" s="80" t="s">
        <v>2272</v>
      </c>
      <c r="C324" s="80" t="s">
        <v>778</v>
      </c>
      <c r="D324" s="87"/>
      <c r="E324" s="123" t="s">
        <v>94</v>
      </c>
      <c r="F324" s="140">
        <v>31567</v>
      </c>
      <c r="G324" s="123" t="s">
        <v>884</v>
      </c>
      <c r="H324" s="54" t="s">
        <v>2273</v>
      </c>
      <c r="I324" s="123" t="s">
        <v>2274</v>
      </c>
      <c r="J324" s="140">
        <v>37769</v>
      </c>
      <c r="K324" s="123" t="s">
        <v>2275</v>
      </c>
      <c r="L324" s="123" t="s">
        <v>123</v>
      </c>
      <c r="M324" s="123" t="s">
        <v>1572</v>
      </c>
      <c r="N324" s="123"/>
      <c r="O324" s="106"/>
      <c r="P324" s="54" t="s">
        <v>2276</v>
      </c>
      <c r="Q324" s="123" t="s">
        <v>2277</v>
      </c>
      <c r="R324" s="123" t="s">
        <v>2278</v>
      </c>
      <c r="S324" s="123"/>
      <c r="T324" s="54" t="s">
        <v>2279</v>
      </c>
      <c r="U324" s="54" t="s">
        <v>2280</v>
      </c>
      <c r="V324" s="123"/>
      <c r="W324" s="123"/>
      <c r="X324" s="123"/>
      <c r="Y324" s="123" t="s">
        <v>2281</v>
      </c>
      <c r="Z324" s="54"/>
      <c r="AA324" s="54"/>
      <c r="AB324" s="54" t="s">
        <v>285</v>
      </c>
      <c r="AC324" s="54" t="s">
        <v>236</v>
      </c>
      <c r="AD324" s="123" t="s">
        <v>1183</v>
      </c>
      <c r="AE324" s="54" t="s">
        <v>1807</v>
      </c>
      <c r="AF324" s="54" t="s">
        <v>231</v>
      </c>
      <c r="AG324" s="140">
        <v>40798</v>
      </c>
      <c r="AH324" s="65">
        <f>IF((AG324=""),"",MONTH(AG324))</f>
        <v>9</v>
      </c>
      <c r="AI324" s="65"/>
      <c r="AJ324" s="140">
        <v>40859</v>
      </c>
      <c r="AK324" s="65">
        <f t="shared" si="36"/>
        <v>11</v>
      </c>
      <c r="AL324" s="54" t="s">
        <v>66</v>
      </c>
      <c r="AM324" s="138"/>
      <c r="AN324" s="138"/>
      <c r="AO324" s="140"/>
      <c r="AP324" s="65" t="str">
        <f>IF((AO324=""),"",MONTH(AO324))</f>
        <v/>
      </c>
      <c r="AQ324" s="123"/>
      <c r="AR324" s="23"/>
      <c r="AS324" s="54" t="s">
        <v>347</v>
      </c>
      <c r="AT324" s="184"/>
      <c r="AU324" s="70">
        <f t="shared" si="34"/>
        <v>6</v>
      </c>
      <c r="AV324" s="70" t="s">
        <v>68</v>
      </c>
    </row>
    <row r="325" spans="1:48" s="136" customFormat="1" ht="12.75" hidden="1" x14ac:dyDescent="0.2">
      <c r="A325" s="86">
        <v>20302.2</v>
      </c>
      <c r="B325" s="3" t="s">
        <v>199</v>
      </c>
      <c r="C325" s="3" t="s">
        <v>725</v>
      </c>
      <c r="D325" s="86"/>
      <c r="E325" s="36" t="s">
        <v>94</v>
      </c>
      <c r="F325" s="48"/>
      <c r="G325" s="36" t="s">
        <v>231</v>
      </c>
      <c r="H325" s="81" t="s">
        <v>239</v>
      </c>
      <c r="I325" s="36"/>
      <c r="J325" s="48"/>
      <c r="K325" s="36"/>
      <c r="L325" s="36" t="s">
        <v>123</v>
      </c>
      <c r="M325" s="36"/>
      <c r="N325" s="36"/>
      <c r="O325" s="101"/>
      <c r="P325" s="81" t="s">
        <v>2282</v>
      </c>
      <c r="Q325" s="36"/>
      <c r="R325" s="36"/>
      <c r="S325" s="36"/>
      <c r="T325" s="81" t="s">
        <v>0</v>
      </c>
      <c r="U325" s="81" t="s">
        <v>0</v>
      </c>
      <c r="V325" s="36"/>
      <c r="W325" s="36"/>
      <c r="X325" s="36"/>
      <c r="Y325" s="36" t="s">
        <v>616</v>
      </c>
      <c r="Z325" s="81"/>
      <c r="AA325" s="54"/>
      <c r="AB325" s="81" t="s">
        <v>285</v>
      </c>
      <c r="AC325" s="81" t="s">
        <v>236</v>
      </c>
      <c r="AD325" s="36"/>
      <c r="AE325" s="81"/>
      <c r="AF325" s="81"/>
      <c r="AG325" s="48"/>
      <c r="AH325" s="134" t="str">
        <f>IF((AG325=""),"",MONTH(AG325))</f>
        <v/>
      </c>
      <c r="AI325" s="134"/>
      <c r="AJ325" s="48">
        <v>40783</v>
      </c>
      <c r="AK325" s="134">
        <f t="shared" si="36"/>
        <v>8</v>
      </c>
      <c r="AL325" s="94" t="s">
        <v>82</v>
      </c>
      <c r="AM325" s="78"/>
      <c r="AN325" s="78"/>
      <c r="AO325" s="190">
        <v>40805</v>
      </c>
      <c r="AP325" s="136">
        <f>IF((AO325=""),"",MONTH(AO325))</f>
        <v>9</v>
      </c>
      <c r="AQ325" s="127"/>
      <c r="AR325" s="23"/>
      <c r="AS325" s="94"/>
      <c r="AT325" s="194"/>
      <c r="AU325" s="70" t="str">
        <f t="shared" si="34"/>
        <v/>
      </c>
      <c r="AV325" s="70" t="s">
        <v>68</v>
      </c>
    </row>
    <row r="326" spans="1:48" s="136" customFormat="1" ht="25.5" hidden="1" x14ac:dyDescent="0.2">
      <c r="A326" s="86">
        <v>20303</v>
      </c>
      <c r="B326" s="3" t="s">
        <v>2283</v>
      </c>
      <c r="C326" s="3" t="s">
        <v>535</v>
      </c>
      <c r="D326" s="86"/>
      <c r="E326" s="36" t="s">
        <v>94</v>
      </c>
      <c r="F326" s="48">
        <v>32459</v>
      </c>
      <c r="G326" s="36"/>
      <c r="H326" s="81" t="s">
        <v>231</v>
      </c>
      <c r="I326" s="36" t="s">
        <v>2284</v>
      </c>
      <c r="J326" s="48">
        <v>39246</v>
      </c>
      <c r="K326" s="36" t="s">
        <v>231</v>
      </c>
      <c r="L326" s="36" t="s">
        <v>318</v>
      </c>
      <c r="M326" s="36" t="s">
        <v>320</v>
      </c>
      <c r="N326" s="36" t="s">
        <v>320</v>
      </c>
      <c r="O326" s="101"/>
      <c r="P326" s="159" t="s">
        <v>2285</v>
      </c>
      <c r="Q326" s="36"/>
      <c r="R326" s="36" t="s">
        <v>2286</v>
      </c>
      <c r="S326" s="36"/>
      <c r="T326" s="81"/>
      <c r="U326" s="81" t="s">
        <v>2287</v>
      </c>
      <c r="V326" s="36"/>
      <c r="W326" s="36"/>
      <c r="X326" s="36"/>
      <c r="Y326" s="36" t="s">
        <v>616</v>
      </c>
      <c r="Z326" s="81"/>
      <c r="AA326" s="54"/>
      <c r="AB326" s="81" t="s">
        <v>285</v>
      </c>
      <c r="AC326" s="81" t="s">
        <v>236</v>
      </c>
      <c r="AD326" s="36"/>
      <c r="AE326" s="81"/>
      <c r="AF326" s="81" t="s">
        <v>231</v>
      </c>
      <c r="AG326" s="48"/>
      <c r="AH326" s="48"/>
      <c r="AI326" s="48"/>
      <c r="AJ326" s="48">
        <v>40844</v>
      </c>
      <c r="AK326" s="134">
        <f t="shared" si="36"/>
        <v>10</v>
      </c>
      <c r="AL326" s="54" t="s">
        <v>82</v>
      </c>
      <c r="AM326" s="54"/>
      <c r="AN326" s="54"/>
      <c r="AO326" s="190"/>
      <c r="AQ326" s="123"/>
      <c r="AR326" s="23"/>
      <c r="AS326" s="54"/>
      <c r="AT326" s="65"/>
      <c r="AU326" s="70">
        <f t="shared" si="34"/>
        <v>11</v>
      </c>
      <c r="AV326" s="70" t="s">
        <v>68</v>
      </c>
    </row>
    <row r="327" spans="1:48" s="136" customFormat="1" ht="25.5" hidden="1" x14ac:dyDescent="0.2">
      <c r="A327" s="86">
        <v>20304</v>
      </c>
      <c r="B327" s="3" t="s">
        <v>2288</v>
      </c>
      <c r="C327" s="3" t="s">
        <v>1017</v>
      </c>
      <c r="D327" s="86"/>
      <c r="E327" s="36" t="s">
        <v>94</v>
      </c>
      <c r="F327" s="48">
        <v>32632</v>
      </c>
      <c r="G327" s="36"/>
      <c r="H327" s="81" t="s">
        <v>726</v>
      </c>
      <c r="I327" s="36" t="s">
        <v>2289</v>
      </c>
      <c r="J327" s="48">
        <v>39941</v>
      </c>
      <c r="K327" s="36" t="s">
        <v>726</v>
      </c>
      <c r="L327" s="36" t="s">
        <v>318</v>
      </c>
      <c r="M327" s="36" t="s">
        <v>2290</v>
      </c>
      <c r="N327" s="36" t="s">
        <v>320</v>
      </c>
      <c r="O327" s="101"/>
      <c r="P327" s="159" t="s">
        <v>2291</v>
      </c>
      <c r="Q327" s="36"/>
      <c r="R327" s="36" t="s">
        <v>2292</v>
      </c>
      <c r="S327" s="36"/>
      <c r="T327" s="81"/>
      <c r="U327" s="81" t="s">
        <v>2293</v>
      </c>
      <c r="V327" s="36"/>
      <c r="W327" s="36"/>
      <c r="X327" s="36"/>
      <c r="Y327" s="36" t="s">
        <v>616</v>
      </c>
      <c r="Z327" s="81"/>
      <c r="AA327" s="54"/>
      <c r="AB327" s="81" t="s">
        <v>285</v>
      </c>
      <c r="AC327" s="81" t="s">
        <v>236</v>
      </c>
      <c r="AD327" s="36"/>
      <c r="AE327" s="81"/>
      <c r="AF327" s="81" t="s">
        <v>231</v>
      </c>
      <c r="AG327" s="48"/>
      <c r="AH327" s="48"/>
      <c r="AI327" s="48"/>
      <c r="AJ327" s="48">
        <v>40865</v>
      </c>
      <c r="AK327" s="134">
        <f t="shared" si="36"/>
        <v>11</v>
      </c>
      <c r="AL327" s="54" t="s">
        <v>82</v>
      </c>
      <c r="AM327" s="54"/>
      <c r="AN327" s="54"/>
      <c r="AO327" s="190"/>
      <c r="AQ327" s="123"/>
      <c r="AR327" s="23"/>
      <c r="AS327" s="54"/>
      <c r="AT327" s="65"/>
      <c r="AU327" s="70">
        <f t="shared" si="34"/>
        <v>5</v>
      </c>
      <c r="AV327" s="70" t="s">
        <v>68</v>
      </c>
    </row>
    <row r="328" spans="1:48" ht="12.75" hidden="1" x14ac:dyDescent="0.2">
      <c r="A328" s="86">
        <v>20305</v>
      </c>
      <c r="B328" s="3" t="s">
        <v>2294</v>
      </c>
      <c r="C328" s="3" t="s">
        <v>2295</v>
      </c>
      <c r="D328" s="86"/>
      <c r="E328" s="36" t="s">
        <v>51</v>
      </c>
      <c r="F328" s="48">
        <v>30748</v>
      </c>
      <c r="G328" s="36" t="s">
        <v>365</v>
      </c>
      <c r="H328" s="81" t="s">
        <v>366</v>
      </c>
      <c r="I328" s="36" t="s">
        <v>2296</v>
      </c>
      <c r="J328" s="48">
        <v>38834</v>
      </c>
      <c r="K328" s="36" t="s">
        <v>52</v>
      </c>
      <c r="L328" s="36" t="s">
        <v>123</v>
      </c>
      <c r="M328" s="36" t="s">
        <v>1048</v>
      </c>
      <c r="N328" s="36"/>
      <c r="O328" s="101"/>
      <c r="P328" s="81" t="s">
        <v>2297</v>
      </c>
      <c r="Q328" s="36"/>
      <c r="R328" s="36" t="s">
        <v>2298</v>
      </c>
      <c r="S328" s="36"/>
      <c r="T328" s="81" t="s">
        <v>0</v>
      </c>
      <c r="U328" s="81" t="s">
        <v>0</v>
      </c>
      <c r="V328" s="36"/>
      <c r="W328" s="36"/>
      <c r="X328" s="36"/>
      <c r="Y328" s="36" t="s">
        <v>284</v>
      </c>
      <c r="Z328" s="81"/>
      <c r="AA328" s="54"/>
      <c r="AB328" s="81" t="s">
        <v>285</v>
      </c>
      <c r="AC328" s="81" t="s">
        <v>236</v>
      </c>
      <c r="AD328" s="36"/>
      <c r="AE328" s="81"/>
      <c r="AF328" s="81" t="s">
        <v>231</v>
      </c>
      <c r="AG328" s="48"/>
      <c r="AH328" s="134" t="str">
        <f>IF((AG328=""),"",MONTH(AG328))</f>
        <v/>
      </c>
      <c r="AI328" s="134"/>
      <c r="AJ328" s="48"/>
      <c r="AK328" s="134" t="str">
        <f t="shared" si="36"/>
        <v/>
      </c>
      <c r="AL328" s="94" t="s">
        <v>82</v>
      </c>
      <c r="AM328" s="78"/>
      <c r="AN328" s="78"/>
      <c r="AO328" s="190"/>
      <c r="AP328" s="136" t="str">
        <f>IF((AO328=""),"",MONTH(AO328))</f>
        <v/>
      </c>
      <c r="AQ328" s="127"/>
      <c r="AR328" s="23"/>
      <c r="AS328" s="94"/>
      <c r="AT328" s="136"/>
      <c r="AU328" s="70">
        <f t="shared" si="34"/>
        <v>3</v>
      </c>
      <c r="AV328" s="70" t="s">
        <v>68</v>
      </c>
    </row>
    <row r="329" spans="1:48" ht="19.5" hidden="1" customHeight="1" x14ac:dyDescent="0.2">
      <c r="A329" s="86">
        <v>20305</v>
      </c>
      <c r="B329" s="3" t="s">
        <v>2288</v>
      </c>
      <c r="C329" s="3" t="s">
        <v>1017</v>
      </c>
      <c r="D329" s="86"/>
      <c r="E329" s="36" t="s">
        <v>94</v>
      </c>
      <c r="F329" s="48">
        <v>32603</v>
      </c>
      <c r="G329" s="36" t="s">
        <v>726</v>
      </c>
      <c r="H329" s="81" t="s">
        <v>727</v>
      </c>
      <c r="I329" s="36" t="s">
        <v>2289</v>
      </c>
      <c r="J329" s="48">
        <v>39941</v>
      </c>
      <c r="K329" s="36" t="s">
        <v>726</v>
      </c>
      <c r="L329" s="36" t="s">
        <v>123</v>
      </c>
      <c r="M329" s="36" t="s">
        <v>2238</v>
      </c>
      <c r="N329" s="36"/>
      <c r="O329" s="101"/>
      <c r="P329" s="81" t="s">
        <v>2291</v>
      </c>
      <c r="Q329" s="36"/>
      <c r="R329" s="36" t="s">
        <v>2292</v>
      </c>
      <c r="S329" s="36"/>
      <c r="T329" s="81" t="s">
        <v>2299</v>
      </c>
      <c r="U329" s="81" t="s">
        <v>2300</v>
      </c>
      <c r="V329" s="36"/>
      <c r="W329" s="36"/>
      <c r="X329" s="36"/>
      <c r="Y329" s="36" t="s">
        <v>616</v>
      </c>
      <c r="Z329" s="81"/>
      <c r="AA329" s="54"/>
      <c r="AB329" s="81" t="s">
        <v>285</v>
      </c>
      <c r="AC329" s="81" t="s">
        <v>236</v>
      </c>
      <c r="AD329" s="36"/>
      <c r="AE329" s="81"/>
      <c r="AF329" s="81"/>
      <c r="AG329" s="48"/>
      <c r="AH329" s="134" t="str">
        <f>IF((AG329=""),"",MONTH(AG329))</f>
        <v/>
      </c>
      <c r="AI329" s="134"/>
      <c r="AJ329" s="48"/>
      <c r="AK329" s="134" t="str">
        <f t="shared" si="36"/>
        <v/>
      </c>
      <c r="AL329" s="94" t="s">
        <v>82</v>
      </c>
      <c r="AM329" s="78"/>
      <c r="AN329" s="78"/>
      <c r="AO329" s="190">
        <v>40870</v>
      </c>
      <c r="AP329" s="136">
        <f>IF((AO329=""),"",MONTH(AO329))</f>
        <v>11</v>
      </c>
      <c r="AQ329" s="127"/>
      <c r="AR329" s="23"/>
      <c r="AS329" s="94"/>
      <c r="AT329" s="136"/>
      <c r="AU329" s="70">
        <f t="shared" si="34"/>
        <v>4</v>
      </c>
      <c r="AV329" s="70" t="s">
        <v>68</v>
      </c>
    </row>
    <row r="330" spans="1:48" s="136" customFormat="1" ht="12.75" hidden="1" x14ac:dyDescent="0.2">
      <c r="A330" s="86">
        <v>20306</v>
      </c>
      <c r="B330" s="3" t="s">
        <v>199</v>
      </c>
      <c r="C330" s="3" t="s">
        <v>256</v>
      </c>
      <c r="D330" s="86"/>
      <c r="E330" s="36" t="s">
        <v>94</v>
      </c>
      <c r="F330" s="48"/>
      <c r="G330" s="36"/>
      <c r="H330" s="81" t="s">
        <v>231</v>
      </c>
      <c r="I330" s="36"/>
      <c r="J330" s="48"/>
      <c r="K330" s="36"/>
      <c r="L330" s="36" t="s">
        <v>318</v>
      </c>
      <c r="M330" s="36" t="s">
        <v>320</v>
      </c>
      <c r="N330" s="36" t="s">
        <v>320</v>
      </c>
      <c r="O330" s="101"/>
      <c r="P330" s="159" t="s">
        <v>2282</v>
      </c>
      <c r="Q330" s="36"/>
      <c r="R330" s="36"/>
      <c r="S330" s="36"/>
      <c r="T330" s="81"/>
      <c r="U330" s="81"/>
      <c r="V330" s="36"/>
      <c r="W330" s="36"/>
      <c r="X330" s="36"/>
      <c r="Y330" s="36" t="s">
        <v>616</v>
      </c>
      <c r="Z330" s="81"/>
      <c r="AA330" s="54"/>
      <c r="AB330" s="81" t="s">
        <v>285</v>
      </c>
      <c r="AC330" s="81" t="s">
        <v>236</v>
      </c>
      <c r="AD330" s="36" t="s">
        <v>464</v>
      </c>
      <c r="AE330" s="81"/>
      <c r="AF330" s="81" t="s">
        <v>231</v>
      </c>
      <c r="AG330" s="48"/>
      <c r="AH330" s="48"/>
      <c r="AI330" s="48"/>
      <c r="AJ330" s="48"/>
      <c r="AK330" s="134" t="str">
        <f t="shared" si="36"/>
        <v/>
      </c>
      <c r="AL330" s="54" t="s">
        <v>82</v>
      </c>
      <c r="AM330" s="54"/>
      <c r="AN330" s="54"/>
      <c r="AO330" s="190"/>
      <c r="AQ330" s="123"/>
      <c r="AR330" s="23"/>
      <c r="AS330" s="54"/>
      <c r="AT330" s="65"/>
      <c r="AU330" s="70" t="str">
        <f t="shared" si="34"/>
        <v/>
      </c>
      <c r="AV330" s="70" t="s">
        <v>68</v>
      </c>
    </row>
    <row r="331" spans="1:48" s="136" customFormat="1" ht="19.5" hidden="1" customHeight="1" x14ac:dyDescent="0.2">
      <c r="A331" s="86">
        <v>20307</v>
      </c>
      <c r="B331" s="3" t="s">
        <v>801</v>
      </c>
      <c r="C331" s="3" t="s">
        <v>200</v>
      </c>
      <c r="D331" s="86"/>
      <c r="E331" s="36" t="s">
        <v>94</v>
      </c>
      <c r="F331" s="48"/>
      <c r="G331" s="36" t="s">
        <v>303</v>
      </c>
      <c r="H331" s="81" t="s">
        <v>304</v>
      </c>
      <c r="I331" s="36" t="s">
        <v>2301</v>
      </c>
      <c r="J331" s="48">
        <v>40038</v>
      </c>
      <c r="K331" s="36" t="s">
        <v>303</v>
      </c>
      <c r="L331" s="36" t="s">
        <v>352</v>
      </c>
      <c r="M331" s="36" t="s">
        <v>2302</v>
      </c>
      <c r="N331" s="36"/>
      <c r="O331" s="101"/>
      <c r="P331" s="81" t="s">
        <v>2303</v>
      </c>
      <c r="Q331" s="36"/>
      <c r="R331" s="36" t="s">
        <v>2304</v>
      </c>
      <c r="S331" s="36"/>
      <c r="T331" s="81" t="s">
        <v>2305</v>
      </c>
      <c r="U331" s="81" t="s">
        <v>2306</v>
      </c>
      <c r="V331" s="36"/>
      <c r="W331" s="36"/>
      <c r="X331" s="36"/>
      <c r="Y331" s="36" t="s">
        <v>616</v>
      </c>
      <c r="Z331" s="81"/>
      <c r="AA331" s="54"/>
      <c r="AB331" s="81" t="s">
        <v>285</v>
      </c>
      <c r="AC331" s="81" t="s">
        <v>236</v>
      </c>
      <c r="AD331" s="36" t="s">
        <v>207</v>
      </c>
      <c r="AE331" s="81" t="s">
        <v>1174</v>
      </c>
      <c r="AF331" s="81" t="s">
        <v>65</v>
      </c>
      <c r="AG331" s="48"/>
      <c r="AH331" s="134" t="str">
        <f>IF((AG331=""),"",MONTH(AG331))</f>
        <v/>
      </c>
      <c r="AI331" s="134"/>
      <c r="AJ331" s="48">
        <v>40770</v>
      </c>
      <c r="AK331" s="134">
        <f t="shared" si="36"/>
        <v>8</v>
      </c>
      <c r="AL331" s="94" t="s">
        <v>82</v>
      </c>
      <c r="AM331" s="78"/>
      <c r="AN331" s="78"/>
      <c r="AO331" s="190">
        <v>40817</v>
      </c>
      <c r="AP331" s="136">
        <f t="shared" ref="AP331:AP339" si="37">IF((AO331=""),"",MONTH(AO331))</f>
        <v>10</v>
      </c>
      <c r="AQ331" s="127"/>
      <c r="AR331" s="23"/>
      <c r="AS331" s="94"/>
      <c r="AT331" s="23"/>
      <c r="AU331" s="70" t="str">
        <f t="shared" si="34"/>
        <v/>
      </c>
      <c r="AV331" s="70" t="s">
        <v>68</v>
      </c>
    </row>
    <row r="332" spans="1:48" ht="19.5" hidden="1" customHeight="1" x14ac:dyDescent="0.2">
      <c r="A332" s="87">
        <v>20308</v>
      </c>
      <c r="B332" s="80" t="s">
        <v>1506</v>
      </c>
      <c r="C332" s="80" t="s">
        <v>771</v>
      </c>
      <c r="D332" s="87"/>
      <c r="E332" s="123" t="s">
        <v>94</v>
      </c>
      <c r="F332" s="140">
        <v>31965</v>
      </c>
      <c r="G332" s="123" t="s">
        <v>412</v>
      </c>
      <c r="H332" s="54" t="s">
        <v>413</v>
      </c>
      <c r="I332" s="123" t="s">
        <v>2307</v>
      </c>
      <c r="J332" s="140">
        <v>41190</v>
      </c>
      <c r="K332" s="123" t="s">
        <v>412</v>
      </c>
      <c r="L332" s="123" t="s">
        <v>123</v>
      </c>
      <c r="M332" s="123" t="s">
        <v>2308</v>
      </c>
      <c r="N332" s="123" t="s">
        <v>458</v>
      </c>
      <c r="O332" s="106"/>
      <c r="P332" s="54" t="s">
        <v>2309</v>
      </c>
      <c r="Q332" s="123"/>
      <c r="R332" s="123" t="s">
        <v>2310</v>
      </c>
      <c r="S332" s="123"/>
      <c r="T332" s="54" t="s">
        <v>2311</v>
      </c>
      <c r="U332" s="54" t="s">
        <v>2312</v>
      </c>
      <c r="V332" s="123"/>
      <c r="W332" s="123"/>
      <c r="X332" s="123"/>
      <c r="Y332" s="123" t="s">
        <v>312</v>
      </c>
      <c r="Z332" s="54"/>
      <c r="AA332" s="54"/>
      <c r="AB332" s="54" t="s">
        <v>285</v>
      </c>
      <c r="AC332" s="54" t="s">
        <v>236</v>
      </c>
      <c r="AD332" s="123" t="s">
        <v>198</v>
      </c>
      <c r="AE332" s="54" t="s">
        <v>313</v>
      </c>
      <c r="AF332" s="54" t="s">
        <v>65</v>
      </c>
      <c r="AG332" s="140">
        <v>40770</v>
      </c>
      <c r="AH332" s="65">
        <f>IF((AG332=""),"",MONTH(AG332))</f>
        <v>8</v>
      </c>
      <c r="AI332" s="65"/>
      <c r="AJ332" s="140">
        <v>40816</v>
      </c>
      <c r="AK332" s="65">
        <f t="shared" si="36"/>
        <v>9</v>
      </c>
      <c r="AL332" s="54" t="s">
        <v>66</v>
      </c>
      <c r="AM332" s="138">
        <v>41172</v>
      </c>
      <c r="AN332" s="138">
        <v>41397</v>
      </c>
      <c r="AO332" s="140"/>
      <c r="AP332" s="65" t="str">
        <f t="shared" si="37"/>
        <v/>
      </c>
      <c r="AQ332" s="123"/>
      <c r="AR332" s="23"/>
      <c r="AS332" s="54" t="s">
        <v>107</v>
      </c>
      <c r="AT332" s="136"/>
      <c r="AU332" s="70">
        <f t="shared" si="34"/>
        <v>7</v>
      </c>
      <c r="AV332" s="70" t="s">
        <v>68</v>
      </c>
    </row>
    <row r="333" spans="1:48" s="136" customFormat="1" ht="12.75" hidden="1" x14ac:dyDescent="0.2">
      <c r="A333" s="86">
        <v>20309</v>
      </c>
      <c r="B333" s="3" t="s">
        <v>2313</v>
      </c>
      <c r="C333" s="3" t="s">
        <v>2019</v>
      </c>
      <c r="D333" s="86"/>
      <c r="E333" s="36" t="s">
        <v>51</v>
      </c>
      <c r="F333" s="48"/>
      <c r="G333" s="36" t="s">
        <v>365</v>
      </c>
      <c r="H333" s="81" t="s">
        <v>366</v>
      </c>
      <c r="I333" s="36"/>
      <c r="J333" s="48"/>
      <c r="K333" s="36"/>
      <c r="L333" s="36" t="s">
        <v>123</v>
      </c>
      <c r="M333" s="36"/>
      <c r="N333" s="36"/>
      <c r="O333" s="101"/>
      <c r="P333" s="81"/>
      <c r="Q333" s="36"/>
      <c r="R333" s="36"/>
      <c r="S333" s="36"/>
      <c r="T333" s="81" t="s">
        <v>0</v>
      </c>
      <c r="U333" s="81" t="s">
        <v>0</v>
      </c>
      <c r="V333" s="36"/>
      <c r="W333" s="36"/>
      <c r="X333" s="36"/>
      <c r="Y333" s="36" t="s">
        <v>294</v>
      </c>
      <c r="Z333" s="81"/>
      <c r="AA333" s="54"/>
      <c r="AB333" s="81" t="s">
        <v>285</v>
      </c>
      <c r="AC333" s="81" t="s">
        <v>236</v>
      </c>
      <c r="AD333" s="36" t="s">
        <v>2153</v>
      </c>
      <c r="AE333" s="81"/>
      <c r="AF333" s="81" t="s">
        <v>65</v>
      </c>
      <c r="AG333" s="48"/>
      <c r="AH333" s="134" t="str">
        <f>IF((AG333=""),"",MONTH(AG333))</f>
        <v/>
      </c>
      <c r="AI333" s="134"/>
      <c r="AJ333" s="48">
        <v>40813</v>
      </c>
      <c r="AK333" s="134">
        <f t="shared" si="36"/>
        <v>9</v>
      </c>
      <c r="AL333" s="94" t="s">
        <v>82</v>
      </c>
      <c r="AM333" s="78"/>
      <c r="AN333" s="78"/>
      <c r="AO333" s="190">
        <v>40833</v>
      </c>
      <c r="AP333" s="136">
        <f t="shared" si="37"/>
        <v>10</v>
      </c>
      <c r="AQ333" s="127"/>
      <c r="AR333" s="23"/>
      <c r="AS333" s="94"/>
      <c r="AT333" s="184"/>
      <c r="AU333" s="70" t="str">
        <f t="shared" si="34"/>
        <v/>
      </c>
      <c r="AV333" s="70" t="s">
        <v>68</v>
      </c>
    </row>
    <row r="334" spans="1:48" s="136" customFormat="1" ht="25.5" hidden="1" x14ac:dyDescent="0.2">
      <c r="A334" s="87">
        <v>20310</v>
      </c>
      <c r="B334" s="80" t="s">
        <v>2257</v>
      </c>
      <c r="C334" s="80" t="s">
        <v>746</v>
      </c>
      <c r="D334" s="87"/>
      <c r="E334" s="123" t="s">
        <v>51</v>
      </c>
      <c r="F334" s="140">
        <v>32241</v>
      </c>
      <c r="G334" s="123" t="s">
        <v>365</v>
      </c>
      <c r="H334" s="54" t="s">
        <v>366</v>
      </c>
      <c r="I334" s="123" t="s">
        <v>2314</v>
      </c>
      <c r="J334" s="140">
        <v>40003</v>
      </c>
      <c r="K334" s="123" t="s">
        <v>365</v>
      </c>
      <c r="L334" s="123" t="s">
        <v>123</v>
      </c>
      <c r="M334" s="123" t="s">
        <v>448</v>
      </c>
      <c r="N334" s="123"/>
      <c r="O334" s="106"/>
      <c r="P334" s="54" t="s">
        <v>2315</v>
      </c>
      <c r="Q334" s="123"/>
      <c r="R334" s="123" t="s">
        <v>2316</v>
      </c>
      <c r="S334" s="123"/>
      <c r="T334" s="54" t="s">
        <v>2317</v>
      </c>
      <c r="U334" s="54" t="s">
        <v>2318</v>
      </c>
      <c r="V334" s="123" t="s">
        <v>2319</v>
      </c>
      <c r="W334" s="123" t="s">
        <v>2320</v>
      </c>
      <c r="X334" s="123" t="s">
        <v>2321</v>
      </c>
      <c r="Y334" s="123" t="s">
        <v>312</v>
      </c>
      <c r="Z334" s="54"/>
      <c r="AA334" s="54"/>
      <c r="AB334" s="54" t="s">
        <v>285</v>
      </c>
      <c r="AC334" s="54" t="s">
        <v>236</v>
      </c>
      <c r="AD334" s="123" t="s">
        <v>158</v>
      </c>
      <c r="AE334" s="54"/>
      <c r="AF334" s="54" t="s">
        <v>65</v>
      </c>
      <c r="AG334" s="29">
        <v>41615</v>
      </c>
      <c r="AH334" s="65">
        <f>IF((AG334=""),"",MONTH(AG334))</f>
        <v>12</v>
      </c>
      <c r="AI334" s="65"/>
      <c r="AJ334" s="140">
        <v>41617</v>
      </c>
      <c r="AK334" s="65">
        <f t="shared" si="36"/>
        <v>12</v>
      </c>
      <c r="AL334" s="54" t="s">
        <v>2322</v>
      </c>
      <c r="AM334" s="138"/>
      <c r="AN334" s="138"/>
      <c r="AO334" s="140">
        <v>41442</v>
      </c>
      <c r="AP334" s="65">
        <f t="shared" si="37"/>
        <v>6</v>
      </c>
      <c r="AQ334" s="123"/>
      <c r="AR334" s="23"/>
      <c r="AS334" s="54"/>
      <c r="AT334" s="158"/>
      <c r="AU334" s="70">
        <f t="shared" si="34"/>
        <v>4</v>
      </c>
      <c r="AV334" s="70" t="s">
        <v>68</v>
      </c>
    </row>
    <row r="335" spans="1:48" ht="19.5" hidden="1" customHeight="1" x14ac:dyDescent="0.2">
      <c r="A335" s="86">
        <v>20311</v>
      </c>
      <c r="B335" s="3" t="s">
        <v>2323</v>
      </c>
      <c r="C335" s="3" t="s">
        <v>1272</v>
      </c>
      <c r="D335" s="86"/>
      <c r="E335" s="36" t="s">
        <v>94</v>
      </c>
      <c r="F335" s="48">
        <v>31547</v>
      </c>
      <c r="G335" s="36"/>
      <c r="H335" s="81" t="s">
        <v>231</v>
      </c>
      <c r="I335" s="36" t="s">
        <v>2324</v>
      </c>
      <c r="J335" s="48">
        <v>37047</v>
      </c>
      <c r="K335" s="36" t="s">
        <v>231</v>
      </c>
      <c r="L335" s="36" t="s">
        <v>2325</v>
      </c>
      <c r="M335" s="36" t="s">
        <v>320</v>
      </c>
      <c r="N335" s="36" t="s">
        <v>320</v>
      </c>
      <c r="O335" s="101"/>
      <c r="P335" s="159" t="s">
        <v>2326</v>
      </c>
      <c r="Q335" s="36"/>
      <c r="R335" s="36" t="s">
        <v>2327</v>
      </c>
      <c r="S335" s="36"/>
      <c r="T335" s="81"/>
      <c r="U335" s="81" t="s">
        <v>2328</v>
      </c>
      <c r="V335" s="36"/>
      <c r="W335" s="36"/>
      <c r="X335" s="36"/>
      <c r="Y335" s="36" t="s">
        <v>284</v>
      </c>
      <c r="Z335" s="81"/>
      <c r="AA335" s="54"/>
      <c r="AB335" s="81" t="s">
        <v>285</v>
      </c>
      <c r="AC335" s="81" t="s">
        <v>236</v>
      </c>
      <c r="AD335" s="36" t="s">
        <v>230</v>
      </c>
      <c r="AE335" s="81" t="s">
        <v>839</v>
      </c>
      <c r="AF335" s="81" t="s">
        <v>231</v>
      </c>
      <c r="AG335" s="48"/>
      <c r="AH335" s="48"/>
      <c r="AI335" s="48"/>
      <c r="AJ335" s="48">
        <v>40880</v>
      </c>
      <c r="AK335" s="134">
        <f t="shared" si="36"/>
        <v>12</v>
      </c>
      <c r="AL335" s="54" t="s">
        <v>82</v>
      </c>
      <c r="AM335" s="54"/>
      <c r="AN335" s="54"/>
      <c r="AO335" s="190">
        <v>40118</v>
      </c>
      <c r="AP335" s="136">
        <f t="shared" si="37"/>
        <v>11</v>
      </c>
      <c r="AQ335" s="123"/>
      <c r="AR335" s="23"/>
      <c r="AS335" s="54"/>
      <c r="AT335" s="158"/>
      <c r="AU335" s="70">
        <f t="shared" si="34"/>
        <v>5</v>
      </c>
      <c r="AV335" s="70" t="s">
        <v>68</v>
      </c>
    </row>
    <row r="336" spans="1:48" s="136" customFormat="1" ht="25.5" hidden="1" x14ac:dyDescent="0.2">
      <c r="A336" s="86">
        <v>20312</v>
      </c>
      <c r="B336" s="3" t="s">
        <v>2329</v>
      </c>
      <c r="C336" s="3" t="s">
        <v>2330</v>
      </c>
      <c r="D336" s="86"/>
      <c r="E336" s="36" t="s">
        <v>51</v>
      </c>
      <c r="F336" s="48">
        <v>30438</v>
      </c>
      <c r="G336" s="36" t="s">
        <v>52</v>
      </c>
      <c r="H336" s="81" t="s">
        <v>53</v>
      </c>
      <c r="I336" s="36" t="s">
        <v>2331</v>
      </c>
      <c r="J336" s="48">
        <v>36540</v>
      </c>
      <c r="K336" s="36" t="s">
        <v>1139</v>
      </c>
      <c r="L336" s="36" t="s">
        <v>86</v>
      </c>
      <c r="M336" s="36" t="s">
        <v>1213</v>
      </c>
      <c r="N336" s="36" t="s">
        <v>2161</v>
      </c>
      <c r="O336" s="101"/>
      <c r="P336" s="81" t="s">
        <v>2332</v>
      </c>
      <c r="Q336" s="36"/>
      <c r="R336" s="36" t="s">
        <v>2333</v>
      </c>
      <c r="S336" s="36"/>
      <c r="T336" s="81" t="s">
        <v>2334</v>
      </c>
      <c r="U336" s="81" t="s">
        <v>2335</v>
      </c>
      <c r="V336" s="36"/>
      <c r="W336" s="36"/>
      <c r="X336" s="36"/>
      <c r="Y336" s="36" t="s">
        <v>374</v>
      </c>
      <c r="Z336" s="81"/>
      <c r="AA336" s="54"/>
      <c r="AB336" s="81">
        <v>3</v>
      </c>
      <c r="AC336" s="81" t="s">
        <v>63</v>
      </c>
      <c r="AD336" s="36" t="s">
        <v>230</v>
      </c>
      <c r="AE336" s="81"/>
      <c r="AF336" s="81" t="s">
        <v>231</v>
      </c>
      <c r="AG336" s="48"/>
      <c r="AH336" s="134" t="str">
        <f t="shared" ref="AH336:AH341" si="38">IF((AG336=""),"",MONTH(AG336))</f>
        <v/>
      </c>
      <c r="AI336" s="134"/>
      <c r="AJ336" s="48">
        <v>40820</v>
      </c>
      <c r="AK336" s="134">
        <f t="shared" si="36"/>
        <v>10</v>
      </c>
      <c r="AL336" s="94" t="s">
        <v>82</v>
      </c>
      <c r="AM336" s="78"/>
      <c r="AN336" s="78"/>
      <c r="AO336" s="190">
        <v>40872</v>
      </c>
      <c r="AP336" s="136">
        <f t="shared" si="37"/>
        <v>11</v>
      </c>
      <c r="AQ336" s="127"/>
      <c r="AR336" s="23"/>
      <c r="AS336" s="94"/>
      <c r="AT336" s="194"/>
      <c r="AU336" s="70">
        <f t="shared" si="34"/>
        <v>5</v>
      </c>
      <c r="AV336" s="70" t="s">
        <v>68</v>
      </c>
    </row>
    <row r="337" spans="1:48" ht="19.5" hidden="1" customHeight="1" x14ac:dyDescent="0.2">
      <c r="A337" s="87">
        <v>20313</v>
      </c>
      <c r="B337" s="80" t="s">
        <v>2336</v>
      </c>
      <c r="C337" s="80" t="s">
        <v>424</v>
      </c>
      <c r="D337" s="87"/>
      <c r="E337" s="123" t="s">
        <v>94</v>
      </c>
      <c r="F337" s="140">
        <v>31964</v>
      </c>
      <c r="G337" s="123" t="s">
        <v>120</v>
      </c>
      <c r="H337" s="54" t="s">
        <v>121</v>
      </c>
      <c r="I337" s="123" t="s">
        <v>2337</v>
      </c>
      <c r="J337" s="140">
        <v>40778</v>
      </c>
      <c r="K337" s="123" t="s">
        <v>52</v>
      </c>
      <c r="L337" s="123" t="s">
        <v>123</v>
      </c>
      <c r="M337" s="123" t="s">
        <v>1048</v>
      </c>
      <c r="N337" s="123" t="s">
        <v>458</v>
      </c>
      <c r="O337" s="106"/>
      <c r="P337" s="54" t="s">
        <v>2338</v>
      </c>
      <c r="Q337" s="123" t="s">
        <v>2339</v>
      </c>
      <c r="R337" s="123" t="s">
        <v>2340</v>
      </c>
      <c r="S337" s="123"/>
      <c r="T337" s="54" t="s">
        <v>2341</v>
      </c>
      <c r="U337" s="54" t="s">
        <v>2341</v>
      </c>
      <c r="V337" s="123" t="s">
        <v>2342</v>
      </c>
      <c r="W337" s="123" t="s">
        <v>745</v>
      </c>
      <c r="X337" s="123" t="s">
        <v>2343</v>
      </c>
      <c r="Y337" s="123" t="s">
        <v>206</v>
      </c>
      <c r="Z337" s="54"/>
      <c r="AA337" s="54"/>
      <c r="AB337" s="54">
        <v>3</v>
      </c>
      <c r="AC337" s="54" t="s">
        <v>63</v>
      </c>
      <c r="AD337" s="123" t="s">
        <v>1166</v>
      </c>
      <c r="AE337" s="54" t="s">
        <v>1167</v>
      </c>
      <c r="AF337" s="54" t="s">
        <v>65</v>
      </c>
      <c r="AG337" s="140">
        <v>40826</v>
      </c>
      <c r="AH337" s="65">
        <f t="shared" si="38"/>
        <v>10</v>
      </c>
      <c r="AI337" s="65"/>
      <c r="AJ337" s="140">
        <v>40887</v>
      </c>
      <c r="AK337" s="65">
        <f t="shared" si="36"/>
        <v>12</v>
      </c>
      <c r="AL337" s="54" t="s">
        <v>105</v>
      </c>
      <c r="AM337" s="140">
        <v>41649</v>
      </c>
      <c r="AO337" s="140"/>
      <c r="AP337" s="136" t="str">
        <f t="shared" si="37"/>
        <v/>
      </c>
      <c r="AQ337" s="123"/>
      <c r="AR337" s="23"/>
      <c r="AS337" s="54" t="s">
        <v>67</v>
      </c>
      <c r="AT337" s="136"/>
      <c r="AU337" s="70">
        <f t="shared" si="34"/>
        <v>7</v>
      </c>
      <c r="AV337" s="70" t="s">
        <v>68</v>
      </c>
    </row>
    <row r="338" spans="1:48" ht="19.5" hidden="1" customHeight="1" x14ac:dyDescent="0.2">
      <c r="A338" s="86">
        <v>20314</v>
      </c>
      <c r="B338" s="3" t="s">
        <v>2344</v>
      </c>
      <c r="C338" s="3" t="s">
        <v>250</v>
      </c>
      <c r="D338" s="86"/>
      <c r="E338" s="36" t="s">
        <v>94</v>
      </c>
      <c r="F338" s="48">
        <v>32235</v>
      </c>
      <c r="G338" s="36" t="s">
        <v>52</v>
      </c>
      <c r="H338" s="81" t="s">
        <v>53</v>
      </c>
      <c r="I338" s="36" t="s">
        <v>2345</v>
      </c>
      <c r="J338" s="48">
        <v>40103</v>
      </c>
      <c r="K338" s="36" t="s">
        <v>52</v>
      </c>
      <c r="L338" s="36" t="s">
        <v>341</v>
      </c>
      <c r="M338" s="36" t="s">
        <v>2346</v>
      </c>
      <c r="N338" s="36" t="s">
        <v>1815</v>
      </c>
      <c r="O338" s="101"/>
      <c r="P338" s="81" t="s">
        <v>2347</v>
      </c>
      <c r="Q338" s="36" t="s">
        <v>2348</v>
      </c>
      <c r="R338" s="36" t="s">
        <v>2349</v>
      </c>
      <c r="S338" s="36"/>
      <c r="T338" s="81" t="s">
        <v>2350</v>
      </c>
      <c r="U338" s="81" t="s">
        <v>2351</v>
      </c>
      <c r="V338" s="36"/>
      <c r="W338" s="36"/>
      <c r="X338" s="36"/>
      <c r="Y338" s="36" t="s">
        <v>294</v>
      </c>
      <c r="Z338" s="81"/>
      <c r="AA338" s="54"/>
      <c r="AB338" s="81" t="s">
        <v>285</v>
      </c>
      <c r="AC338" s="81" t="s">
        <v>236</v>
      </c>
      <c r="AD338" s="36"/>
      <c r="AE338" s="81"/>
      <c r="AF338" s="81" t="s">
        <v>65</v>
      </c>
      <c r="AG338" s="48"/>
      <c r="AH338" s="134" t="str">
        <f t="shared" si="38"/>
        <v/>
      </c>
      <c r="AI338" s="134"/>
      <c r="AJ338" s="48">
        <v>40840</v>
      </c>
      <c r="AK338" s="134">
        <f t="shared" si="36"/>
        <v>10</v>
      </c>
      <c r="AL338" s="94" t="s">
        <v>82</v>
      </c>
      <c r="AM338" s="78"/>
      <c r="AN338" s="78"/>
      <c r="AO338" s="190">
        <v>40909</v>
      </c>
      <c r="AP338" s="136">
        <f t="shared" si="37"/>
        <v>1</v>
      </c>
      <c r="AQ338" s="127"/>
      <c r="AR338" s="23"/>
      <c r="AS338" s="94"/>
      <c r="AT338" s="136"/>
      <c r="AU338" s="70">
        <f t="shared" si="34"/>
        <v>4</v>
      </c>
      <c r="AV338" s="70" t="s">
        <v>68</v>
      </c>
    </row>
    <row r="339" spans="1:48" s="136" customFormat="1" ht="38.25" hidden="1" x14ac:dyDescent="0.2">
      <c r="A339" s="86">
        <v>20315</v>
      </c>
      <c r="B339" s="3" t="s">
        <v>2352</v>
      </c>
      <c r="C339" s="3" t="s">
        <v>778</v>
      </c>
      <c r="D339" s="86"/>
      <c r="E339" s="36" t="s">
        <v>94</v>
      </c>
      <c r="F339" s="48">
        <v>31583</v>
      </c>
      <c r="G339" s="36" t="s">
        <v>1186</v>
      </c>
      <c r="H339" s="81" t="s">
        <v>2193</v>
      </c>
      <c r="I339" s="36" t="s">
        <v>2353</v>
      </c>
      <c r="J339" s="48">
        <v>38500</v>
      </c>
      <c r="K339" s="36" t="s">
        <v>1186</v>
      </c>
      <c r="L339" s="36" t="s">
        <v>123</v>
      </c>
      <c r="M339" s="36" t="s">
        <v>1213</v>
      </c>
      <c r="N339" s="36" t="s">
        <v>2354</v>
      </c>
      <c r="O339" s="101"/>
      <c r="P339" s="81" t="s">
        <v>2355</v>
      </c>
      <c r="Q339" s="36"/>
      <c r="R339" s="36" t="s">
        <v>2356</v>
      </c>
      <c r="S339" s="36"/>
      <c r="T339" s="81" t="s">
        <v>2357</v>
      </c>
      <c r="U339" s="81" t="s">
        <v>2358</v>
      </c>
      <c r="V339" s="36"/>
      <c r="W339" s="36"/>
      <c r="X339" s="36"/>
      <c r="Y339" s="36" t="s">
        <v>284</v>
      </c>
      <c r="Z339" s="81"/>
      <c r="AA339" s="54"/>
      <c r="AB339" s="81" t="s">
        <v>285</v>
      </c>
      <c r="AC339" s="81" t="s">
        <v>236</v>
      </c>
      <c r="AD339" s="36" t="s">
        <v>230</v>
      </c>
      <c r="AE339" s="81"/>
      <c r="AF339" s="81" t="s">
        <v>231</v>
      </c>
      <c r="AG339" s="48"/>
      <c r="AH339" s="134" t="str">
        <f t="shared" si="38"/>
        <v/>
      </c>
      <c r="AI339" s="134"/>
      <c r="AJ339" s="48">
        <v>40812</v>
      </c>
      <c r="AK339" s="134">
        <f t="shared" si="36"/>
        <v>9</v>
      </c>
      <c r="AL339" s="94" t="s">
        <v>82</v>
      </c>
      <c r="AM339" s="78"/>
      <c r="AN339" s="78"/>
      <c r="AO339" s="190">
        <v>40871</v>
      </c>
      <c r="AP339" s="136">
        <f t="shared" si="37"/>
        <v>11</v>
      </c>
      <c r="AQ339" s="127"/>
      <c r="AR339" s="23"/>
      <c r="AS339" s="94"/>
      <c r="AT339" s="184"/>
      <c r="AU339" s="70">
        <f t="shared" si="34"/>
        <v>6</v>
      </c>
      <c r="AV339" s="70" t="s">
        <v>68</v>
      </c>
    </row>
    <row r="340" spans="1:48" s="136" customFormat="1" ht="19.5" hidden="1" customHeight="1" x14ac:dyDescent="0.2">
      <c r="A340" s="87">
        <v>20316</v>
      </c>
      <c r="B340" s="80" t="s">
        <v>265</v>
      </c>
      <c r="C340" s="80" t="s">
        <v>378</v>
      </c>
      <c r="D340" s="87"/>
      <c r="E340" s="123" t="s">
        <v>94</v>
      </c>
      <c r="F340" s="140">
        <v>28751</v>
      </c>
      <c r="G340" s="123" t="s">
        <v>412</v>
      </c>
      <c r="H340" s="54" t="s">
        <v>413</v>
      </c>
      <c r="I340" s="123" t="s">
        <v>2359</v>
      </c>
      <c r="J340" s="140">
        <v>34052</v>
      </c>
      <c r="K340" s="123" t="s">
        <v>412</v>
      </c>
      <c r="L340" s="123" t="s">
        <v>123</v>
      </c>
      <c r="M340" s="123" t="s">
        <v>2360</v>
      </c>
      <c r="N340" s="123" t="s">
        <v>2361</v>
      </c>
      <c r="O340" s="106"/>
      <c r="P340" s="54" t="s">
        <v>2362</v>
      </c>
      <c r="Q340" s="123" t="s">
        <v>2363</v>
      </c>
      <c r="R340" s="123" t="s">
        <v>2364</v>
      </c>
      <c r="S340" s="123"/>
      <c r="T340" s="54" t="s">
        <v>2365</v>
      </c>
      <c r="U340" s="54" t="s">
        <v>2365</v>
      </c>
      <c r="V340" s="123"/>
      <c r="W340" s="123"/>
      <c r="X340" s="123"/>
      <c r="Y340" s="123" t="s">
        <v>1748</v>
      </c>
      <c r="Z340" s="54"/>
      <c r="AA340" s="54"/>
      <c r="AB340" s="54">
        <v>3</v>
      </c>
      <c r="AC340" s="54" t="s">
        <v>362</v>
      </c>
      <c r="AD340" s="123" t="s">
        <v>207</v>
      </c>
      <c r="AE340" s="54" t="s">
        <v>585</v>
      </c>
      <c r="AF340" s="54" t="s">
        <v>65</v>
      </c>
      <c r="AG340" s="140">
        <v>40812</v>
      </c>
      <c r="AH340" s="65">
        <f t="shared" si="38"/>
        <v>9</v>
      </c>
      <c r="AI340" s="65"/>
      <c r="AJ340" s="140">
        <v>40873</v>
      </c>
      <c r="AK340" s="65">
        <f t="shared" si="36"/>
        <v>11</v>
      </c>
      <c r="AL340" s="54" t="s">
        <v>66</v>
      </c>
      <c r="AM340" s="138"/>
      <c r="AN340" s="138"/>
      <c r="AO340" s="140"/>
      <c r="AP340" s="65"/>
      <c r="AQ340" s="123"/>
      <c r="AR340" s="23"/>
      <c r="AS340" s="54" t="s">
        <v>347</v>
      </c>
      <c r="AT340" s="194"/>
      <c r="AU340" s="70">
        <f t="shared" si="34"/>
        <v>9</v>
      </c>
      <c r="AV340" s="70" t="s">
        <v>68</v>
      </c>
    </row>
    <row r="341" spans="1:48" ht="19.5" hidden="1" customHeight="1" x14ac:dyDescent="0.2">
      <c r="A341" s="87">
        <v>20317</v>
      </c>
      <c r="B341" s="80" t="s">
        <v>2366</v>
      </c>
      <c r="C341" s="80" t="s">
        <v>2367</v>
      </c>
      <c r="D341" s="87"/>
      <c r="E341" s="123" t="s">
        <v>94</v>
      </c>
      <c r="F341" s="140">
        <v>27296</v>
      </c>
      <c r="G341" s="123" t="s">
        <v>379</v>
      </c>
      <c r="H341" s="54" t="s">
        <v>379</v>
      </c>
      <c r="I341" s="123" t="s">
        <v>2368</v>
      </c>
      <c r="J341" s="140">
        <v>32263</v>
      </c>
      <c r="K341" s="123" t="s">
        <v>379</v>
      </c>
      <c r="L341" s="123" t="s">
        <v>123</v>
      </c>
      <c r="M341" s="123" t="s">
        <v>1704</v>
      </c>
      <c r="N341" s="123" t="s">
        <v>368</v>
      </c>
      <c r="O341" s="106"/>
      <c r="P341" s="54" t="s">
        <v>2369</v>
      </c>
      <c r="Q341" s="123"/>
      <c r="R341" s="123" t="s">
        <v>2370</v>
      </c>
      <c r="S341" s="123"/>
      <c r="T341" s="54" t="s">
        <v>2371</v>
      </c>
      <c r="U341" s="54" t="s">
        <v>2372</v>
      </c>
      <c r="V341" s="123"/>
      <c r="W341" s="123"/>
      <c r="X341" s="123"/>
      <c r="Y341" s="123" t="s">
        <v>360</v>
      </c>
      <c r="Z341" s="54"/>
      <c r="AA341" s="54"/>
      <c r="AB341" s="54">
        <v>2</v>
      </c>
      <c r="AC341" s="54" t="s">
        <v>362</v>
      </c>
      <c r="AD341" s="123" t="s">
        <v>866</v>
      </c>
      <c r="AE341" s="54" t="s">
        <v>2373</v>
      </c>
      <c r="AF341" s="54" t="s">
        <v>231</v>
      </c>
      <c r="AG341" s="140">
        <v>40840</v>
      </c>
      <c r="AH341" s="65">
        <f t="shared" si="38"/>
        <v>10</v>
      </c>
      <c r="AI341" s="65"/>
      <c r="AJ341" s="140">
        <v>40901</v>
      </c>
      <c r="AK341" s="65">
        <f t="shared" si="36"/>
        <v>12</v>
      </c>
      <c r="AL341" s="54" t="s">
        <v>66</v>
      </c>
      <c r="AM341" s="138"/>
      <c r="AN341" s="138"/>
      <c r="AO341" s="140"/>
      <c r="AP341" s="65" t="str">
        <f>IF((AO341=""),"",MONTH(AO341))</f>
        <v/>
      </c>
      <c r="AQ341" s="123"/>
      <c r="AR341" s="23"/>
      <c r="AS341" s="54" t="s">
        <v>107</v>
      </c>
      <c r="AT341" s="136"/>
      <c r="AU341" s="70">
        <f t="shared" si="34"/>
        <v>9</v>
      </c>
      <c r="AV341" s="70" t="s">
        <v>68</v>
      </c>
    </row>
    <row r="342" spans="1:48" s="136" customFormat="1" ht="19.5" hidden="1" customHeight="1" x14ac:dyDescent="0.2">
      <c r="A342" s="86">
        <v>20318</v>
      </c>
      <c r="B342" s="3" t="s">
        <v>691</v>
      </c>
      <c r="C342" s="3" t="s">
        <v>287</v>
      </c>
      <c r="D342" s="86"/>
      <c r="E342" s="36" t="s">
        <v>94</v>
      </c>
      <c r="F342" s="48">
        <v>32245</v>
      </c>
      <c r="G342" s="36"/>
      <c r="H342" s="81" t="s">
        <v>303</v>
      </c>
      <c r="I342" s="36" t="s">
        <v>2374</v>
      </c>
      <c r="J342" s="48">
        <v>38677</v>
      </c>
      <c r="K342" s="36" t="s">
        <v>303</v>
      </c>
      <c r="L342" s="36" t="s">
        <v>1123</v>
      </c>
      <c r="M342" s="36" t="s">
        <v>2375</v>
      </c>
      <c r="N342" s="36" t="s">
        <v>2376</v>
      </c>
      <c r="O342" s="101"/>
      <c r="P342" s="159" t="s">
        <v>2377</v>
      </c>
      <c r="Q342" s="36"/>
      <c r="R342" s="36" t="s">
        <v>2378</v>
      </c>
      <c r="S342" s="36"/>
      <c r="T342" s="81"/>
      <c r="U342" s="81" t="s">
        <v>2379</v>
      </c>
      <c r="V342" s="36"/>
      <c r="W342" s="36"/>
      <c r="X342" s="36"/>
      <c r="Y342" s="36" t="s">
        <v>616</v>
      </c>
      <c r="Z342" s="81"/>
      <c r="AA342" s="54"/>
      <c r="AB342" s="81" t="s">
        <v>285</v>
      </c>
      <c r="AC342" s="81" t="s">
        <v>236</v>
      </c>
      <c r="AD342" s="36" t="s">
        <v>230</v>
      </c>
      <c r="AE342" s="81" t="s">
        <v>839</v>
      </c>
      <c r="AF342" s="81" t="s">
        <v>231</v>
      </c>
      <c r="AG342" s="48"/>
      <c r="AH342" s="48"/>
      <c r="AI342" s="48"/>
      <c r="AJ342" s="48">
        <v>40900</v>
      </c>
      <c r="AK342" s="134">
        <f t="shared" si="36"/>
        <v>12</v>
      </c>
      <c r="AL342" s="54" t="s">
        <v>82</v>
      </c>
      <c r="AM342" s="54"/>
      <c r="AN342" s="54"/>
      <c r="AO342" s="190"/>
      <c r="AQ342" s="123"/>
      <c r="AR342" s="23"/>
      <c r="AS342" s="54"/>
      <c r="AT342" s="65"/>
      <c r="AU342" s="70">
        <f t="shared" si="34"/>
        <v>4</v>
      </c>
      <c r="AV342" s="70" t="s">
        <v>68</v>
      </c>
    </row>
    <row r="343" spans="1:48" s="136" customFormat="1" ht="38.25" hidden="1" x14ac:dyDescent="0.2">
      <c r="A343" s="87">
        <v>20319</v>
      </c>
      <c r="B343" s="80" t="s">
        <v>2380</v>
      </c>
      <c r="C343" s="80" t="s">
        <v>618</v>
      </c>
      <c r="D343" s="87"/>
      <c r="E343" s="123" t="s">
        <v>94</v>
      </c>
      <c r="F343" s="140">
        <v>32113</v>
      </c>
      <c r="G343" s="123" t="s">
        <v>171</v>
      </c>
      <c r="H343" s="54" t="s">
        <v>350</v>
      </c>
      <c r="I343" s="123" t="s">
        <v>2381</v>
      </c>
      <c r="J343" s="140">
        <v>38331</v>
      </c>
      <c r="K343" s="123" t="s">
        <v>171</v>
      </c>
      <c r="L343" s="123" t="s">
        <v>123</v>
      </c>
      <c r="M343" s="123" t="s">
        <v>217</v>
      </c>
      <c r="N343" s="123" t="s">
        <v>2382</v>
      </c>
      <c r="O343" s="106"/>
      <c r="P343" s="54" t="s">
        <v>2383</v>
      </c>
      <c r="Q343" s="123" t="s">
        <v>2384</v>
      </c>
      <c r="R343" s="123" t="s">
        <v>2385</v>
      </c>
      <c r="S343" s="123"/>
      <c r="T343" s="54" t="s">
        <v>2386</v>
      </c>
      <c r="U343" s="54" t="s">
        <v>2387</v>
      </c>
      <c r="V343" s="123"/>
      <c r="W343" s="123"/>
      <c r="X343" s="123"/>
      <c r="Y343" s="123" t="s">
        <v>312</v>
      </c>
      <c r="Z343" s="54"/>
      <c r="AA343" s="54"/>
      <c r="AB343" s="54" t="s">
        <v>285</v>
      </c>
      <c r="AC343" s="54" t="s">
        <v>236</v>
      </c>
      <c r="AD343" s="123" t="s">
        <v>207</v>
      </c>
      <c r="AE343" s="54" t="s">
        <v>1174</v>
      </c>
      <c r="AF343" s="54" t="s">
        <v>65</v>
      </c>
      <c r="AG343" s="140">
        <v>40848</v>
      </c>
      <c r="AH343" s="65">
        <f>IF((AG343=""),"",MONTH(AG343))</f>
        <v>11</v>
      </c>
      <c r="AI343" s="65"/>
      <c r="AJ343" s="140">
        <v>40878</v>
      </c>
      <c r="AK343" s="65">
        <f t="shared" si="36"/>
        <v>12</v>
      </c>
      <c r="AL343" s="54" t="s">
        <v>66</v>
      </c>
      <c r="AM343" s="138"/>
      <c r="AN343" s="138"/>
      <c r="AO343" s="140"/>
      <c r="AP343" s="65" t="str">
        <f>IF((AO343=""),"",MONTH(AO343))</f>
        <v/>
      </c>
      <c r="AQ343" s="123"/>
      <c r="AR343" s="23"/>
      <c r="AS343" s="54" t="s">
        <v>107</v>
      </c>
      <c r="AT343" s="184"/>
      <c r="AU343" s="70">
        <f t="shared" si="34"/>
        <v>12</v>
      </c>
      <c r="AV343" s="70" t="s">
        <v>68</v>
      </c>
    </row>
    <row r="344" spans="1:48" s="136" customFormat="1" ht="25.5" hidden="1" x14ac:dyDescent="0.2">
      <c r="A344" s="87">
        <v>20320</v>
      </c>
      <c r="B344" s="80" t="s">
        <v>2002</v>
      </c>
      <c r="C344" s="80" t="s">
        <v>1736</v>
      </c>
      <c r="D344" s="87"/>
      <c r="E344" s="123" t="s">
        <v>51</v>
      </c>
      <c r="F344" s="140">
        <v>31072</v>
      </c>
      <c r="G344" s="123" t="s">
        <v>365</v>
      </c>
      <c r="H344" s="54" t="s">
        <v>366</v>
      </c>
      <c r="I344" s="123" t="s">
        <v>2388</v>
      </c>
      <c r="J344" s="140">
        <v>39286</v>
      </c>
      <c r="K344" s="123" t="s">
        <v>365</v>
      </c>
      <c r="L344" s="123" t="s">
        <v>123</v>
      </c>
      <c r="M344" s="123" t="s">
        <v>124</v>
      </c>
      <c r="N344" s="123" t="s">
        <v>2126</v>
      </c>
      <c r="O344" s="106"/>
      <c r="P344" s="54" t="s">
        <v>2389</v>
      </c>
      <c r="Q344" s="123"/>
      <c r="R344" s="123" t="s">
        <v>2390</v>
      </c>
      <c r="S344" s="123"/>
      <c r="T344" s="54" t="s">
        <v>2391</v>
      </c>
      <c r="U344" s="54" t="s">
        <v>2392</v>
      </c>
      <c r="V344" s="123"/>
      <c r="W344" s="123"/>
      <c r="X344" s="123"/>
      <c r="Y344" s="123" t="s">
        <v>180</v>
      </c>
      <c r="Z344" s="54"/>
      <c r="AA344" s="54"/>
      <c r="AB344" s="54" t="s">
        <v>103</v>
      </c>
      <c r="AC344" s="54" t="s">
        <v>63</v>
      </c>
      <c r="AD344" s="123" t="s">
        <v>158</v>
      </c>
      <c r="AE344" s="54"/>
      <c r="AF344" s="54" t="s">
        <v>65</v>
      </c>
      <c r="AG344" s="140">
        <v>40848</v>
      </c>
      <c r="AH344" s="65">
        <f>IF((AG344=""),"",MONTH(AG344))</f>
        <v>11</v>
      </c>
      <c r="AI344" s="65"/>
      <c r="AJ344" s="140">
        <v>40909</v>
      </c>
      <c r="AK344" s="65">
        <f t="shared" si="36"/>
        <v>1</v>
      </c>
      <c r="AL344" s="54" t="s">
        <v>66</v>
      </c>
      <c r="AM344" s="138"/>
      <c r="AN344" s="138"/>
      <c r="AO344" s="140"/>
      <c r="AP344" s="65" t="str">
        <f>IF((AO344=""),"",MONTH(AO344))</f>
        <v/>
      </c>
      <c r="AQ344" s="123"/>
      <c r="AR344" s="23"/>
      <c r="AS344" s="54" t="s">
        <v>67</v>
      </c>
      <c r="AT344" s="158"/>
      <c r="AU344" s="70">
        <f t="shared" si="34"/>
        <v>1</v>
      </c>
      <c r="AV344" s="70" t="s">
        <v>68</v>
      </c>
    </row>
    <row r="345" spans="1:48" s="136" customFormat="1" ht="19.5" hidden="1" customHeight="1" x14ac:dyDescent="0.2">
      <c r="A345" s="86">
        <v>20321</v>
      </c>
      <c r="B345" s="3" t="s">
        <v>766</v>
      </c>
      <c r="C345" s="3" t="s">
        <v>778</v>
      </c>
      <c r="D345" s="86"/>
      <c r="E345" s="36" t="s">
        <v>94</v>
      </c>
      <c r="F345" s="48">
        <v>32306</v>
      </c>
      <c r="G345" s="36" t="s">
        <v>1316</v>
      </c>
      <c r="H345" s="81" t="s">
        <v>1317</v>
      </c>
      <c r="I345" s="36" t="s">
        <v>2393</v>
      </c>
      <c r="J345" s="48">
        <v>38574</v>
      </c>
      <c r="K345" s="36" t="s">
        <v>1316</v>
      </c>
      <c r="L345" s="36" t="s">
        <v>123</v>
      </c>
      <c r="M345" s="36" t="s">
        <v>543</v>
      </c>
      <c r="N345" s="36" t="s">
        <v>2394</v>
      </c>
      <c r="O345" s="101"/>
      <c r="P345" s="81" t="s">
        <v>2395</v>
      </c>
      <c r="Q345" s="36"/>
      <c r="R345" s="36" t="s">
        <v>2396</v>
      </c>
      <c r="S345" s="36"/>
      <c r="T345" s="81" t="s">
        <v>2397</v>
      </c>
      <c r="U345" s="81" t="s">
        <v>2398</v>
      </c>
      <c r="V345" s="36"/>
      <c r="W345" s="36"/>
      <c r="X345" s="36"/>
      <c r="Y345" s="36" t="s">
        <v>294</v>
      </c>
      <c r="Z345" s="81"/>
      <c r="AA345" s="54"/>
      <c r="AB345" s="81" t="s">
        <v>285</v>
      </c>
      <c r="AC345" s="81" t="s">
        <v>236</v>
      </c>
      <c r="AD345" s="36" t="s">
        <v>2153</v>
      </c>
      <c r="AE345" s="81"/>
      <c r="AF345" s="81" t="s">
        <v>65</v>
      </c>
      <c r="AG345" s="48"/>
      <c r="AH345" s="134" t="str">
        <f>IF((AG345=""),"",MONTH(AG345))</f>
        <v/>
      </c>
      <c r="AI345" s="134"/>
      <c r="AJ345" s="48"/>
      <c r="AK345" s="134" t="str">
        <f t="shared" si="36"/>
        <v/>
      </c>
      <c r="AL345" s="94" t="s">
        <v>82</v>
      </c>
      <c r="AM345" s="78"/>
      <c r="AN345" s="78"/>
      <c r="AO345" s="190">
        <v>40882</v>
      </c>
      <c r="AP345" s="136">
        <f>IF((AO345=""),"",MONTH(AO345))</f>
        <v>12</v>
      </c>
      <c r="AQ345" s="127"/>
      <c r="AR345" s="23"/>
      <c r="AS345" s="94"/>
      <c r="AT345" s="158"/>
      <c r="AU345" s="70">
        <f t="shared" si="34"/>
        <v>6</v>
      </c>
      <c r="AV345" s="70" t="s">
        <v>68</v>
      </c>
    </row>
    <row r="346" spans="1:48" ht="12.75" hidden="1" x14ac:dyDescent="0.2">
      <c r="A346" s="86">
        <v>20322</v>
      </c>
      <c r="B346" s="3" t="s">
        <v>801</v>
      </c>
      <c r="C346" s="3" t="s">
        <v>250</v>
      </c>
      <c r="D346" s="86"/>
      <c r="E346" s="36" t="s">
        <v>94</v>
      </c>
      <c r="F346" s="48"/>
      <c r="G346" s="36"/>
      <c r="H346" s="81"/>
      <c r="I346" s="36"/>
      <c r="J346" s="48"/>
      <c r="K346" s="36"/>
      <c r="L346" s="36"/>
      <c r="M346" s="36" t="s">
        <v>320</v>
      </c>
      <c r="N346" s="36" t="s">
        <v>320</v>
      </c>
      <c r="O346" s="101"/>
      <c r="P346" s="159">
        <v>0</v>
      </c>
      <c r="Q346" s="36"/>
      <c r="R346" s="36"/>
      <c r="S346" s="36"/>
      <c r="T346" s="81"/>
      <c r="U346" s="81"/>
      <c r="V346" s="36"/>
      <c r="W346" s="36"/>
      <c r="X346" s="36"/>
      <c r="Y346" s="36"/>
      <c r="Z346" s="81"/>
      <c r="AA346" s="54"/>
      <c r="AB346" s="81"/>
      <c r="AC346" s="81"/>
      <c r="AD346" s="36" t="s">
        <v>629</v>
      </c>
      <c r="AE346" s="81"/>
      <c r="AF346" s="81" t="s">
        <v>65</v>
      </c>
      <c r="AG346" s="48"/>
      <c r="AH346" s="48"/>
      <c r="AI346" s="48"/>
      <c r="AJ346" s="48"/>
      <c r="AK346" s="134" t="str">
        <f t="shared" si="36"/>
        <v/>
      </c>
      <c r="AL346" s="54" t="s">
        <v>82</v>
      </c>
      <c r="AM346" s="54"/>
      <c r="AN346" s="54"/>
      <c r="AO346" s="190"/>
      <c r="AP346" s="136"/>
      <c r="AQ346" s="123"/>
      <c r="AR346" s="23"/>
      <c r="AS346" s="54"/>
      <c r="AT346" s="158"/>
      <c r="AU346" s="70" t="str">
        <f t="shared" si="34"/>
        <v/>
      </c>
      <c r="AV346" s="70" t="s">
        <v>68</v>
      </c>
    </row>
    <row r="347" spans="1:48" s="136" customFormat="1" ht="25.5" x14ac:dyDescent="0.2">
      <c r="A347" s="87">
        <v>20323</v>
      </c>
      <c r="B347" s="80" t="s">
        <v>2399</v>
      </c>
      <c r="C347" s="80" t="s">
        <v>618</v>
      </c>
      <c r="D347" s="87"/>
      <c r="E347" s="123" t="s">
        <v>94</v>
      </c>
      <c r="F347" s="140">
        <v>32745</v>
      </c>
      <c r="G347" s="123" t="s">
        <v>1456</v>
      </c>
      <c r="H347" s="54" t="s">
        <v>2193</v>
      </c>
      <c r="I347" s="123" t="s">
        <v>2400</v>
      </c>
      <c r="J347" s="140">
        <v>40366</v>
      </c>
      <c r="K347" s="123" t="s">
        <v>2401</v>
      </c>
      <c r="L347" s="123" t="s">
        <v>123</v>
      </c>
      <c r="M347" s="123"/>
      <c r="N347" s="123"/>
      <c r="O347" s="106"/>
      <c r="P347" s="54" t="s">
        <v>2402</v>
      </c>
      <c r="Q347" s="123"/>
      <c r="R347" s="123" t="s">
        <v>2403</v>
      </c>
      <c r="S347" s="123"/>
      <c r="T347" s="54" t="s">
        <v>2404</v>
      </c>
      <c r="U347" s="54" t="s">
        <v>2405</v>
      </c>
      <c r="V347" s="123"/>
      <c r="W347" s="123"/>
      <c r="X347" s="123"/>
      <c r="Y347" s="123" t="s">
        <v>972</v>
      </c>
      <c r="Z347" s="54"/>
      <c r="AA347" s="54"/>
      <c r="AB347" s="54" t="s">
        <v>285</v>
      </c>
      <c r="AC347" s="54" t="s">
        <v>236</v>
      </c>
      <c r="AD347" s="123" t="s">
        <v>1183</v>
      </c>
      <c r="AE347" s="54" t="s">
        <v>1184</v>
      </c>
      <c r="AF347" s="54" t="s">
        <v>231</v>
      </c>
      <c r="AG347" s="140"/>
      <c r="AH347" s="65" t="str">
        <f t="shared" ref="AH347:AH352" si="39">IF((AG347=""),"",MONTH(AG347))</f>
        <v/>
      </c>
      <c r="AI347" s="65"/>
      <c r="AJ347" s="140">
        <v>41530</v>
      </c>
      <c r="AK347" s="65">
        <f t="shared" si="36"/>
        <v>9</v>
      </c>
      <c r="AL347" s="54" t="s">
        <v>66</v>
      </c>
      <c r="AM347" s="138"/>
      <c r="AN347" s="138"/>
      <c r="AO347" s="140">
        <v>41455</v>
      </c>
      <c r="AP347" s="65">
        <f>IF((AO347=""),"",MONTH(AO347))</f>
        <v>6</v>
      </c>
      <c r="AQ347" s="123"/>
      <c r="AR347" s="23"/>
      <c r="AS347" s="54" t="s">
        <v>347</v>
      </c>
      <c r="AT347" s="194"/>
      <c r="AU347" s="70">
        <f t="shared" si="34"/>
        <v>8</v>
      </c>
      <c r="AV347" s="70" t="s">
        <v>68</v>
      </c>
    </row>
    <row r="348" spans="1:48" ht="19.5" customHeight="1" x14ac:dyDescent="0.2">
      <c r="A348" s="87">
        <v>20324</v>
      </c>
      <c r="B348" s="80" t="s">
        <v>2406</v>
      </c>
      <c r="C348" s="80" t="s">
        <v>2407</v>
      </c>
      <c r="D348" s="87"/>
      <c r="E348" s="123" t="s">
        <v>94</v>
      </c>
      <c r="F348" s="140">
        <v>32633</v>
      </c>
      <c r="G348" s="123" t="s">
        <v>921</v>
      </c>
      <c r="H348" s="54" t="s">
        <v>922</v>
      </c>
      <c r="I348" s="123" t="s">
        <v>2408</v>
      </c>
      <c r="J348" s="140">
        <v>38986</v>
      </c>
      <c r="K348" s="123" t="s">
        <v>921</v>
      </c>
      <c r="L348" s="123" t="s">
        <v>123</v>
      </c>
      <c r="M348" s="123"/>
      <c r="N348" s="123"/>
      <c r="O348" s="106"/>
      <c r="P348" s="54" t="s">
        <v>2409</v>
      </c>
      <c r="Q348" s="123" t="s">
        <v>2410</v>
      </c>
      <c r="R348" s="123" t="s">
        <v>2411</v>
      </c>
      <c r="S348" s="123"/>
      <c r="T348" s="54" t="s">
        <v>2412</v>
      </c>
      <c r="U348" s="54" t="s">
        <v>2413</v>
      </c>
      <c r="V348" s="123"/>
      <c r="W348" s="123"/>
      <c r="X348" s="123"/>
      <c r="Y348" s="123" t="s">
        <v>972</v>
      </c>
      <c r="Z348" s="54"/>
      <c r="AA348" s="54"/>
      <c r="AB348" s="54" t="s">
        <v>285</v>
      </c>
      <c r="AC348" s="54" t="s">
        <v>236</v>
      </c>
      <c r="AD348" s="123" t="s">
        <v>1183</v>
      </c>
      <c r="AE348" s="54" t="s">
        <v>1184</v>
      </c>
      <c r="AF348" s="54" t="s">
        <v>231</v>
      </c>
      <c r="AG348" s="140">
        <v>40848</v>
      </c>
      <c r="AH348" s="65">
        <f t="shared" si="39"/>
        <v>11</v>
      </c>
      <c r="AI348" s="65"/>
      <c r="AJ348" s="140">
        <v>40909</v>
      </c>
      <c r="AK348" s="65">
        <f t="shared" si="36"/>
        <v>1</v>
      </c>
      <c r="AL348" s="54" t="s">
        <v>66</v>
      </c>
      <c r="AM348" s="138"/>
      <c r="AN348" s="138"/>
      <c r="AO348" s="140"/>
      <c r="AP348" s="65" t="str">
        <f>IF((AO348=""),"",MONTH(AO348))</f>
        <v/>
      </c>
      <c r="AQ348" s="123"/>
      <c r="AR348" s="23"/>
      <c r="AS348" s="54" t="s">
        <v>347</v>
      </c>
      <c r="AT348" s="136"/>
      <c r="AU348" s="70">
        <f t="shared" si="34"/>
        <v>5</v>
      </c>
      <c r="AV348" s="70" t="s">
        <v>68</v>
      </c>
    </row>
    <row r="349" spans="1:48" ht="19.5" hidden="1" customHeight="1" x14ac:dyDescent="0.2">
      <c r="A349" s="87">
        <v>20325</v>
      </c>
      <c r="B349" s="80" t="s">
        <v>2414</v>
      </c>
      <c r="C349" s="80" t="s">
        <v>466</v>
      </c>
      <c r="D349" s="87"/>
      <c r="E349" s="123" t="s">
        <v>94</v>
      </c>
      <c r="F349" s="140">
        <v>32741</v>
      </c>
      <c r="G349" s="123" t="s">
        <v>52</v>
      </c>
      <c r="H349" s="54" t="s">
        <v>53</v>
      </c>
      <c r="I349" s="123" t="s">
        <v>2415</v>
      </c>
      <c r="J349" s="140">
        <v>39067</v>
      </c>
      <c r="K349" s="123" t="s">
        <v>171</v>
      </c>
      <c r="L349" s="123" t="s">
        <v>123</v>
      </c>
      <c r="M349" s="123" t="s">
        <v>96</v>
      </c>
      <c r="N349" s="123" t="s">
        <v>2416</v>
      </c>
      <c r="O349" s="106"/>
      <c r="P349" s="54" t="s">
        <v>2417</v>
      </c>
      <c r="Q349" s="123" t="s">
        <v>2418</v>
      </c>
      <c r="R349" s="123" t="s">
        <v>2419</v>
      </c>
      <c r="S349" s="123"/>
      <c r="T349" s="54" t="s">
        <v>2420</v>
      </c>
      <c r="U349" s="54" t="s">
        <v>2421</v>
      </c>
      <c r="V349" s="123"/>
      <c r="W349" s="123"/>
      <c r="X349" s="123"/>
      <c r="Y349" s="123" t="s">
        <v>312</v>
      </c>
      <c r="Z349" s="54"/>
      <c r="AA349" s="54"/>
      <c r="AB349" s="54" t="s">
        <v>285</v>
      </c>
      <c r="AC349" s="54" t="s">
        <v>236</v>
      </c>
      <c r="AD349" s="123" t="s">
        <v>375</v>
      </c>
      <c r="AE349" s="54" t="s">
        <v>2099</v>
      </c>
      <c r="AF349" s="54" t="s">
        <v>65</v>
      </c>
      <c r="AG349" s="140">
        <v>40854</v>
      </c>
      <c r="AH349" s="65">
        <f t="shared" si="39"/>
        <v>11</v>
      </c>
      <c r="AI349" s="65"/>
      <c r="AJ349" s="140">
        <v>40909</v>
      </c>
      <c r="AK349" s="65">
        <f t="shared" si="36"/>
        <v>1</v>
      </c>
      <c r="AL349" s="54" t="s">
        <v>66</v>
      </c>
      <c r="AM349" s="138"/>
      <c r="AN349" s="138"/>
      <c r="AO349" s="140"/>
      <c r="AP349" s="65" t="str">
        <f>IF((AO349=""),"",MONTH(AO349))</f>
        <v/>
      </c>
      <c r="AQ349" s="123"/>
      <c r="AR349" s="23"/>
      <c r="AS349" s="54" t="s">
        <v>107</v>
      </c>
      <c r="AT349" s="136"/>
      <c r="AU349" s="70">
        <f t="shared" si="34"/>
        <v>8</v>
      </c>
      <c r="AV349" s="70" t="s">
        <v>68</v>
      </c>
    </row>
    <row r="350" spans="1:48" s="136" customFormat="1" ht="25.5" hidden="1" x14ac:dyDescent="0.2">
      <c r="A350" s="87">
        <v>20326</v>
      </c>
      <c r="B350" s="80" t="s">
        <v>2422</v>
      </c>
      <c r="C350" s="80" t="s">
        <v>1384</v>
      </c>
      <c r="D350" s="87"/>
      <c r="E350" s="123" t="s">
        <v>94</v>
      </c>
      <c r="F350" s="140">
        <v>30253</v>
      </c>
      <c r="G350" s="123" t="s">
        <v>52</v>
      </c>
      <c r="H350" s="54" t="s">
        <v>53</v>
      </c>
      <c r="I350" s="123" t="s">
        <v>2423</v>
      </c>
      <c r="J350" s="140">
        <v>38659</v>
      </c>
      <c r="K350" s="123" t="s">
        <v>52</v>
      </c>
      <c r="L350" s="123" t="s">
        <v>352</v>
      </c>
      <c r="M350" s="123" t="s">
        <v>2424</v>
      </c>
      <c r="N350" s="123" t="s">
        <v>2425</v>
      </c>
      <c r="O350" s="106">
        <v>2005</v>
      </c>
      <c r="P350" s="54" t="s">
        <v>2426</v>
      </c>
      <c r="Q350" s="123" t="s">
        <v>2427</v>
      </c>
      <c r="R350" s="123" t="s">
        <v>2428</v>
      </c>
      <c r="S350" s="123"/>
      <c r="T350" s="54" t="s">
        <v>2429</v>
      </c>
      <c r="U350" s="54" t="s">
        <v>2429</v>
      </c>
      <c r="V350" s="123"/>
      <c r="W350" s="123"/>
      <c r="X350" s="123"/>
      <c r="Y350" s="123" t="s">
        <v>206</v>
      </c>
      <c r="Z350" s="54"/>
      <c r="AA350" s="54"/>
      <c r="AB350" s="54">
        <v>3</v>
      </c>
      <c r="AC350" s="54" t="s">
        <v>63</v>
      </c>
      <c r="AD350" s="123" t="s">
        <v>207</v>
      </c>
      <c r="AE350" s="54" t="s">
        <v>585</v>
      </c>
      <c r="AF350" s="54" t="s">
        <v>65</v>
      </c>
      <c r="AG350" s="140">
        <v>40854</v>
      </c>
      <c r="AH350" s="65">
        <f t="shared" si="39"/>
        <v>11</v>
      </c>
      <c r="AI350" s="65"/>
      <c r="AJ350" s="140">
        <v>40915</v>
      </c>
      <c r="AK350" s="65">
        <f t="shared" si="36"/>
        <v>1</v>
      </c>
      <c r="AL350" s="54" t="s">
        <v>66</v>
      </c>
      <c r="AM350" s="138"/>
      <c r="AN350" s="138"/>
      <c r="AO350" s="140"/>
      <c r="AP350" s="65"/>
      <c r="AQ350" s="123"/>
      <c r="AR350" s="23"/>
      <c r="AS350" s="54" t="s">
        <v>347</v>
      </c>
      <c r="AT350" s="184"/>
      <c r="AU350" s="70">
        <f t="shared" si="34"/>
        <v>10</v>
      </c>
      <c r="AV350" s="70" t="s">
        <v>68</v>
      </c>
    </row>
    <row r="351" spans="1:48" s="136" customFormat="1" ht="25.5" hidden="1" x14ac:dyDescent="0.2">
      <c r="A351" s="86">
        <v>20327</v>
      </c>
      <c r="B351" s="3" t="s">
        <v>2430</v>
      </c>
      <c r="C351" s="3" t="s">
        <v>643</v>
      </c>
      <c r="D351" s="86"/>
      <c r="E351" s="36" t="s">
        <v>94</v>
      </c>
      <c r="F351" s="48">
        <v>30243</v>
      </c>
      <c r="G351" s="36" t="s">
        <v>884</v>
      </c>
      <c r="H351" s="81" t="s">
        <v>885</v>
      </c>
      <c r="I351" s="36" t="s">
        <v>2431</v>
      </c>
      <c r="J351" s="48">
        <v>37229</v>
      </c>
      <c r="K351" s="36" t="s">
        <v>884</v>
      </c>
      <c r="L351" s="36" t="s">
        <v>352</v>
      </c>
      <c r="M351" s="36" t="s">
        <v>2302</v>
      </c>
      <c r="N351" s="36" t="s">
        <v>760</v>
      </c>
      <c r="O351" s="101"/>
      <c r="P351" s="81" t="s">
        <v>2432</v>
      </c>
      <c r="Q351" s="36"/>
      <c r="R351" s="36" t="s">
        <v>2433</v>
      </c>
      <c r="S351" s="36"/>
      <c r="T351" s="81" t="s">
        <v>2434</v>
      </c>
      <c r="U351" s="81" t="s">
        <v>2435</v>
      </c>
      <c r="V351" s="36"/>
      <c r="W351" s="36"/>
      <c r="X351" s="36"/>
      <c r="Y351" s="36" t="s">
        <v>616</v>
      </c>
      <c r="Z351" s="81"/>
      <c r="AA351" s="54"/>
      <c r="AB351" s="81" t="s">
        <v>285</v>
      </c>
      <c r="AC351" s="81" t="s">
        <v>236</v>
      </c>
      <c r="AD351" s="36" t="s">
        <v>230</v>
      </c>
      <c r="AE351" s="81"/>
      <c r="AF351" s="81" t="s">
        <v>231</v>
      </c>
      <c r="AG351" s="48"/>
      <c r="AH351" s="134" t="str">
        <f t="shared" si="39"/>
        <v/>
      </c>
      <c r="AI351" s="134"/>
      <c r="AJ351" s="48"/>
      <c r="AK351" s="134" t="str">
        <f t="shared" si="36"/>
        <v/>
      </c>
      <c r="AL351" s="94" t="s">
        <v>82</v>
      </c>
      <c r="AM351" s="78"/>
      <c r="AN351" s="78"/>
      <c r="AO351" s="190">
        <v>40878</v>
      </c>
      <c r="AP351" s="136">
        <f>IF((AO351=""),"",MONTH(AO351))</f>
        <v>12</v>
      </c>
      <c r="AQ351" s="127"/>
      <c r="AR351" s="23"/>
      <c r="AS351" s="94"/>
      <c r="AT351" s="194"/>
      <c r="AU351" s="70">
        <f t="shared" si="34"/>
        <v>10</v>
      </c>
      <c r="AV351" s="70" t="s">
        <v>68</v>
      </c>
    </row>
    <row r="352" spans="1:48" ht="12.75" hidden="1" x14ac:dyDescent="0.2">
      <c r="A352" s="86">
        <v>20328</v>
      </c>
      <c r="B352" s="3" t="s">
        <v>2436</v>
      </c>
      <c r="C352" s="3" t="s">
        <v>1940</v>
      </c>
      <c r="D352" s="86"/>
      <c r="E352" s="36" t="s">
        <v>94</v>
      </c>
      <c r="F352" s="48">
        <v>32744</v>
      </c>
      <c r="G352" s="36" t="s">
        <v>1255</v>
      </c>
      <c r="H352" s="81" t="s">
        <v>1793</v>
      </c>
      <c r="I352" s="36" t="s">
        <v>2437</v>
      </c>
      <c r="J352" s="48">
        <v>39389</v>
      </c>
      <c r="K352" s="36" t="s">
        <v>1255</v>
      </c>
      <c r="L352" s="36" t="s">
        <v>352</v>
      </c>
      <c r="M352" s="36"/>
      <c r="N352" s="36" t="s">
        <v>368</v>
      </c>
      <c r="O352" s="101"/>
      <c r="P352" s="81" t="s">
        <v>2438</v>
      </c>
      <c r="Q352" s="36"/>
      <c r="R352" s="36" t="s">
        <v>2439</v>
      </c>
      <c r="S352" s="36"/>
      <c r="T352" s="81" t="s">
        <v>2440</v>
      </c>
      <c r="U352" s="81" t="s">
        <v>2441</v>
      </c>
      <c r="V352" s="36"/>
      <c r="W352" s="36"/>
      <c r="X352" s="36"/>
      <c r="Y352" s="36" t="s">
        <v>831</v>
      </c>
      <c r="Z352" s="81"/>
      <c r="AA352" s="54"/>
      <c r="AB352" s="81" t="s">
        <v>361</v>
      </c>
      <c r="AC352" s="81" t="s">
        <v>362</v>
      </c>
      <c r="AD352" s="36" t="s">
        <v>2442</v>
      </c>
      <c r="AE352" s="81" t="s">
        <v>2443</v>
      </c>
      <c r="AF352" s="81" t="s">
        <v>231</v>
      </c>
      <c r="AG352" s="48">
        <v>40857</v>
      </c>
      <c r="AH352" s="134">
        <f t="shared" si="39"/>
        <v>11</v>
      </c>
      <c r="AI352" s="134"/>
      <c r="AJ352" s="48">
        <v>40918</v>
      </c>
      <c r="AK352" s="134">
        <f t="shared" si="36"/>
        <v>1</v>
      </c>
      <c r="AL352" s="54" t="s">
        <v>82</v>
      </c>
      <c r="AM352" s="138"/>
      <c r="AN352" s="138"/>
      <c r="AO352" s="140"/>
      <c r="AP352" s="65" t="str">
        <f>IF((AO352=""),"",MONTH(AO352))</f>
        <v/>
      </c>
      <c r="AQ352" s="123"/>
      <c r="AR352" s="23"/>
      <c r="AS352" s="54" t="s">
        <v>107</v>
      </c>
      <c r="AT352" s="136"/>
      <c r="AU352" s="70">
        <f t="shared" si="34"/>
        <v>8</v>
      </c>
      <c r="AV352" s="70" t="s">
        <v>68</v>
      </c>
    </row>
    <row r="353" spans="1:48" ht="25.5" hidden="1" x14ac:dyDescent="0.2">
      <c r="A353" s="86">
        <v>20329</v>
      </c>
      <c r="B353" s="3" t="s">
        <v>848</v>
      </c>
      <c r="C353" s="3" t="s">
        <v>266</v>
      </c>
      <c r="D353" s="86"/>
      <c r="E353" s="36" t="s">
        <v>94</v>
      </c>
      <c r="F353" s="48">
        <v>32446</v>
      </c>
      <c r="G353" s="36"/>
      <c r="H353" s="81" t="s">
        <v>2444</v>
      </c>
      <c r="I353" s="36" t="s">
        <v>2154</v>
      </c>
      <c r="J353" s="48">
        <v>37979</v>
      </c>
      <c r="K353" s="36" t="s">
        <v>884</v>
      </c>
      <c r="L353" s="36" t="s">
        <v>826</v>
      </c>
      <c r="M353" s="36" t="s">
        <v>2445</v>
      </c>
      <c r="N353" s="36" t="s">
        <v>1815</v>
      </c>
      <c r="O353" s="101"/>
      <c r="P353" s="159" t="s">
        <v>2446</v>
      </c>
      <c r="Q353" s="36"/>
      <c r="R353" s="36" t="s">
        <v>2447</v>
      </c>
      <c r="S353" s="36"/>
      <c r="T353" s="81"/>
      <c r="U353" s="81" t="s">
        <v>2448</v>
      </c>
      <c r="V353" s="36"/>
      <c r="W353" s="36"/>
      <c r="X353" s="36"/>
      <c r="Y353" s="36" t="s">
        <v>284</v>
      </c>
      <c r="Z353" s="81"/>
      <c r="AA353" s="54"/>
      <c r="AB353" s="81" t="s">
        <v>285</v>
      </c>
      <c r="AC353" s="81" t="s">
        <v>236</v>
      </c>
      <c r="AD353" s="36" t="s">
        <v>230</v>
      </c>
      <c r="AE353" s="81" t="s">
        <v>839</v>
      </c>
      <c r="AF353" s="81" t="s">
        <v>231</v>
      </c>
      <c r="AG353" s="48"/>
      <c r="AH353" s="48"/>
      <c r="AI353" s="48"/>
      <c r="AJ353" s="48">
        <v>40917</v>
      </c>
      <c r="AK353" s="134">
        <f t="shared" si="36"/>
        <v>1</v>
      </c>
      <c r="AL353" s="54" t="s">
        <v>82</v>
      </c>
      <c r="AM353" s="54"/>
      <c r="AN353" s="54"/>
      <c r="AO353" s="190"/>
      <c r="AP353" s="136"/>
      <c r="AQ353" s="123"/>
      <c r="AR353" s="23"/>
      <c r="AS353" s="54"/>
      <c r="AT353" s="23"/>
      <c r="AU353" s="70">
        <f t="shared" si="34"/>
        <v>10</v>
      </c>
      <c r="AV353" s="70" t="s">
        <v>68</v>
      </c>
    </row>
    <row r="354" spans="1:48" s="136" customFormat="1" ht="19.5" hidden="1" customHeight="1" x14ac:dyDescent="0.2">
      <c r="A354" s="86">
        <v>20330</v>
      </c>
      <c r="B354" s="3" t="s">
        <v>2449</v>
      </c>
      <c r="C354" s="3" t="s">
        <v>706</v>
      </c>
      <c r="D354" s="86"/>
      <c r="E354" s="36" t="s">
        <v>94</v>
      </c>
      <c r="F354" s="48">
        <v>32929</v>
      </c>
      <c r="G354" s="36"/>
      <c r="H354" s="81" t="s">
        <v>1139</v>
      </c>
      <c r="I354" s="36" t="s">
        <v>2450</v>
      </c>
      <c r="J354" s="48">
        <v>39346</v>
      </c>
      <c r="K354" s="36" t="s">
        <v>1139</v>
      </c>
      <c r="L354" s="36" t="s">
        <v>826</v>
      </c>
      <c r="M354" s="36" t="s">
        <v>2451</v>
      </c>
      <c r="N354" s="36" t="s">
        <v>1815</v>
      </c>
      <c r="O354" s="101"/>
      <c r="P354" s="159" t="s">
        <v>2452</v>
      </c>
      <c r="Q354" s="36"/>
      <c r="R354" s="36" t="s">
        <v>2453</v>
      </c>
      <c r="S354" s="36"/>
      <c r="T354" s="81"/>
      <c r="U354" s="81" t="s">
        <v>2454</v>
      </c>
      <c r="V354" s="36"/>
      <c r="W354" s="36"/>
      <c r="X354" s="36"/>
      <c r="Y354" s="36" t="s">
        <v>284</v>
      </c>
      <c r="Z354" s="81"/>
      <c r="AA354" s="54"/>
      <c r="AB354" s="81" t="s">
        <v>285</v>
      </c>
      <c r="AC354" s="81" t="s">
        <v>236</v>
      </c>
      <c r="AD354" s="36" t="s">
        <v>230</v>
      </c>
      <c r="AE354" s="81" t="s">
        <v>839</v>
      </c>
      <c r="AF354" s="81" t="s">
        <v>231</v>
      </c>
      <c r="AG354" s="48"/>
      <c r="AH354" s="48"/>
      <c r="AI354" s="48"/>
      <c r="AJ354" s="48">
        <v>40917</v>
      </c>
      <c r="AK354" s="134">
        <f t="shared" si="36"/>
        <v>1</v>
      </c>
      <c r="AL354" s="54" t="s">
        <v>82</v>
      </c>
      <c r="AM354" s="54"/>
      <c r="AN354" s="54"/>
      <c r="AO354" s="190"/>
      <c r="AQ354" s="123"/>
      <c r="AR354" s="23"/>
      <c r="AS354" s="54"/>
      <c r="AT354" s="65"/>
      <c r="AU354" s="70">
        <f t="shared" si="34"/>
        <v>2</v>
      </c>
      <c r="AV354" s="70" t="s">
        <v>68</v>
      </c>
    </row>
    <row r="355" spans="1:48" ht="25.5" hidden="1" x14ac:dyDescent="0.2">
      <c r="A355" s="87">
        <v>20331</v>
      </c>
      <c r="B355" s="80" t="s">
        <v>1427</v>
      </c>
      <c r="C355" s="80" t="s">
        <v>256</v>
      </c>
      <c r="D355" s="87"/>
      <c r="E355" s="123" t="s">
        <v>94</v>
      </c>
      <c r="F355" s="140">
        <v>32854</v>
      </c>
      <c r="G355" s="123" t="s">
        <v>52</v>
      </c>
      <c r="H355" s="54" t="s">
        <v>53</v>
      </c>
      <c r="I355" s="123" t="s">
        <v>2455</v>
      </c>
      <c r="J355" s="140">
        <v>37767</v>
      </c>
      <c r="K355" s="123" t="s">
        <v>52</v>
      </c>
      <c r="L355" s="123" t="s">
        <v>123</v>
      </c>
      <c r="M355" s="123" t="s">
        <v>96</v>
      </c>
      <c r="N355" s="123" t="s">
        <v>2456</v>
      </c>
      <c r="O355" s="106"/>
      <c r="P355" s="54" t="s">
        <v>2457</v>
      </c>
      <c r="Q355" s="123" t="s">
        <v>2458</v>
      </c>
      <c r="R355" s="123" t="s">
        <v>2459</v>
      </c>
      <c r="S355" s="123"/>
      <c r="T355" s="54" t="s">
        <v>2460</v>
      </c>
      <c r="U355" s="54" t="s">
        <v>2461</v>
      </c>
      <c r="V355" s="123"/>
      <c r="W355" s="123"/>
      <c r="X355" s="123"/>
      <c r="Y355" s="123" t="s">
        <v>206</v>
      </c>
      <c r="Z355" s="54"/>
      <c r="AA355" s="54"/>
      <c r="AB355" s="54">
        <v>3</v>
      </c>
      <c r="AC355" s="54" t="s">
        <v>63</v>
      </c>
      <c r="AD355" s="123" t="s">
        <v>375</v>
      </c>
      <c r="AE355" s="54" t="s">
        <v>2099</v>
      </c>
      <c r="AF355" s="54" t="s">
        <v>65</v>
      </c>
      <c r="AG355" s="140">
        <v>40861</v>
      </c>
      <c r="AH355" s="65">
        <f t="shared" ref="AH355:AH363" si="40">IF((AG355=""),"",MONTH(AG355))</f>
        <v>11</v>
      </c>
      <c r="AI355" s="65"/>
      <c r="AJ355" s="140">
        <v>40909</v>
      </c>
      <c r="AK355" s="65">
        <f t="shared" si="36"/>
        <v>1</v>
      </c>
      <c r="AL355" s="54" t="s">
        <v>66</v>
      </c>
      <c r="AM355" s="138"/>
      <c r="AN355" s="138"/>
      <c r="AO355" s="140"/>
      <c r="AP355" s="65" t="str">
        <f>IF((AO355=""),"",MONTH(AO355))</f>
        <v/>
      </c>
      <c r="AQ355" s="123"/>
      <c r="AR355" s="23"/>
      <c r="AS355" s="54" t="s">
        <v>107</v>
      </c>
      <c r="AT355" s="136"/>
      <c r="AU355" s="70">
        <f t="shared" ref="AU355:AU418" si="41">IF((F355=""),"",MONTH(F355))</f>
        <v>12</v>
      </c>
      <c r="AV355" s="70" t="s">
        <v>68</v>
      </c>
    </row>
    <row r="356" spans="1:48" s="136" customFormat="1" ht="25.5" hidden="1" x14ac:dyDescent="0.2">
      <c r="A356" s="87">
        <v>20332</v>
      </c>
      <c r="B356" s="80" t="s">
        <v>265</v>
      </c>
      <c r="C356" s="80" t="s">
        <v>364</v>
      </c>
      <c r="D356" s="87"/>
      <c r="E356" s="123" t="s">
        <v>94</v>
      </c>
      <c r="F356" s="140">
        <v>32469</v>
      </c>
      <c r="G356" s="123" t="s">
        <v>365</v>
      </c>
      <c r="H356" s="54" t="s">
        <v>366</v>
      </c>
      <c r="I356" s="123" t="s">
        <v>2462</v>
      </c>
      <c r="J356" s="140">
        <v>40735</v>
      </c>
      <c r="K356" s="123" t="s">
        <v>365</v>
      </c>
      <c r="L356" s="123" t="s">
        <v>123</v>
      </c>
      <c r="M356" s="123" t="s">
        <v>96</v>
      </c>
      <c r="N356" s="123" t="s">
        <v>2456</v>
      </c>
      <c r="O356" s="106"/>
      <c r="P356" s="54" t="s">
        <v>2463</v>
      </c>
      <c r="Q356" s="123"/>
      <c r="R356" s="123" t="s">
        <v>2464</v>
      </c>
      <c r="S356" s="123"/>
      <c r="T356" s="54" t="s">
        <v>2465</v>
      </c>
      <c r="U356" s="54" t="s">
        <v>2466</v>
      </c>
      <c r="V356" s="123"/>
      <c r="W356" s="123"/>
      <c r="X356" s="123"/>
      <c r="Y356" s="123" t="s">
        <v>312</v>
      </c>
      <c r="Z356" s="54"/>
      <c r="AA356" s="54"/>
      <c r="AB356" s="54" t="s">
        <v>285</v>
      </c>
      <c r="AC356" s="54" t="s">
        <v>236</v>
      </c>
      <c r="AD356" s="123" t="s">
        <v>207</v>
      </c>
      <c r="AE356" s="54" t="s">
        <v>585</v>
      </c>
      <c r="AF356" s="54" t="s">
        <v>65</v>
      </c>
      <c r="AG356" s="140">
        <v>40863</v>
      </c>
      <c r="AH356" s="65">
        <f t="shared" si="40"/>
        <v>11</v>
      </c>
      <c r="AI356" s="65"/>
      <c r="AJ356" s="140">
        <v>40924</v>
      </c>
      <c r="AK356" s="65">
        <f t="shared" si="36"/>
        <v>1</v>
      </c>
      <c r="AL356" s="54" t="s">
        <v>66</v>
      </c>
      <c r="AM356" s="138"/>
      <c r="AN356" s="138"/>
      <c r="AO356" s="140"/>
      <c r="AP356" s="65"/>
      <c r="AQ356" s="123"/>
      <c r="AR356" s="23"/>
      <c r="AS356" s="54" t="s">
        <v>347</v>
      </c>
      <c r="AT356" s="184"/>
      <c r="AU356" s="70">
        <f t="shared" si="41"/>
        <v>11</v>
      </c>
      <c r="AV356" s="70" t="s">
        <v>68</v>
      </c>
    </row>
    <row r="357" spans="1:48" s="136" customFormat="1" ht="38.25" hidden="1" x14ac:dyDescent="0.2">
      <c r="A357" s="87">
        <v>20333</v>
      </c>
      <c r="B357" s="80" t="s">
        <v>1988</v>
      </c>
      <c r="C357" s="80" t="s">
        <v>685</v>
      </c>
      <c r="D357" s="87"/>
      <c r="E357" s="123" t="s">
        <v>94</v>
      </c>
      <c r="F357" s="140">
        <v>30135</v>
      </c>
      <c r="G357" s="123" t="s">
        <v>52</v>
      </c>
      <c r="H357" s="54" t="s">
        <v>53</v>
      </c>
      <c r="I357" s="123" t="s">
        <v>2467</v>
      </c>
      <c r="J357" s="140">
        <v>40779</v>
      </c>
      <c r="K357" s="123" t="s">
        <v>52</v>
      </c>
      <c r="L357" s="123" t="s">
        <v>352</v>
      </c>
      <c r="M357" s="123" t="s">
        <v>2468</v>
      </c>
      <c r="N357" s="123" t="s">
        <v>2469</v>
      </c>
      <c r="O357" s="106"/>
      <c r="P357" s="54" t="s">
        <v>2470</v>
      </c>
      <c r="Q357" s="123" t="s">
        <v>2471</v>
      </c>
      <c r="R357" s="123" t="s">
        <v>2472</v>
      </c>
      <c r="S357" s="123"/>
      <c r="T357" s="54" t="s">
        <v>2473</v>
      </c>
      <c r="U357" s="54" t="s">
        <v>2474</v>
      </c>
      <c r="V357" s="123"/>
      <c r="W357" s="123"/>
      <c r="X357" s="123"/>
      <c r="Y357" s="123" t="s">
        <v>312</v>
      </c>
      <c r="Z357" s="54"/>
      <c r="AA357" s="54"/>
      <c r="AB357" s="54" t="s">
        <v>285</v>
      </c>
      <c r="AC357" s="54" t="s">
        <v>236</v>
      </c>
      <c r="AD357" s="123" t="s">
        <v>375</v>
      </c>
      <c r="AE357" s="54" t="s">
        <v>792</v>
      </c>
      <c r="AF357" s="54" t="s">
        <v>65</v>
      </c>
      <c r="AG357" s="140">
        <v>40868</v>
      </c>
      <c r="AH357" s="65">
        <f t="shared" si="40"/>
        <v>11</v>
      </c>
      <c r="AI357" s="65"/>
      <c r="AJ357" s="140">
        <v>40909</v>
      </c>
      <c r="AK357" s="65">
        <f t="shared" si="36"/>
        <v>1</v>
      </c>
      <c r="AL357" s="54" t="s">
        <v>66</v>
      </c>
      <c r="AM357" s="138"/>
      <c r="AN357" s="138"/>
      <c r="AO357" s="140"/>
      <c r="AP357" s="65" t="str">
        <f t="shared" ref="AP357:AP363" si="42">IF((AO357=""),"",MONTH(AO357))</f>
        <v/>
      </c>
      <c r="AQ357" s="123"/>
      <c r="AR357" s="23"/>
      <c r="AS357" s="54" t="s">
        <v>107</v>
      </c>
      <c r="AT357" s="158"/>
      <c r="AU357" s="70">
        <f t="shared" si="41"/>
        <v>7</v>
      </c>
      <c r="AV357" s="70" t="s">
        <v>68</v>
      </c>
    </row>
    <row r="358" spans="1:48" s="136" customFormat="1" ht="19.5" customHeight="1" x14ac:dyDescent="0.2">
      <c r="A358" s="87">
        <v>20334</v>
      </c>
      <c r="B358" s="80" t="s">
        <v>2475</v>
      </c>
      <c r="C358" s="80" t="s">
        <v>256</v>
      </c>
      <c r="D358" s="87"/>
      <c r="E358" s="123" t="s">
        <v>94</v>
      </c>
      <c r="F358" s="140">
        <v>31298</v>
      </c>
      <c r="G358" s="123" t="s">
        <v>2476</v>
      </c>
      <c r="H358" s="54" t="s">
        <v>350</v>
      </c>
      <c r="I358" s="123" t="s">
        <v>2477</v>
      </c>
      <c r="J358" s="140">
        <v>39554</v>
      </c>
      <c r="K358" s="123" t="s">
        <v>1456</v>
      </c>
      <c r="L358" s="123" t="s">
        <v>123</v>
      </c>
      <c r="M358" s="123" t="s">
        <v>2478</v>
      </c>
      <c r="N358" s="123" t="s">
        <v>2479</v>
      </c>
      <c r="O358" s="106">
        <v>2009</v>
      </c>
      <c r="P358" s="54" t="s">
        <v>2480</v>
      </c>
      <c r="Q358" s="123"/>
      <c r="R358" s="123" t="s">
        <v>2481</v>
      </c>
      <c r="S358" s="123"/>
      <c r="T358" s="54" t="s">
        <v>2482</v>
      </c>
      <c r="U358" s="54" t="s">
        <v>2482</v>
      </c>
      <c r="V358" s="123"/>
      <c r="W358" s="123"/>
      <c r="X358" s="123"/>
      <c r="Y358" s="123" t="s">
        <v>1182</v>
      </c>
      <c r="Z358" s="54"/>
      <c r="AA358" s="54"/>
      <c r="AB358" s="54" t="s">
        <v>361</v>
      </c>
      <c r="AC358" s="54" t="s">
        <v>362</v>
      </c>
      <c r="AD358" s="123" t="s">
        <v>1183</v>
      </c>
      <c r="AE358" s="54" t="s">
        <v>1184</v>
      </c>
      <c r="AF358" s="54" t="s">
        <v>231</v>
      </c>
      <c r="AG358" s="140">
        <v>40868</v>
      </c>
      <c r="AH358" s="65">
        <f t="shared" si="40"/>
        <v>11</v>
      </c>
      <c r="AI358" s="65"/>
      <c r="AJ358" s="140">
        <v>40894</v>
      </c>
      <c r="AK358" s="65">
        <f t="shared" si="36"/>
        <v>12</v>
      </c>
      <c r="AL358" s="54" t="s">
        <v>66</v>
      </c>
      <c r="AM358" s="138"/>
      <c r="AN358" s="138"/>
      <c r="AO358" s="140"/>
      <c r="AP358" s="65" t="str">
        <f t="shared" si="42"/>
        <v/>
      </c>
      <c r="AQ358" s="123"/>
      <c r="AR358" s="23"/>
      <c r="AS358" s="54" t="s">
        <v>347</v>
      </c>
      <c r="AT358" s="194"/>
      <c r="AU358" s="70">
        <f t="shared" si="41"/>
        <v>9</v>
      </c>
      <c r="AV358" s="70" t="s">
        <v>68</v>
      </c>
    </row>
    <row r="359" spans="1:48" ht="25.5" hidden="1" x14ac:dyDescent="0.2">
      <c r="A359" s="86">
        <v>20335</v>
      </c>
      <c r="B359" s="3" t="s">
        <v>2483</v>
      </c>
      <c r="C359" s="3" t="s">
        <v>496</v>
      </c>
      <c r="D359" s="86"/>
      <c r="E359" s="36" t="s">
        <v>94</v>
      </c>
      <c r="F359" s="48">
        <v>29859</v>
      </c>
      <c r="G359" s="36" t="s">
        <v>1148</v>
      </c>
      <c r="H359" s="81" t="s">
        <v>1149</v>
      </c>
      <c r="I359" s="36" t="s">
        <v>2484</v>
      </c>
      <c r="J359" s="48">
        <v>40681</v>
      </c>
      <c r="K359" s="36" t="s">
        <v>231</v>
      </c>
      <c r="L359" s="36"/>
      <c r="M359" s="36"/>
      <c r="N359" s="36"/>
      <c r="O359" s="101"/>
      <c r="P359" s="81" t="s">
        <v>2485</v>
      </c>
      <c r="Q359" s="36"/>
      <c r="R359" s="36" t="s">
        <v>2486</v>
      </c>
      <c r="S359" s="36"/>
      <c r="T359" s="81" t="s">
        <v>2487</v>
      </c>
      <c r="U359" s="81" t="s">
        <v>2487</v>
      </c>
      <c r="V359" s="36"/>
      <c r="W359" s="36"/>
      <c r="X359" s="36"/>
      <c r="Y359" s="36" t="s">
        <v>616</v>
      </c>
      <c r="Z359" s="81"/>
      <c r="AA359" s="54"/>
      <c r="AB359" s="81" t="s">
        <v>285</v>
      </c>
      <c r="AC359" s="81" t="s">
        <v>236</v>
      </c>
      <c r="AD359" s="36" t="s">
        <v>230</v>
      </c>
      <c r="AE359" s="81"/>
      <c r="AF359" s="81" t="s">
        <v>231</v>
      </c>
      <c r="AG359" s="48"/>
      <c r="AH359" s="134" t="str">
        <f t="shared" si="40"/>
        <v/>
      </c>
      <c r="AI359" s="134"/>
      <c r="AJ359" s="48"/>
      <c r="AK359" s="134" t="str">
        <f t="shared" si="36"/>
        <v/>
      </c>
      <c r="AL359" s="94" t="s">
        <v>82</v>
      </c>
      <c r="AM359" s="78"/>
      <c r="AN359" s="78"/>
      <c r="AO359" s="190">
        <v>40882</v>
      </c>
      <c r="AP359" s="136">
        <f t="shared" si="42"/>
        <v>12</v>
      </c>
      <c r="AQ359" s="127"/>
      <c r="AR359" s="23"/>
      <c r="AS359" s="94"/>
      <c r="AT359" s="136"/>
      <c r="AU359" s="70">
        <f t="shared" si="41"/>
        <v>9</v>
      </c>
      <c r="AV359" s="70" t="s">
        <v>68</v>
      </c>
    </row>
    <row r="360" spans="1:48" ht="19.5" hidden="1" customHeight="1" x14ac:dyDescent="0.2">
      <c r="A360" s="87">
        <v>20336</v>
      </c>
      <c r="B360" s="80" t="s">
        <v>2488</v>
      </c>
      <c r="C360" s="80" t="s">
        <v>2489</v>
      </c>
      <c r="D360" s="87"/>
      <c r="E360" s="123" t="s">
        <v>94</v>
      </c>
      <c r="F360" s="140">
        <v>32458</v>
      </c>
      <c r="G360" s="123" t="s">
        <v>2056</v>
      </c>
      <c r="H360" s="54" t="s">
        <v>2490</v>
      </c>
      <c r="I360" s="123" t="s">
        <v>2491</v>
      </c>
      <c r="J360" s="140">
        <v>37685</v>
      </c>
      <c r="K360" s="123" t="s">
        <v>2056</v>
      </c>
      <c r="L360" s="123" t="s">
        <v>341</v>
      </c>
      <c r="M360" s="123" t="s">
        <v>2492</v>
      </c>
      <c r="N360" s="123" t="s">
        <v>760</v>
      </c>
      <c r="O360" s="106"/>
      <c r="P360" s="54" t="s">
        <v>2493</v>
      </c>
      <c r="Q360" s="123"/>
      <c r="R360" s="123" t="s">
        <v>2494</v>
      </c>
      <c r="S360" s="123"/>
      <c r="T360" s="54" t="s">
        <v>2495</v>
      </c>
      <c r="U360" s="54" t="s">
        <v>2496</v>
      </c>
      <c r="V360" s="123"/>
      <c r="W360" s="123"/>
      <c r="X360" s="123"/>
      <c r="Y360" s="123" t="s">
        <v>865</v>
      </c>
      <c r="Z360" s="54"/>
      <c r="AA360" s="54"/>
      <c r="AB360" s="54" t="s">
        <v>285</v>
      </c>
      <c r="AC360" s="54" t="s">
        <v>236</v>
      </c>
      <c r="AD360" s="123" t="s">
        <v>866</v>
      </c>
      <c r="AE360" s="54" t="s">
        <v>867</v>
      </c>
      <c r="AF360" s="54" t="s">
        <v>231</v>
      </c>
      <c r="AG360" s="140">
        <v>40875</v>
      </c>
      <c r="AH360" s="65">
        <f t="shared" si="40"/>
        <v>11</v>
      </c>
      <c r="AI360" s="65"/>
      <c r="AJ360" s="140">
        <v>40936</v>
      </c>
      <c r="AK360" s="65">
        <f t="shared" si="36"/>
        <v>1</v>
      </c>
      <c r="AL360" s="54" t="s">
        <v>66</v>
      </c>
      <c r="AM360" s="138"/>
      <c r="AN360" s="138"/>
      <c r="AO360" s="140"/>
      <c r="AP360" s="65" t="str">
        <f t="shared" si="42"/>
        <v/>
      </c>
      <c r="AQ360" s="123"/>
      <c r="AR360" s="23"/>
      <c r="AS360" s="54" t="s">
        <v>347</v>
      </c>
      <c r="AT360" s="136"/>
      <c r="AU360" s="70">
        <f t="shared" si="41"/>
        <v>11</v>
      </c>
      <c r="AV360" s="70" t="s">
        <v>68</v>
      </c>
    </row>
    <row r="361" spans="1:48" s="136" customFormat="1" ht="25.5" hidden="1" x14ac:dyDescent="0.2">
      <c r="A361" s="86">
        <v>20337</v>
      </c>
      <c r="B361" s="3" t="s">
        <v>801</v>
      </c>
      <c r="C361" s="3" t="s">
        <v>2497</v>
      </c>
      <c r="D361" s="86"/>
      <c r="E361" s="36" t="s">
        <v>94</v>
      </c>
      <c r="F361" s="48">
        <v>31169</v>
      </c>
      <c r="G361" s="36" t="s">
        <v>1186</v>
      </c>
      <c r="H361" s="81" t="s">
        <v>2193</v>
      </c>
      <c r="I361" s="36" t="s">
        <v>2498</v>
      </c>
      <c r="J361" s="48">
        <v>39139</v>
      </c>
      <c r="K361" s="36"/>
      <c r="L361" s="36" t="s">
        <v>958</v>
      </c>
      <c r="M361" s="36"/>
      <c r="N361" s="36"/>
      <c r="O361" s="101"/>
      <c r="P361" s="81" t="s">
        <v>2499</v>
      </c>
      <c r="Q361" s="36"/>
      <c r="R361" s="36" t="s">
        <v>2500</v>
      </c>
      <c r="S361" s="36"/>
      <c r="T361" s="81" t="s">
        <v>0</v>
      </c>
      <c r="U361" s="81" t="s">
        <v>0</v>
      </c>
      <c r="V361" s="36"/>
      <c r="W361" s="36"/>
      <c r="X361" s="36"/>
      <c r="Y361" s="36" t="s">
        <v>284</v>
      </c>
      <c r="Z361" s="81"/>
      <c r="AA361" s="54"/>
      <c r="AB361" s="81" t="s">
        <v>285</v>
      </c>
      <c r="AC361" s="81" t="s">
        <v>236</v>
      </c>
      <c r="AD361" s="36" t="s">
        <v>1145</v>
      </c>
      <c r="AE361" s="81" t="s">
        <v>1938</v>
      </c>
      <c r="AF361" s="81" t="s">
        <v>231</v>
      </c>
      <c r="AG361" s="48">
        <v>40848</v>
      </c>
      <c r="AH361" s="134">
        <f t="shared" si="40"/>
        <v>11</v>
      </c>
      <c r="AI361" s="134"/>
      <c r="AJ361" s="48">
        <v>40940</v>
      </c>
      <c r="AK361" s="134">
        <f t="shared" si="36"/>
        <v>2</v>
      </c>
      <c r="AL361" s="94" t="s">
        <v>82</v>
      </c>
      <c r="AM361" s="78"/>
      <c r="AN361" s="78"/>
      <c r="AO361" s="190">
        <v>41335</v>
      </c>
      <c r="AP361" s="136">
        <f t="shared" si="42"/>
        <v>3</v>
      </c>
      <c r="AQ361" s="127"/>
      <c r="AR361" s="23"/>
      <c r="AS361" s="94"/>
      <c r="AT361" s="23"/>
      <c r="AU361" s="70">
        <f t="shared" si="41"/>
        <v>5</v>
      </c>
      <c r="AV361" s="70" t="s">
        <v>68</v>
      </c>
    </row>
    <row r="362" spans="1:48" ht="38.25" hidden="1" x14ac:dyDescent="0.2">
      <c r="A362" s="86">
        <v>20338</v>
      </c>
      <c r="B362" s="3" t="s">
        <v>265</v>
      </c>
      <c r="C362" s="3" t="s">
        <v>2501</v>
      </c>
      <c r="D362" s="86"/>
      <c r="E362" s="36" t="s">
        <v>94</v>
      </c>
      <c r="F362" s="48">
        <v>32164</v>
      </c>
      <c r="G362" s="36" t="s">
        <v>132</v>
      </c>
      <c r="H362" s="81" t="s">
        <v>133</v>
      </c>
      <c r="I362" s="36" t="s">
        <v>2502</v>
      </c>
      <c r="J362" s="48">
        <v>38324</v>
      </c>
      <c r="K362" s="36" t="s">
        <v>132</v>
      </c>
      <c r="L362" s="36" t="s">
        <v>123</v>
      </c>
      <c r="M362" s="36" t="s">
        <v>96</v>
      </c>
      <c r="N362" s="36" t="s">
        <v>368</v>
      </c>
      <c r="O362" s="101"/>
      <c r="P362" s="81" t="s">
        <v>2503</v>
      </c>
      <c r="Q362" s="36" t="s">
        <v>2504</v>
      </c>
      <c r="R362" s="36" t="s">
        <v>2505</v>
      </c>
      <c r="S362" s="36"/>
      <c r="T362" s="81" t="s">
        <v>2506</v>
      </c>
      <c r="U362" s="81" t="s">
        <v>2507</v>
      </c>
      <c r="V362" s="36"/>
      <c r="W362" s="36"/>
      <c r="X362" s="36"/>
      <c r="Y362" s="36" t="s">
        <v>284</v>
      </c>
      <c r="Z362" s="81"/>
      <c r="AA362" s="54"/>
      <c r="AB362" s="81" t="s">
        <v>285</v>
      </c>
      <c r="AC362" s="81" t="s">
        <v>236</v>
      </c>
      <c r="AD362" s="36" t="s">
        <v>1166</v>
      </c>
      <c r="AE362" s="81" t="s">
        <v>1906</v>
      </c>
      <c r="AF362" s="81" t="s">
        <v>65</v>
      </c>
      <c r="AG362" s="48">
        <v>40875</v>
      </c>
      <c r="AH362" s="134">
        <f t="shared" si="40"/>
        <v>11</v>
      </c>
      <c r="AI362" s="134"/>
      <c r="AJ362" s="48">
        <v>40936</v>
      </c>
      <c r="AK362" s="134">
        <f t="shared" si="36"/>
        <v>1</v>
      </c>
      <c r="AL362" s="94" t="s">
        <v>82</v>
      </c>
      <c r="AM362" s="78"/>
      <c r="AN362" s="78"/>
      <c r="AO362" s="190">
        <v>41401</v>
      </c>
      <c r="AP362" s="136">
        <f t="shared" si="42"/>
        <v>5</v>
      </c>
      <c r="AQ362" s="127"/>
      <c r="AR362" s="23"/>
      <c r="AS362" s="54" t="s">
        <v>67</v>
      </c>
      <c r="AT362" s="136"/>
      <c r="AU362" s="70">
        <f t="shared" si="41"/>
        <v>1</v>
      </c>
      <c r="AV362" s="70" t="s">
        <v>68</v>
      </c>
    </row>
    <row r="363" spans="1:48" ht="38.25" hidden="1" x14ac:dyDescent="0.2">
      <c r="A363" s="87">
        <v>20339</v>
      </c>
      <c r="B363" s="80" t="s">
        <v>265</v>
      </c>
      <c r="C363" s="80" t="s">
        <v>1461</v>
      </c>
      <c r="D363" s="87"/>
      <c r="E363" s="123" t="s">
        <v>94</v>
      </c>
      <c r="F363" s="140">
        <v>32853</v>
      </c>
      <c r="G363" s="123" t="s">
        <v>171</v>
      </c>
      <c r="H363" s="54" t="s">
        <v>350</v>
      </c>
      <c r="I363" s="123" t="s">
        <v>2508</v>
      </c>
      <c r="J363" s="140">
        <v>39074</v>
      </c>
      <c r="K363" s="123" t="s">
        <v>171</v>
      </c>
      <c r="L363" s="123" t="s">
        <v>341</v>
      </c>
      <c r="M363" s="123" t="s">
        <v>2468</v>
      </c>
      <c r="N363" s="123" t="s">
        <v>2509</v>
      </c>
      <c r="O363" s="106"/>
      <c r="P363" s="54" t="s">
        <v>2510</v>
      </c>
      <c r="Q363" s="123" t="s">
        <v>2511</v>
      </c>
      <c r="R363" s="123" t="s">
        <v>2512</v>
      </c>
      <c r="S363" s="123"/>
      <c r="T363" s="54" t="s">
        <v>2513</v>
      </c>
      <c r="U363" s="54" t="s">
        <v>2514</v>
      </c>
      <c r="V363" s="123"/>
      <c r="W363" s="123"/>
      <c r="X363" s="123"/>
      <c r="Y363" s="123" t="s">
        <v>312</v>
      </c>
      <c r="Z363" s="54"/>
      <c r="AA363" s="54"/>
      <c r="AB363" s="54" t="s">
        <v>285</v>
      </c>
      <c r="AC363" s="54" t="s">
        <v>236</v>
      </c>
      <c r="AD363" s="123" t="s">
        <v>221</v>
      </c>
      <c r="AE363" s="54" t="s">
        <v>963</v>
      </c>
      <c r="AF363" s="54" t="s">
        <v>65</v>
      </c>
      <c r="AG363" s="140">
        <v>40878</v>
      </c>
      <c r="AH363" s="65">
        <f t="shared" si="40"/>
        <v>12</v>
      </c>
      <c r="AI363" s="65"/>
      <c r="AJ363" s="140">
        <v>40938</v>
      </c>
      <c r="AK363" s="65">
        <f t="shared" si="36"/>
        <v>1</v>
      </c>
      <c r="AL363" s="54" t="s">
        <v>66</v>
      </c>
      <c r="AM363" s="138"/>
      <c r="AN363" s="138"/>
      <c r="AO363" s="140"/>
      <c r="AP363" s="65" t="str">
        <f t="shared" si="42"/>
        <v/>
      </c>
      <c r="AQ363" s="123"/>
      <c r="AR363" s="23"/>
      <c r="AS363" s="54" t="s">
        <v>107</v>
      </c>
      <c r="AT363" s="136"/>
      <c r="AU363" s="70">
        <f t="shared" si="41"/>
        <v>12</v>
      </c>
      <c r="AV363" s="70" t="s">
        <v>68</v>
      </c>
    </row>
    <row r="364" spans="1:48" s="136" customFormat="1" ht="19.5" hidden="1" customHeight="1" x14ac:dyDescent="0.2">
      <c r="A364" s="86">
        <v>20340</v>
      </c>
      <c r="B364" s="3" t="s">
        <v>2515</v>
      </c>
      <c r="C364" s="3" t="s">
        <v>364</v>
      </c>
      <c r="D364" s="86"/>
      <c r="E364" s="36" t="s">
        <v>94</v>
      </c>
      <c r="F364" s="48"/>
      <c r="G364" s="36"/>
      <c r="H364" s="81" t="s">
        <v>884</v>
      </c>
      <c r="I364" s="36" t="s">
        <v>2516</v>
      </c>
      <c r="J364" s="48" t="s">
        <v>6353</v>
      </c>
      <c r="K364" s="36" t="s">
        <v>231</v>
      </c>
      <c r="L364" s="36" t="s">
        <v>1123</v>
      </c>
      <c r="M364" s="36" t="s">
        <v>2517</v>
      </c>
      <c r="N364" s="36" t="s">
        <v>2518</v>
      </c>
      <c r="O364" s="101"/>
      <c r="P364" s="159" t="s">
        <v>2519</v>
      </c>
      <c r="Q364" s="36"/>
      <c r="R364" s="36" t="s">
        <v>2520</v>
      </c>
      <c r="S364" s="36"/>
      <c r="T364" s="81"/>
      <c r="U364" s="81" t="s">
        <v>2521</v>
      </c>
      <c r="V364" s="36"/>
      <c r="W364" s="36"/>
      <c r="X364" s="36"/>
      <c r="Y364" s="36" t="s">
        <v>616</v>
      </c>
      <c r="Z364" s="81"/>
      <c r="AA364" s="54"/>
      <c r="AB364" s="81" t="s">
        <v>285</v>
      </c>
      <c r="AC364" s="81" t="s">
        <v>236</v>
      </c>
      <c r="AD364" s="36" t="s">
        <v>230</v>
      </c>
      <c r="AE364" s="81" t="s">
        <v>839</v>
      </c>
      <c r="AF364" s="81" t="s">
        <v>231</v>
      </c>
      <c r="AG364" s="48"/>
      <c r="AH364" s="48"/>
      <c r="AI364" s="48"/>
      <c r="AJ364" s="48">
        <v>40938</v>
      </c>
      <c r="AK364" s="134">
        <f t="shared" si="36"/>
        <v>1</v>
      </c>
      <c r="AL364" s="54" t="s">
        <v>82</v>
      </c>
      <c r="AM364" s="54"/>
      <c r="AN364" s="54"/>
      <c r="AO364" s="190"/>
      <c r="AQ364" s="123"/>
      <c r="AR364" s="23"/>
      <c r="AS364" s="54"/>
      <c r="AT364" s="65"/>
      <c r="AU364" s="70" t="str">
        <f t="shared" si="41"/>
        <v/>
      </c>
      <c r="AV364" s="70" t="s">
        <v>68</v>
      </c>
    </row>
    <row r="365" spans="1:48" ht="25.5" hidden="1" x14ac:dyDescent="0.2">
      <c r="A365" s="86">
        <v>20341</v>
      </c>
      <c r="B365" s="3" t="s">
        <v>265</v>
      </c>
      <c r="C365" s="3" t="s">
        <v>287</v>
      </c>
      <c r="D365" s="86"/>
      <c r="E365" s="36" t="s">
        <v>94</v>
      </c>
      <c r="F365" s="48"/>
      <c r="G365" s="36"/>
      <c r="H365" s="81" t="s">
        <v>997</v>
      </c>
      <c r="I365" s="36" t="s">
        <v>2522</v>
      </c>
      <c r="J365" s="48">
        <v>37167</v>
      </c>
      <c r="K365" s="36" t="s">
        <v>997</v>
      </c>
      <c r="L365" s="36" t="s">
        <v>318</v>
      </c>
      <c r="M365" s="36" t="s">
        <v>2523</v>
      </c>
      <c r="N365" s="36" t="s">
        <v>2524</v>
      </c>
      <c r="O365" s="101"/>
      <c r="P365" s="159" t="s">
        <v>2525</v>
      </c>
      <c r="Q365" s="36"/>
      <c r="R365" s="36" t="s">
        <v>2526</v>
      </c>
      <c r="S365" s="36"/>
      <c r="T365" s="81"/>
      <c r="U365" s="81" t="s">
        <v>2527</v>
      </c>
      <c r="V365" s="36"/>
      <c r="W365" s="36"/>
      <c r="X365" s="36"/>
      <c r="Y365" s="36" t="s">
        <v>284</v>
      </c>
      <c r="Z365" s="81"/>
      <c r="AA365" s="54"/>
      <c r="AB365" s="81" t="s">
        <v>285</v>
      </c>
      <c r="AC365" s="81" t="s">
        <v>236</v>
      </c>
      <c r="AD365" s="36" t="s">
        <v>917</v>
      </c>
      <c r="AE365" s="81" t="s">
        <v>918</v>
      </c>
      <c r="AF365" s="81" t="s">
        <v>65</v>
      </c>
      <c r="AG365" s="48"/>
      <c r="AH365" s="48"/>
      <c r="AI365" s="48"/>
      <c r="AJ365" s="48">
        <v>40952</v>
      </c>
      <c r="AK365" s="134">
        <f t="shared" si="36"/>
        <v>2</v>
      </c>
      <c r="AL365" s="54" t="s">
        <v>82</v>
      </c>
      <c r="AM365" s="54"/>
      <c r="AN365" s="54"/>
      <c r="AO365" s="190"/>
      <c r="AP365" s="136"/>
      <c r="AQ365" s="123"/>
      <c r="AR365" s="23"/>
      <c r="AS365" s="54"/>
      <c r="AT365" s="184"/>
      <c r="AU365" s="70" t="str">
        <f t="shared" si="41"/>
        <v/>
      </c>
      <c r="AV365" s="70" t="s">
        <v>68</v>
      </c>
    </row>
    <row r="366" spans="1:48" s="136" customFormat="1" ht="19.5" hidden="1" customHeight="1" x14ac:dyDescent="0.2">
      <c r="A366" s="87">
        <v>20342</v>
      </c>
      <c r="B366" s="80" t="s">
        <v>2528</v>
      </c>
      <c r="C366" s="80" t="s">
        <v>2529</v>
      </c>
      <c r="D366" s="87"/>
      <c r="E366" s="123" t="s">
        <v>94</v>
      </c>
      <c r="F366" s="140">
        <v>29883</v>
      </c>
      <c r="G366" s="123" t="s">
        <v>231</v>
      </c>
      <c r="H366" s="54" t="s">
        <v>365</v>
      </c>
      <c r="I366" s="123" t="s">
        <v>2530</v>
      </c>
      <c r="J366" s="140">
        <v>40758</v>
      </c>
      <c r="K366" s="123" t="s">
        <v>2531</v>
      </c>
      <c r="L366" s="123" t="s">
        <v>123</v>
      </c>
      <c r="M366" s="123" t="s">
        <v>1295</v>
      </c>
      <c r="N366" s="123" t="s">
        <v>1815</v>
      </c>
      <c r="O366" s="106"/>
      <c r="P366" s="54" t="s">
        <v>2532</v>
      </c>
      <c r="Q366" s="123" t="s">
        <v>2533</v>
      </c>
      <c r="R366" s="123" t="s">
        <v>2534</v>
      </c>
      <c r="S366" s="123"/>
      <c r="T366" s="54" t="s">
        <v>2535</v>
      </c>
      <c r="U366" s="54" t="s">
        <v>2535</v>
      </c>
      <c r="V366" s="123"/>
      <c r="W366" s="123"/>
      <c r="X366" s="123"/>
      <c r="Y366" s="123" t="s">
        <v>180</v>
      </c>
      <c r="Z366" s="54"/>
      <c r="AA366" s="54"/>
      <c r="AB366" s="54" t="s">
        <v>103</v>
      </c>
      <c r="AC366" s="54" t="s">
        <v>63</v>
      </c>
      <c r="AD366" s="123" t="s">
        <v>1183</v>
      </c>
      <c r="AE366" s="54" t="s">
        <v>1184</v>
      </c>
      <c r="AF366" s="54" t="s">
        <v>231</v>
      </c>
      <c r="AG366" s="140">
        <v>40892</v>
      </c>
      <c r="AH366" s="65">
        <f>IF((AG366=""),"",MONTH(AG366))</f>
        <v>12</v>
      </c>
      <c r="AI366" s="65"/>
      <c r="AJ366" s="140">
        <v>40954</v>
      </c>
      <c r="AK366" s="65">
        <f t="shared" si="36"/>
        <v>2</v>
      </c>
      <c r="AL366" s="54" t="s">
        <v>66</v>
      </c>
      <c r="AM366" s="138"/>
      <c r="AN366" s="138"/>
      <c r="AO366" s="140"/>
      <c r="AP366" s="65" t="str">
        <f>IF((AO366=""),"",MONTH(AO366))</f>
        <v/>
      </c>
      <c r="AQ366" s="123"/>
      <c r="AR366" s="23"/>
      <c r="AS366" s="54" t="s">
        <v>347</v>
      </c>
      <c r="AT366" s="158"/>
      <c r="AU366" s="70">
        <f t="shared" si="41"/>
        <v>10</v>
      </c>
      <c r="AV366" s="70" t="s">
        <v>68</v>
      </c>
    </row>
    <row r="367" spans="1:48" ht="25.5" hidden="1" x14ac:dyDescent="0.2">
      <c r="A367" s="86">
        <v>20343</v>
      </c>
      <c r="B367" s="3" t="s">
        <v>622</v>
      </c>
      <c r="C367" s="3" t="s">
        <v>638</v>
      </c>
      <c r="D367" s="86"/>
      <c r="E367" s="36" t="s">
        <v>51</v>
      </c>
      <c r="F367" s="48">
        <v>31929</v>
      </c>
      <c r="G367" s="36"/>
      <c r="H367" s="81" t="s">
        <v>231</v>
      </c>
      <c r="I367" s="36" t="s">
        <v>2536</v>
      </c>
      <c r="J367" s="48">
        <v>37944</v>
      </c>
      <c r="K367" s="36" t="s">
        <v>231</v>
      </c>
      <c r="L367" s="36" t="s">
        <v>318</v>
      </c>
      <c r="M367" s="36" t="s">
        <v>2537</v>
      </c>
      <c r="N367" s="36" t="s">
        <v>2538</v>
      </c>
      <c r="O367" s="101"/>
      <c r="P367" s="159" t="s">
        <v>2539</v>
      </c>
      <c r="Q367" s="36"/>
      <c r="R367" s="36" t="s">
        <v>2540</v>
      </c>
      <c r="S367" s="36"/>
      <c r="T367" s="81"/>
      <c r="U367" s="81" t="s">
        <v>2541</v>
      </c>
      <c r="V367" s="36"/>
      <c r="W367" s="36"/>
      <c r="X367" s="36"/>
      <c r="Y367" s="36" t="s">
        <v>374</v>
      </c>
      <c r="Z367" s="81"/>
      <c r="AA367" s="54"/>
      <c r="AB367" s="81">
        <v>3</v>
      </c>
      <c r="AC367" s="81" t="s">
        <v>63</v>
      </c>
      <c r="AD367" s="36" t="s">
        <v>230</v>
      </c>
      <c r="AE367" s="81" t="s">
        <v>2542</v>
      </c>
      <c r="AF367" s="81" t="s">
        <v>231</v>
      </c>
      <c r="AG367" s="48"/>
      <c r="AH367" s="48"/>
      <c r="AI367" s="48"/>
      <c r="AJ367" s="48">
        <v>40959</v>
      </c>
      <c r="AK367" s="134">
        <f t="shared" si="36"/>
        <v>2</v>
      </c>
      <c r="AL367" s="54" t="s">
        <v>82</v>
      </c>
      <c r="AM367" s="54"/>
      <c r="AN367" s="54"/>
      <c r="AO367" s="190"/>
      <c r="AP367" s="136"/>
      <c r="AQ367" s="123"/>
      <c r="AR367" s="23"/>
      <c r="AS367" s="54"/>
      <c r="AT367" s="194"/>
      <c r="AU367" s="70">
        <f t="shared" si="41"/>
        <v>6</v>
      </c>
      <c r="AV367" s="70" t="s">
        <v>68</v>
      </c>
    </row>
    <row r="368" spans="1:48" s="136" customFormat="1" ht="25.5" hidden="1" x14ac:dyDescent="0.2">
      <c r="A368" s="86">
        <v>20344</v>
      </c>
      <c r="B368" s="3" t="s">
        <v>1193</v>
      </c>
      <c r="C368" s="3" t="s">
        <v>2543</v>
      </c>
      <c r="D368" s="86"/>
      <c r="E368" s="36" t="s">
        <v>94</v>
      </c>
      <c r="F368" s="48">
        <v>28993</v>
      </c>
      <c r="G368" s="36"/>
      <c r="H368" s="81" t="s">
        <v>231</v>
      </c>
      <c r="I368" s="36"/>
      <c r="J368" s="48"/>
      <c r="K368" s="36"/>
      <c r="L368" s="36" t="s">
        <v>318</v>
      </c>
      <c r="M368" s="36" t="s">
        <v>320</v>
      </c>
      <c r="N368" s="36" t="s">
        <v>320</v>
      </c>
      <c r="O368" s="101"/>
      <c r="P368" s="159" t="s">
        <v>2544</v>
      </c>
      <c r="Q368" s="36"/>
      <c r="R368" s="36" t="s">
        <v>2545</v>
      </c>
      <c r="S368" s="36"/>
      <c r="T368" s="81"/>
      <c r="U368" s="81" t="s">
        <v>2546</v>
      </c>
      <c r="V368" s="36"/>
      <c r="W368" s="36"/>
      <c r="X368" s="36"/>
      <c r="Y368" s="36" t="s">
        <v>284</v>
      </c>
      <c r="Z368" s="81"/>
      <c r="AA368" s="54"/>
      <c r="AB368" s="81" t="s">
        <v>285</v>
      </c>
      <c r="AC368" s="81" t="s">
        <v>236</v>
      </c>
      <c r="AD368" s="36" t="s">
        <v>230</v>
      </c>
      <c r="AE368" s="81" t="s">
        <v>2256</v>
      </c>
      <c r="AF368" s="81" t="s">
        <v>231</v>
      </c>
      <c r="AG368" s="48"/>
      <c r="AH368" s="48"/>
      <c r="AI368" s="48"/>
      <c r="AJ368" s="48">
        <v>40964</v>
      </c>
      <c r="AK368" s="134">
        <f t="shared" si="36"/>
        <v>2</v>
      </c>
      <c r="AL368" s="54" t="s">
        <v>82</v>
      </c>
      <c r="AM368" s="54"/>
      <c r="AN368" s="54"/>
      <c r="AO368" s="190"/>
      <c r="AQ368" s="123"/>
      <c r="AR368" s="23"/>
      <c r="AS368" s="54"/>
      <c r="AT368" s="65"/>
      <c r="AU368" s="70">
        <f t="shared" si="41"/>
        <v>5</v>
      </c>
      <c r="AV368" s="70" t="s">
        <v>68</v>
      </c>
    </row>
    <row r="369" spans="1:48" s="136" customFormat="1" ht="25.5" hidden="1" x14ac:dyDescent="0.2">
      <c r="A369" s="86">
        <v>20345</v>
      </c>
      <c r="B369" s="3" t="s">
        <v>265</v>
      </c>
      <c r="C369" s="3" t="s">
        <v>667</v>
      </c>
      <c r="D369" s="86"/>
      <c r="E369" s="36" t="s">
        <v>94</v>
      </c>
      <c r="F369" s="48">
        <v>31103</v>
      </c>
      <c r="G369" s="36" t="s">
        <v>65</v>
      </c>
      <c r="H369" s="81" t="s">
        <v>1221</v>
      </c>
      <c r="I369" s="36" t="s">
        <v>2547</v>
      </c>
      <c r="J369" s="48">
        <v>41082</v>
      </c>
      <c r="K369" s="36" t="s">
        <v>161</v>
      </c>
      <c r="L369" s="36" t="s">
        <v>123</v>
      </c>
      <c r="M369" s="36" t="s">
        <v>578</v>
      </c>
      <c r="N369" s="36" t="s">
        <v>2548</v>
      </c>
      <c r="O369" s="101"/>
      <c r="P369" s="81" t="s">
        <v>2549</v>
      </c>
      <c r="Q369" s="36"/>
      <c r="R369" s="36" t="s">
        <v>2550</v>
      </c>
      <c r="S369" s="36"/>
      <c r="T369" s="81" t="s">
        <v>2551</v>
      </c>
      <c r="U369" s="81" t="s">
        <v>2552</v>
      </c>
      <c r="V369" s="36"/>
      <c r="W369" s="36"/>
      <c r="X369" s="36"/>
      <c r="Y369" s="36" t="s">
        <v>374</v>
      </c>
      <c r="Z369" s="81"/>
      <c r="AA369" s="54"/>
      <c r="AB369" s="81">
        <v>3</v>
      </c>
      <c r="AC369" s="81" t="s">
        <v>63</v>
      </c>
      <c r="AD369" s="36" t="s">
        <v>629</v>
      </c>
      <c r="AE369" s="81" t="s">
        <v>1426</v>
      </c>
      <c r="AF369" s="81" t="s">
        <v>65</v>
      </c>
      <c r="AG369" s="48"/>
      <c r="AH369" s="134" t="str">
        <f>IF((AG369=""),"",MONTH(AG369))</f>
        <v/>
      </c>
      <c r="AI369" s="134"/>
      <c r="AJ369" s="48">
        <v>40909</v>
      </c>
      <c r="AK369" s="134">
        <f t="shared" si="36"/>
        <v>1</v>
      </c>
      <c r="AL369" s="94" t="s">
        <v>82</v>
      </c>
      <c r="AM369" s="78"/>
      <c r="AN369" s="78"/>
      <c r="AO369" s="190">
        <v>41000</v>
      </c>
      <c r="AP369" s="136">
        <f>IF((AO369=""),"",MONTH(AO369))</f>
        <v>4</v>
      </c>
      <c r="AQ369" s="127"/>
      <c r="AR369" s="23"/>
      <c r="AS369" s="94"/>
      <c r="AT369" s="23"/>
      <c r="AU369" s="70">
        <f t="shared" si="41"/>
        <v>2</v>
      </c>
      <c r="AV369" s="70" t="s">
        <v>68</v>
      </c>
    </row>
    <row r="370" spans="1:48" s="136" customFormat="1" ht="38.25" hidden="1" x14ac:dyDescent="0.2">
      <c r="A370" s="86">
        <v>20346</v>
      </c>
      <c r="B370" s="3" t="s">
        <v>2553</v>
      </c>
      <c r="C370" s="3" t="s">
        <v>1472</v>
      </c>
      <c r="D370" s="86"/>
      <c r="E370" s="36" t="s">
        <v>51</v>
      </c>
      <c r="F370" s="48">
        <v>32208</v>
      </c>
      <c r="G370" s="36"/>
      <c r="H370" s="81" t="s">
        <v>272</v>
      </c>
      <c r="I370" s="36" t="s">
        <v>2554</v>
      </c>
      <c r="J370" s="48">
        <v>37138</v>
      </c>
      <c r="K370" s="36" t="s">
        <v>272</v>
      </c>
      <c r="L370" s="36" t="s">
        <v>318</v>
      </c>
      <c r="M370" s="36" t="s">
        <v>320</v>
      </c>
      <c r="N370" s="36" t="s">
        <v>320</v>
      </c>
      <c r="O370" s="101"/>
      <c r="P370" s="159" t="s">
        <v>2555</v>
      </c>
      <c r="Q370" s="36"/>
      <c r="R370" s="36" t="s">
        <v>2556</v>
      </c>
      <c r="S370" s="36"/>
      <c r="T370" s="81"/>
      <c r="U370" s="81" t="s">
        <v>2557</v>
      </c>
      <c r="V370" s="36"/>
      <c r="W370" s="36"/>
      <c r="X370" s="36"/>
      <c r="Y370" s="36" t="s">
        <v>284</v>
      </c>
      <c r="Z370" s="81"/>
      <c r="AA370" s="54"/>
      <c r="AB370" s="81" t="s">
        <v>285</v>
      </c>
      <c r="AC370" s="81" t="s">
        <v>236</v>
      </c>
      <c r="AD370" s="36" t="s">
        <v>1166</v>
      </c>
      <c r="AE370" s="81" t="s">
        <v>2558</v>
      </c>
      <c r="AF370" s="81" t="s">
        <v>65</v>
      </c>
      <c r="AG370" s="48"/>
      <c r="AH370" s="48"/>
      <c r="AI370" s="48"/>
      <c r="AJ370" s="48"/>
      <c r="AK370" s="134" t="str">
        <f t="shared" si="36"/>
        <v/>
      </c>
      <c r="AL370" s="54" t="s">
        <v>82</v>
      </c>
      <c r="AM370" s="54"/>
      <c r="AN370" s="54"/>
      <c r="AO370" s="190"/>
      <c r="AQ370" s="123"/>
      <c r="AR370" s="23"/>
      <c r="AS370" s="54" t="s">
        <v>67</v>
      </c>
      <c r="AT370" s="65"/>
      <c r="AU370" s="70">
        <f t="shared" si="41"/>
        <v>3</v>
      </c>
      <c r="AV370" s="70" t="s">
        <v>68</v>
      </c>
    </row>
    <row r="371" spans="1:48" ht="25.5" hidden="1" x14ac:dyDescent="0.2">
      <c r="A371" s="86">
        <v>20347</v>
      </c>
      <c r="B371" s="3" t="s">
        <v>2559</v>
      </c>
      <c r="C371" s="3" t="s">
        <v>1472</v>
      </c>
      <c r="D371" s="86"/>
      <c r="E371" s="36" t="s">
        <v>51</v>
      </c>
      <c r="F371" s="48">
        <v>32354</v>
      </c>
      <c r="G371" s="36" t="s">
        <v>52</v>
      </c>
      <c r="H371" s="81" t="s">
        <v>53</v>
      </c>
      <c r="I371" s="36" t="s">
        <v>2560</v>
      </c>
      <c r="J371" s="48">
        <v>37705</v>
      </c>
      <c r="K371" s="36" t="s">
        <v>52</v>
      </c>
      <c r="L371" s="36" t="s">
        <v>123</v>
      </c>
      <c r="M371" s="36"/>
      <c r="N371" s="36"/>
      <c r="O371" s="101"/>
      <c r="P371" s="81" t="s">
        <v>2561</v>
      </c>
      <c r="Q371" s="36" t="s">
        <v>2562</v>
      </c>
      <c r="R371" s="36" t="s">
        <v>2563</v>
      </c>
      <c r="S371" s="36"/>
      <c r="T371" s="81" t="s">
        <v>2564</v>
      </c>
      <c r="U371" s="81" t="s">
        <v>2564</v>
      </c>
      <c r="V371" s="36"/>
      <c r="W371" s="36"/>
      <c r="X371" s="36"/>
      <c r="Y371" s="36" t="s">
        <v>284</v>
      </c>
      <c r="Z371" s="81"/>
      <c r="AA371" s="54"/>
      <c r="AB371" s="81" t="s">
        <v>285</v>
      </c>
      <c r="AC371" s="81" t="s">
        <v>236</v>
      </c>
      <c r="AD371" s="36" t="s">
        <v>2442</v>
      </c>
      <c r="AE371" s="81" t="s">
        <v>2565</v>
      </c>
      <c r="AF371" s="81" t="s">
        <v>231</v>
      </c>
      <c r="AG371" s="48">
        <v>40909</v>
      </c>
      <c r="AH371" s="134">
        <f t="shared" ref="AH371:AH376" si="43">IF((AG371=""),"",MONTH(AG371))</f>
        <v>1</v>
      </c>
      <c r="AI371" s="134"/>
      <c r="AJ371" s="48">
        <v>40969</v>
      </c>
      <c r="AK371" s="134">
        <f t="shared" si="36"/>
        <v>3</v>
      </c>
      <c r="AL371" s="54" t="s">
        <v>82</v>
      </c>
      <c r="AM371" s="138"/>
      <c r="AN371" s="138"/>
      <c r="AO371" s="190">
        <v>41392</v>
      </c>
      <c r="AP371" s="136">
        <f>IF((AO371=""),"",MONTH(AO371))</f>
        <v>4</v>
      </c>
      <c r="AQ371" s="123"/>
      <c r="AR371" s="23"/>
      <c r="AS371" s="54" t="s">
        <v>107</v>
      </c>
      <c r="AT371" s="136"/>
      <c r="AU371" s="70">
        <f t="shared" si="41"/>
        <v>7</v>
      </c>
      <c r="AV371" s="70" t="s">
        <v>68</v>
      </c>
    </row>
    <row r="372" spans="1:48" ht="25.5" hidden="1" x14ac:dyDescent="0.2">
      <c r="A372" s="86">
        <v>20348</v>
      </c>
      <c r="B372" s="3" t="s">
        <v>2566</v>
      </c>
      <c r="C372" s="3" t="s">
        <v>618</v>
      </c>
      <c r="D372" s="86"/>
      <c r="E372" s="36" t="s">
        <v>94</v>
      </c>
      <c r="F372" s="48">
        <v>32304</v>
      </c>
      <c r="G372" s="36" t="s">
        <v>65</v>
      </c>
      <c r="H372" s="81" t="s">
        <v>1221</v>
      </c>
      <c r="I372" s="36" t="s">
        <v>2567</v>
      </c>
      <c r="J372" s="48">
        <v>40495</v>
      </c>
      <c r="K372" s="36" t="s">
        <v>52</v>
      </c>
      <c r="L372" s="36" t="s">
        <v>123</v>
      </c>
      <c r="M372" s="36"/>
      <c r="N372" s="36"/>
      <c r="O372" s="101"/>
      <c r="P372" s="81" t="s">
        <v>2568</v>
      </c>
      <c r="Q372" s="36"/>
      <c r="R372" s="36" t="s">
        <v>2569</v>
      </c>
      <c r="S372" s="36"/>
      <c r="T372" s="81" t="s">
        <v>2570</v>
      </c>
      <c r="U372" s="81" t="s">
        <v>2570</v>
      </c>
      <c r="V372" s="36"/>
      <c r="W372" s="36"/>
      <c r="X372" s="36"/>
      <c r="Y372" s="36" t="s">
        <v>294</v>
      </c>
      <c r="Z372" s="81"/>
      <c r="AA372" s="54"/>
      <c r="AB372" s="81" t="s">
        <v>285</v>
      </c>
      <c r="AC372" s="81" t="s">
        <v>236</v>
      </c>
      <c r="AD372" s="36" t="s">
        <v>629</v>
      </c>
      <c r="AE372" s="81"/>
      <c r="AF372" s="81" t="s">
        <v>65</v>
      </c>
      <c r="AG372" s="48"/>
      <c r="AH372" s="134" t="str">
        <f t="shared" si="43"/>
        <v/>
      </c>
      <c r="AI372" s="134"/>
      <c r="AJ372" s="48">
        <v>41183</v>
      </c>
      <c r="AK372" s="134">
        <f t="shared" si="36"/>
        <v>10</v>
      </c>
      <c r="AL372" s="94" t="s">
        <v>82</v>
      </c>
      <c r="AM372" s="78"/>
      <c r="AN372" s="78"/>
      <c r="AO372" s="190">
        <v>40969</v>
      </c>
      <c r="AP372" s="136">
        <f>IF((AO372=""),"",MONTH(AO372))</f>
        <v>3</v>
      </c>
      <c r="AQ372" s="127"/>
      <c r="AR372" s="23"/>
      <c r="AS372" s="94"/>
      <c r="AT372" s="136"/>
      <c r="AU372" s="70">
        <f t="shared" si="41"/>
        <v>6</v>
      </c>
      <c r="AV372" s="70" t="s">
        <v>68</v>
      </c>
    </row>
    <row r="373" spans="1:48" s="136" customFormat="1" ht="38.25" hidden="1" x14ac:dyDescent="0.2">
      <c r="A373" s="87">
        <v>20349</v>
      </c>
      <c r="B373" s="80" t="s">
        <v>2571</v>
      </c>
      <c r="C373" s="80" t="s">
        <v>51</v>
      </c>
      <c r="D373" s="87"/>
      <c r="E373" s="123" t="s">
        <v>94</v>
      </c>
      <c r="F373" s="140">
        <v>32419</v>
      </c>
      <c r="G373" s="123" t="s">
        <v>338</v>
      </c>
      <c r="H373" s="54" t="s">
        <v>339</v>
      </c>
      <c r="I373" s="123" t="s">
        <v>2572</v>
      </c>
      <c r="J373" s="140">
        <v>37713</v>
      </c>
      <c r="K373" s="123" t="s">
        <v>272</v>
      </c>
      <c r="L373" s="123" t="s">
        <v>123</v>
      </c>
      <c r="M373" s="123" t="s">
        <v>738</v>
      </c>
      <c r="N373" s="123" t="s">
        <v>786</v>
      </c>
      <c r="O373" s="106"/>
      <c r="P373" s="54" t="s">
        <v>2573</v>
      </c>
      <c r="Q373" s="123"/>
      <c r="R373" s="123" t="s">
        <v>2574</v>
      </c>
      <c r="S373" s="123"/>
      <c r="T373" s="54" t="s">
        <v>2575</v>
      </c>
      <c r="U373" s="54" t="s">
        <v>2576</v>
      </c>
      <c r="V373" s="123"/>
      <c r="W373" s="123"/>
      <c r="X373" s="123"/>
      <c r="Y373" s="123" t="s">
        <v>312</v>
      </c>
      <c r="Z373" s="54"/>
      <c r="AA373" s="54"/>
      <c r="AB373" s="54" t="s">
        <v>285</v>
      </c>
      <c r="AC373" s="54" t="s">
        <v>236</v>
      </c>
      <c r="AD373" s="123" t="s">
        <v>1166</v>
      </c>
      <c r="AE373" s="54" t="s">
        <v>1906</v>
      </c>
      <c r="AF373" s="54" t="s">
        <v>65</v>
      </c>
      <c r="AG373" s="140">
        <v>40940</v>
      </c>
      <c r="AH373" s="65">
        <f t="shared" si="43"/>
        <v>2</v>
      </c>
      <c r="AI373" s="65"/>
      <c r="AJ373" s="140">
        <v>41000</v>
      </c>
      <c r="AK373" s="65">
        <f t="shared" si="36"/>
        <v>4</v>
      </c>
      <c r="AL373" s="54" t="s">
        <v>66</v>
      </c>
      <c r="AM373" s="138"/>
      <c r="AN373" s="138"/>
      <c r="AO373" s="190"/>
      <c r="AP373" s="136" t="str">
        <f>IF((AO373=""),"",MONTH(AO373))</f>
        <v/>
      </c>
      <c r="AQ373" s="123"/>
      <c r="AR373" s="23"/>
      <c r="AS373" s="54" t="s">
        <v>67</v>
      </c>
      <c r="AT373" s="184"/>
      <c r="AU373" s="70">
        <f t="shared" si="41"/>
        <v>10</v>
      </c>
      <c r="AV373" s="70" t="s">
        <v>68</v>
      </c>
    </row>
    <row r="374" spans="1:48" s="136" customFormat="1" ht="19.5" hidden="1" customHeight="1" x14ac:dyDescent="0.2">
      <c r="A374" s="87">
        <v>20350</v>
      </c>
      <c r="B374" s="80" t="s">
        <v>1083</v>
      </c>
      <c r="C374" s="80" t="s">
        <v>1272</v>
      </c>
      <c r="D374" s="87"/>
      <c r="E374" s="123" t="s">
        <v>94</v>
      </c>
      <c r="F374" s="140">
        <v>32330</v>
      </c>
      <c r="G374" s="123" t="s">
        <v>272</v>
      </c>
      <c r="H374" s="54" t="s">
        <v>273</v>
      </c>
      <c r="I374" s="123" t="s">
        <v>2577</v>
      </c>
      <c r="J374" s="140">
        <v>39944</v>
      </c>
      <c r="K374" s="123" t="s">
        <v>272</v>
      </c>
      <c r="L374" s="123" t="s">
        <v>123</v>
      </c>
      <c r="M374" s="123" t="s">
        <v>124</v>
      </c>
      <c r="N374" s="123" t="s">
        <v>2126</v>
      </c>
      <c r="O374" s="106"/>
      <c r="P374" s="54" t="s">
        <v>2578</v>
      </c>
      <c r="Q374" s="123"/>
      <c r="R374" s="123" t="s">
        <v>2579</v>
      </c>
      <c r="S374" s="123"/>
      <c r="T374" s="54" t="s">
        <v>2580</v>
      </c>
      <c r="U374" s="54" t="s">
        <v>2581</v>
      </c>
      <c r="V374" s="123"/>
      <c r="W374" s="123"/>
      <c r="X374" s="123"/>
      <c r="Y374" s="123" t="s">
        <v>312</v>
      </c>
      <c r="Z374" s="54"/>
      <c r="AA374" s="54"/>
      <c r="AB374" s="54" t="s">
        <v>285</v>
      </c>
      <c r="AC374" s="54" t="s">
        <v>236</v>
      </c>
      <c r="AD374" s="123" t="s">
        <v>375</v>
      </c>
      <c r="AE374" s="54" t="s">
        <v>2099</v>
      </c>
      <c r="AF374" s="54" t="s">
        <v>65</v>
      </c>
      <c r="AG374" s="140">
        <v>40949</v>
      </c>
      <c r="AH374" s="65">
        <f t="shared" si="43"/>
        <v>2</v>
      </c>
      <c r="AI374" s="65"/>
      <c r="AJ374" s="140">
        <v>40978</v>
      </c>
      <c r="AK374" s="65">
        <f t="shared" si="36"/>
        <v>3</v>
      </c>
      <c r="AL374" s="54" t="s">
        <v>66</v>
      </c>
      <c r="AM374" s="138"/>
      <c r="AN374" s="138"/>
      <c r="AO374" s="190"/>
      <c r="AP374" s="136" t="str">
        <f>IF((AO374=""),"",MONTH(AO374))</f>
        <v/>
      </c>
      <c r="AQ374" s="123"/>
      <c r="AR374" s="23"/>
      <c r="AS374" s="54" t="s">
        <v>107</v>
      </c>
      <c r="AT374" s="158"/>
      <c r="AU374" s="70">
        <f t="shared" si="41"/>
        <v>7</v>
      </c>
      <c r="AV374" s="70" t="s">
        <v>68</v>
      </c>
    </row>
    <row r="375" spans="1:48" s="136" customFormat="1" ht="25.5" hidden="1" x14ac:dyDescent="0.2">
      <c r="A375" s="86">
        <v>20351</v>
      </c>
      <c r="B375" s="3" t="s">
        <v>265</v>
      </c>
      <c r="C375" s="3" t="s">
        <v>725</v>
      </c>
      <c r="D375" s="86"/>
      <c r="E375" s="36" t="s">
        <v>94</v>
      </c>
      <c r="F375" s="48">
        <v>30743</v>
      </c>
      <c r="G375" s="36" t="s">
        <v>52</v>
      </c>
      <c r="H375" s="81" t="s">
        <v>2582</v>
      </c>
      <c r="I375" s="36" t="s">
        <v>2583</v>
      </c>
      <c r="J375" s="48">
        <v>37313</v>
      </c>
      <c r="K375" s="36" t="s">
        <v>171</v>
      </c>
      <c r="L375" s="36" t="s">
        <v>123</v>
      </c>
      <c r="M375" s="36" t="s">
        <v>543</v>
      </c>
      <c r="N375" s="36" t="s">
        <v>544</v>
      </c>
      <c r="O375" s="101"/>
      <c r="P375" s="81" t="s">
        <v>2584</v>
      </c>
      <c r="Q375" s="36" t="s">
        <v>2585</v>
      </c>
      <c r="R375" s="36" t="s">
        <v>2586</v>
      </c>
      <c r="S375" s="36"/>
      <c r="T375" s="81" t="s">
        <v>2587</v>
      </c>
      <c r="U375" s="81" t="s">
        <v>2588</v>
      </c>
      <c r="V375" s="36"/>
      <c r="W375" s="36"/>
      <c r="X375" s="36"/>
      <c r="Y375" s="36" t="s">
        <v>616</v>
      </c>
      <c r="Z375" s="81"/>
      <c r="AA375" s="54"/>
      <c r="AB375" s="81" t="s">
        <v>285</v>
      </c>
      <c r="AC375" s="81" t="s">
        <v>236</v>
      </c>
      <c r="AD375" s="36" t="s">
        <v>207</v>
      </c>
      <c r="AE375" s="81" t="s">
        <v>585</v>
      </c>
      <c r="AF375" s="81" t="s">
        <v>65</v>
      </c>
      <c r="AG375" s="48">
        <v>40952</v>
      </c>
      <c r="AH375" s="134">
        <f t="shared" si="43"/>
        <v>2</v>
      </c>
      <c r="AI375" s="134"/>
      <c r="AJ375" s="48">
        <v>41012</v>
      </c>
      <c r="AK375" s="134">
        <f t="shared" si="36"/>
        <v>4</v>
      </c>
      <c r="AL375" s="54" t="s">
        <v>82</v>
      </c>
      <c r="AM375" s="138"/>
      <c r="AN375" s="138"/>
      <c r="AO375" s="190">
        <v>41404</v>
      </c>
      <c r="AP375" s="136">
        <f>IF((AO375=""),"",MONTH(AO375))</f>
        <v>5</v>
      </c>
      <c r="AQ375" s="123"/>
      <c r="AR375" s="23"/>
      <c r="AS375" s="54" t="s">
        <v>347</v>
      </c>
      <c r="AT375" s="158"/>
      <c r="AU375" s="70">
        <f t="shared" si="41"/>
        <v>3</v>
      </c>
      <c r="AV375" s="70" t="s">
        <v>68</v>
      </c>
    </row>
    <row r="376" spans="1:48" s="136" customFormat="1" ht="25.5" hidden="1" x14ac:dyDescent="0.2">
      <c r="A376" s="87">
        <v>20352</v>
      </c>
      <c r="B376" s="80" t="s">
        <v>265</v>
      </c>
      <c r="C376" s="80" t="s">
        <v>364</v>
      </c>
      <c r="D376" s="87"/>
      <c r="E376" s="123" t="s">
        <v>94</v>
      </c>
      <c r="F376" s="140">
        <v>29884</v>
      </c>
      <c r="G376" s="123" t="s">
        <v>750</v>
      </c>
      <c r="H376" s="54" t="s">
        <v>751</v>
      </c>
      <c r="I376" s="123" t="s">
        <v>2589</v>
      </c>
      <c r="J376" s="140">
        <v>36971</v>
      </c>
      <c r="K376" s="123" t="s">
        <v>750</v>
      </c>
      <c r="L376" s="123" t="s">
        <v>123</v>
      </c>
      <c r="M376" s="123" t="s">
        <v>448</v>
      </c>
      <c r="N376" s="123" t="s">
        <v>2590</v>
      </c>
      <c r="O376" s="106"/>
      <c r="P376" s="54" t="s">
        <v>2591</v>
      </c>
      <c r="Q376" s="123"/>
      <c r="R376" s="123" t="s">
        <v>2592</v>
      </c>
      <c r="S376" s="123"/>
      <c r="T376" s="54" t="s">
        <v>2593</v>
      </c>
      <c r="U376" s="54" t="s">
        <v>2593</v>
      </c>
      <c r="V376" s="123"/>
      <c r="W376" s="123"/>
      <c r="X376" s="123"/>
      <c r="Y376" s="123" t="s">
        <v>605</v>
      </c>
      <c r="Z376" s="54"/>
      <c r="AA376" s="54"/>
      <c r="AB376" s="54">
        <v>2</v>
      </c>
      <c r="AC376" s="54" t="s">
        <v>362</v>
      </c>
      <c r="AD376" s="123" t="s">
        <v>207</v>
      </c>
      <c r="AE376" s="54" t="s">
        <v>585</v>
      </c>
      <c r="AF376" s="54" t="s">
        <v>65</v>
      </c>
      <c r="AG376" s="140">
        <v>40952</v>
      </c>
      <c r="AH376" s="65">
        <f t="shared" si="43"/>
        <v>2</v>
      </c>
      <c r="AI376" s="65"/>
      <c r="AJ376" s="140">
        <v>41012</v>
      </c>
      <c r="AK376" s="65">
        <f t="shared" si="36"/>
        <v>4</v>
      </c>
      <c r="AL376" s="54" t="s">
        <v>66</v>
      </c>
      <c r="AM376" s="138"/>
      <c r="AN376" s="138"/>
      <c r="AO376" s="190"/>
      <c r="AP376" s="23"/>
      <c r="AQ376" s="123"/>
      <c r="AR376" s="23"/>
      <c r="AS376" s="54" t="s">
        <v>347</v>
      </c>
      <c r="AT376" s="158"/>
      <c r="AU376" s="70">
        <f t="shared" si="41"/>
        <v>10</v>
      </c>
      <c r="AV376" s="70" t="s">
        <v>68</v>
      </c>
    </row>
    <row r="377" spans="1:48" ht="19.5" hidden="1" customHeight="1" x14ac:dyDescent="0.2">
      <c r="A377" s="86">
        <v>20353</v>
      </c>
      <c r="B377" s="3" t="s">
        <v>1988</v>
      </c>
      <c r="C377" s="3" t="s">
        <v>250</v>
      </c>
      <c r="D377" s="86"/>
      <c r="E377" s="36" t="s">
        <v>94</v>
      </c>
      <c r="F377" s="48">
        <v>30193</v>
      </c>
      <c r="G377" s="36"/>
      <c r="H377" s="81" t="s">
        <v>132</v>
      </c>
      <c r="I377" s="36" t="s">
        <v>2594</v>
      </c>
      <c r="J377" s="48">
        <v>36609</v>
      </c>
      <c r="K377" s="36" t="s">
        <v>132</v>
      </c>
      <c r="L377" s="36" t="s">
        <v>318</v>
      </c>
      <c r="M377" s="36" t="s">
        <v>2595</v>
      </c>
      <c r="N377" s="36" t="s">
        <v>2596</v>
      </c>
      <c r="O377" s="101"/>
      <c r="P377" s="159" t="s">
        <v>2597</v>
      </c>
      <c r="Q377" s="36"/>
      <c r="R377" s="36" t="s">
        <v>2598</v>
      </c>
      <c r="S377" s="36"/>
      <c r="T377" s="81"/>
      <c r="U377" s="81"/>
      <c r="V377" s="36"/>
      <c r="W377" s="36"/>
      <c r="X377" s="36"/>
      <c r="Y377" s="36" t="s">
        <v>284</v>
      </c>
      <c r="Z377" s="81"/>
      <c r="AA377" s="54"/>
      <c r="AB377" s="81" t="s">
        <v>285</v>
      </c>
      <c r="AC377" s="81" t="s">
        <v>236</v>
      </c>
      <c r="AD377" s="36" t="s">
        <v>207</v>
      </c>
      <c r="AE377" s="81" t="s">
        <v>2106</v>
      </c>
      <c r="AF377" s="81" t="s">
        <v>65</v>
      </c>
      <c r="AG377" s="48"/>
      <c r="AH377" s="48"/>
      <c r="AI377" s="48"/>
      <c r="AJ377" s="48">
        <v>41011</v>
      </c>
      <c r="AK377" s="134">
        <f t="shared" si="36"/>
        <v>4</v>
      </c>
      <c r="AL377" s="54" t="s">
        <v>82</v>
      </c>
      <c r="AM377" s="54"/>
      <c r="AN377" s="54"/>
      <c r="AO377" s="190"/>
      <c r="AP377" s="136"/>
      <c r="AQ377" s="123"/>
      <c r="AR377" s="23"/>
      <c r="AS377" s="54"/>
      <c r="AT377" s="194"/>
      <c r="AU377" s="70">
        <f t="shared" si="41"/>
        <v>8</v>
      </c>
      <c r="AV377" s="70" t="s">
        <v>68</v>
      </c>
    </row>
    <row r="378" spans="1:48" s="136" customFormat="1" ht="19.5" hidden="1" customHeight="1" x14ac:dyDescent="0.2">
      <c r="A378" s="86">
        <v>20354</v>
      </c>
      <c r="B378" s="3" t="s">
        <v>2599</v>
      </c>
      <c r="C378" s="3" t="s">
        <v>685</v>
      </c>
      <c r="D378" s="86"/>
      <c r="E378" s="36" t="s">
        <v>94</v>
      </c>
      <c r="F378" s="48">
        <v>30930</v>
      </c>
      <c r="G378" s="36"/>
      <c r="H378" s="81" t="s">
        <v>52</v>
      </c>
      <c r="I378" s="36" t="s">
        <v>2600</v>
      </c>
      <c r="J378" s="48">
        <v>36713</v>
      </c>
      <c r="K378" s="36" t="s">
        <v>52</v>
      </c>
      <c r="L378" s="36" t="s">
        <v>318</v>
      </c>
      <c r="M378" s="36" t="s">
        <v>382</v>
      </c>
      <c r="N378" s="36" t="s">
        <v>2601</v>
      </c>
      <c r="O378" s="101"/>
      <c r="P378" s="159" t="s">
        <v>2602</v>
      </c>
      <c r="Q378" s="36"/>
      <c r="R378" s="36" t="s">
        <v>2603</v>
      </c>
      <c r="S378" s="36"/>
      <c r="T378" s="81"/>
      <c r="U378" s="81" t="s">
        <v>2604</v>
      </c>
      <c r="V378" s="36"/>
      <c r="W378" s="36"/>
      <c r="X378" s="36"/>
      <c r="Y378" s="36" t="s">
        <v>616</v>
      </c>
      <c r="Z378" s="81"/>
      <c r="AA378" s="54"/>
      <c r="AB378" s="81" t="s">
        <v>285</v>
      </c>
      <c r="AC378" s="81" t="s">
        <v>236</v>
      </c>
      <c r="AD378" s="36" t="s">
        <v>207</v>
      </c>
      <c r="AE378" s="81"/>
      <c r="AF378" s="81" t="s">
        <v>65</v>
      </c>
      <c r="AG378" s="48"/>
      <c r="AH378" s="48"/>
      <c r="AI378" s="48"/>
      <c r="AJ378" s="48">
        <v>41011</v>
      </c>
      <c r="AK378" s="134">
        <f t="shared" si="36"/>
        <v>4</v>
      </c>
      <c r="AL378" s="54" t="s">
        <v>82</v>
      </c>
      <c r="AM378" s="54"/>
      <c r="AN378" s="54"/>
      <c r="AO378" s="190"/>
      <c r="AQ378" s="123"/>
      <c r="AR378" s="23"/>
      <c r="AS378" s="54"/>
      <c r="AT378" s="65"/>
      <c r="AU378" s="70">
        <f t="shared" si="41"/>
        <v>9</v>
      </c>
      <c r="AV378" s="70" t="s">
        <v>68</v>
      </c>
    </row>
    <row r="379" spans="1:48" s="136" customFormat="1" ht="19.5" hidden="1" customHeight="1" x14ac:dyDescent="0.2">
      <c r="A379" s="87">
        <v>20355</v>
      </c>
      <c r="B379" s="80" t="s">
        <v>2605</v>
      </c>
      <c r="C379" s="80" t="s">
        <v>250</v>
      </c>
      <c r="D379" s="87"/>
      <c r="E379" s="123" t="s">
        <v>94</v>
      </c>
      <c r="F379" s="140">
        <v>32390</v>
      </c>
      <c r="G379" s="123" t="s">
        <v>884</v>
      </c>
      <c r="H379" s="54" t="s">
        <v>121</v>
      </c>
      <c r="I379" s="123" t="s">
        <v>2606</v>
      </c>
      <c r="J379" s="140">
        <v>37598</v>
      </c>
      <c r="K379" s="123" t="s">
        <v>884</v>
      </c>
      <c r="L379" s="123" t="s">
        <v>123</v>
      </c>
      <c r="M379" s="123" t="s">
        <v>1140</v>
      </c>
      <c r="N379" s="123" t="s">
        <v>1256</v>
      </c>
      <c r="O379" s="106"/>
      <c r="P379" s="54" t="s">
        <v>2607</v>
      </c>
      <c r="Q379" s="123"/>
      <c r="R379" s="123" t="s">
        <v>2608</v>
      </c>
      <c r="S379" s="123"/>
      <c r="T379" s="54" t="s">
        <v>2609</v>
      </c>
      <c r="U379" s="54" t="s">
        <v>2610</v>
      </c>
      <c r="V379" s="123"/>
      <c r="W379" s="123"/>
      <c r="X379" s="123"/>
      <c r="Y379" s="123" t="s">
        <v>312</v>
      </c>
      <c r="Z379" s="54"/>
      <c r="AA379" s="54"/>
      <c r="AB379" s="54" t="s">
        <v>285</v>
      </c>
      <c r="AC379" s="54" t="s">
        <v>236</v>
      </c>
      <c r="AD379" s="123" t="s">
        <v>1183</v>
      </c>
      <c r="AE379" s="54" t="s">
        <v>1219</v>
      </c>
      <c r="AF379" s="54" t="s">
        <v>231</v>
      </c>
      <c r="AG379" s="140">
        <v>41365</v>
      </c>
      <c r="AH379" s="65">
        <f>IF((AG379=""),"",MONTH(AG379))</f>
        <v>4</v>
      </c>
      <c r="AI379" s="65"/>
      <c r="AJ379" s="140">
        <v>41426</v>
      </c>
      <c r="AK379" s="65">
        <f t="shared" si="36"/>
        <v>6</v>
      </c>
      <c r="AL379" s="54" t="s">
        <v>66</v>
      </c>
      <c r="AM379" s="138"/>
      <c r="AN379" s="138"/>
      <c r="AO379" s="190"/>
      <c r="AP379" s="136" t="str">
        <f>IF((AO379=""),"",MONTH(AO379))</f>
        <v/>
      </c>
      <c r="AQ379" s="123"/>
      <c r="AR379" s="23"/>
      <c r="AS379" s="54" t="s">
        <v>107</v>
      </c>
      <c r="AT379" s="23"/>
      <c r="AU379" s="70">
        <f t="shared" si="41"/>
        <v>9</v>
      </c>
      <c r="AV379" s="70" t="s">
        <v>68</v>
      </c>
    </row>
    <row r="380" spans="1:48" ht="38.25" hidden="1" x14ac:dyDescent="0.2">
      <c r="A380" s="87">
        <v>20356</v>
      </c>
      <c r="B380" s="80" t="s">
        <v>2611</v>
      </c>
      <c r="C380" s="80" t="s">
        <v>1951</v>
      </c>
      <c r="D380" s="87"/>
      <c r="E380" s="123" t="s">
        <v>94</v>
      </c>
      <c r="F380" s="140">
        <v>31987</v>
      </c>
      <c r="G380" s="123" t="s">
        <v>231</v>
      </c>
      <c r="H380" s="54" t="s">
        <v>239</v>
      </c>
      <c r="I380" s="123" t="s">
        <v>2612</v>
      </c>
      <c r="J380" s="140">
        <v>37454</v>
      </c>
      <c r="K380" s="123" t="s">
        <v>2613</v>
      </c>
      <c r="L380" s="123" t="s">
        <v>123</v>
      </c>
      <c r="M380" s="123" t="s">
        <v>2614</v>
      </c>
      <c r="N380" s="123" t="s">
        <v>368</v>
      </c>
      <c r="O380" s="106"/>
      <c r="P380" s="54" t="s">
        <v>2615</v>
      </c>
      <c r="Q380" s="123"/>
      <c r="R380" s="123" t="s">
        <v>2616</v>
      </c>
      <c r="S380" s="123"/>
      <c r="T380" s="54" t="s">
        <v>2617</v>
      </c>
      <c r="U380" s="54" t="s">
        <v>2617</v>
      </c>
      <c r="V380" s="123"/>
      <c r="W380" s="123"/>
      <c r="X380" s="123"/>
      <c r="Y380" s="123" t="s">
        <v>206</v>
      </c>
      <c r="Z380" s="54"/>
      <c r="AA380" s="54"/>
      <c r="AB380" s="54">
        <v>3</v>
      </c>
      <c r="AC380" s="54" t="s">
        <v>63</v>
      </c>
      <c r="AD380" s="123" t="s">
        <v>866</v>
      </c>
      <c r="AE380" s="54" t="s">
        <v>901</v>
      </c>
      <c r="AF380" s="54" t="s">
        <v>231</v>
      </c>
      <c r="AG380" s="140">
        <v>40953</v>
      </c>
      <c r="AH380" s="65">
        <f>IF((AG380=""),"",MONTH(AG380))</f>
        <v>2</v>
      </c>
      <c r="AI380" s="65"/>
      <c r="AJ380" s="140">
        <v>41013</v>
      </c>
      <c r="AK380" s="65">
        <f t="shared" si="36"/>
        <v>4</v>
      </c>
      <c r="AL380" s="54" t="s">
        <v>66</v>
      </c>
      <c r="AM380" s="138"/>
      <c r="AN380" s="138"/>
      <c r="AO380" s="190"/>
      <c r="AP380" s="136" t="str">
        <f>IF((AO380=""),"",MONTH(AO380))</f>
        <v/>
      </c>
      <c r="AQ380" s="123"/>
      <c r="AR380" s="23"/>
      <c r="AS380" s="54" t="s">
        <v>67</v>
      </c>
      <c r="AT380" s="136"/>
      <c r="AU380" s="70">
        <f t="shared" si="41"/>
        <v>7</v>
      </c>
      <c r="AV380" s="70" t="s">
        <v>68</v>
      </c>
    </row>
    <row r="381" spans="1:48" s="136" customFormat="1" ht="19.5" hidden="1" customHeight="1" x14ac:dyDescent="0.2">
      <c r="A381" s="87">
        <v>20357</v>
      </c>
      <c r="B381" s="80" t="s">
        <v>1670</v>
      </c>
      <c r="C381" s="80" t="s">
        <v>1658</v>
      </c>
      <c r="D381" s="87"/>
      <c r="E381" s="123" t="s">
        <v>94</v>
      </c>
      <c r="F381" s="140">
        <v>31887</v>
      </c>
      <c r="G381" s="123" t="s">
        <v>1409</v>
      </c>
      <c r="H381" s="54" t="s">
        <v>824</v>
      </c>
      <c r="I381" s="123" t="s">
        <v>2618</v>
      </c>
      <c r="J381" s="140">
        <v>40050</v>
      </c>
      <c r="K381" s="123" t="s">
        <v>1409</v>
      </c>
      <c r="L381" s="123" t="s">
        <v>123</v>
      </c>
      <c r="M381" s="123" t="s">
        <v>2619</v>
      </c>
      <c r="N381" s="123" t="s">
        <v>2620</v>
      </c>
      <c r="O381" s="106"/>
      <c r="P381" s="54" t="s">
        <v>2621</v>
      </c>
      <c r="Q381" s="123" t="s">
        <v>2622</v>
      </c>
      <c r="R381" s="123" t="s">
        <v>2623</v>
      </c>
      <c r="S381" s="123"/>
      <c r="T381" s="54" t="s">
        <v>2624</v>
      </c>
      <c r="U381" s="54" t="s">
        <v>2625</v>
      </c>
      <c r="V381" s="123"/>
      <c r="W381" s="123"/>
      <c r="X381" s="123"/>
      <c r="Y381" s="123" t="s">
        <v>865</v>
      </c>
      <c r="Z381" s="54"/>
      <c r="AA381" s="54"/>
      <c r="AB381" s="54" t="s">
        <v>285</v>
      </c>
      <c r="AC381" s="54" t="s">
        <v>236</v>
      </c>
      <c r="AD381" s="123" t="s">
        <v>866</v>
      </c>
      <c r="AE381" s="54" t="s">
        <v>867</v>
      </c>
      <c r="AF381" s="54" t="s">
        <v>231</v>
      </c>
      <c r="AG381" s="140">
        <v>40953</v>
      </c>
      <c r="AH381" s="65">
        <f>IF((AG381=""),"",MONTH(AG381))</f>
        <v>2</v>
      </c>
      <c r="AI381" s="65"/>
      <c r="AJ381" s="140">
        <v>41013</v>
      </c>
      <c r="AK381" s="65">
        <f t="shared" si="36"/>
        <v>4</v>
      </c>
      <c r="AL381" s="54" t="s">
        <v>66</v>
      </c>
      <c r="AM381" s="138"/>
      <c r="AN381" s="138"/>
      <c r="AO381" s="190"/>
      <c r="AP381" s="136" t="str">
        <f>IF((AO381=""),"",MONTH(AO381))</f>
        <v/>
      </c>
      <c r="AQ381" s="123"/>
      <c r="AR381" s="23"/>
      <c r="AS381" s="54" t="s">
        <v>347</v>
      </c>
      <c r="AT381" s="23"/>
      <c r="AU381" s="70">
        <f t="shared" si="41"/>
        <v>4</v>
      </c>
      <c r="AV381" s="70" t="s">
        <v>68</v>
      </c>
    </row>
    <row r="382" spans="1:48" ht="25.5" hidden="1" x14ac:dyDescent="0.2">
      <c r="A382" s="87">
        <v>20358</v>
      </c>
      <c r="B382" s="80" t="s">
        <v>2626</v>
      </c>
      <c r="C382" s="80" t="s">
        <v>1102</v>
      </c>
      <c r="D382" s="87"/>
      <c r="E382" s="123" t="s">
        <v>94</v>
      </c>
      <c r="F382" s="140">
        <v>31797</v>
      </c>
      <c r="G382" s="123" t="s">
        <v>884</v>
      </c>
      <c r="H382" s="54" t="s">
        <v>885</v>
      </c>
      <c r="I382" s="123" t="s">
        <v>2627</v>
      </c>
      <c r="J382" s="140">
        <v>37490</v>
      </c>
      <c r="K382" s="123" t="s">
        <v>884</v>
      </c>
      <c r="L382" s="123" t="s">
        <v>123</v>
      </c>
      <c r="M382" s="123" t="s">
        <v>2628</v>
      </c>
      <c r="N382" s="123" t="s">
        <v>2629</v>
      </c>
      <c r="O382" s="106"/>
      <c r="P382" s="54" t="s">
        <v>2630</v>
      </c>
      <c r="Q382" s="123"/>
      <c r="R382" s="123" t="s">
        <v>2631</v>
      </c>
      <c r="S382" s="123"/>
      <c r="T382" s="54" t="s">
        <v>2632</v>
      </c>
      <c r="U382" s="54" t="s">
        <v>2633</v>
      </c>
      <c r="V382" s="123"/>
      <c r="W382" s="123"/>
      <c r="X382" s="123"/>
      <c r="Y382" s="123" t="s">
        <v>865</v>
      </c>
      <c r="Z382" s="54"/>
      <c r="AA382" s="54"/>
      <c r="AB382" s="54" t="s">
        <v>285</v>
      </c>
      <c r="AC382" s="54" t="s">
        <v>236</v>
      </c>
      <c r="AD382" s="123" t="s">
        <v>866</v>
      </c>
      <c r="AE382" s="54" t="s">
        <v>867</v>
      </c>
      <c r="AF382" s="54" t="s">
        <v>231</v>
      </c>
      <c r="AG382" s="140">
        <v>40953</v>
      </c>
      <c r="AH382" s="65">
        <f>IF((AG382=""),"",MONTH(AG382))</f>
        <v>2</v>
      </c>
      <c r="AI382" s="65"/>
      <c r="AJ382" s="140">
        <v>41013</v>
      </c>
      <c r="AK382" s="65">
        <f t="shared" si="36"/>
        <v>4</v>
      </c>
      <c r="AL382" s="54" t="s">
        <v>105</v>
      </c>
      <c r="AM382" s="138">
        <v>41561</v>
      </c>
      <c r="AN382" s="138"/>
      <c r="AO382" s="190"/>
      <c r="AP382" s="136" t="str">
        <f>IF((AO382=""),"",MONTH(AO382))</f>
        <v/>
      </c>
      <c r="AQ382" s="123"/>
      <c r="AR382" s="23"/>
      <c r="AS382" s="54" t="s">
        <v>347</v>
      </c>
      <c r="AT382" s="136"/>
      <c r="AU382" s="70">
        <f t="shared" si="41"/>
        <v>1</v>
      </c>
      <c r="AV382" s="70" t="s">
        <v>68</v>
      </c>
    </row>
    <row r="383" spans="1:48" ht="25.5" hidden="1" x14ac:dyDescent="0.2">
      <c r="A383" s="86">
        <v>20359</v>
      </c>
      <c r="B383" s="3" t="s">
        <v>2634</v>
      </c>
      <c r="C383" s="3" t="s">
        <v>618</v>
      </c>
      <c r="D383" s="86"/>
      <c r="E383" s="36" t="s">
        <v>94</v>
      </c>
      <c r="F383" s="48">
        <v>30732</v>
      </c>
      <c r="G383" s="36"/>
      <c r="H383" s="81" t="s">
        <v>379</v>
      </c>
      <c r="I383" s="36" t="s">
        <v>2635</v>
      </c>
      <c r="J383" s="48">
        <v>40820</v>
      </c>
      <c r="K383" s="36" t="s">
        <v>52</v>
      </c>
      <c r="L383" s="36" t="s">
        <v>318</v>
      </c>
      <c r="M383" s="36" t="s">
        <v>1630</v>
      </c>
      <c r="N383" s="36" t="s">
        <v>2636</v>
      </c>
      <c r="O383" s="101"/>
      <c r="P383" s="159" t="s">
        <v>2637</v>
      </c>
      <c r="Q383" s="36"/>
      <c r="R383" s="36" t="s">
        <v>2638</v>
      </c>
      <c r="S383" s="36"/>
      <c r="T383" s="81"/>
      <c r="U383" s="81" t="s">
        <v>2639</v>
      </c>
      <c r="V383" s="36"/>
      <c r="W383" s="36"/>
      <c r="X383" s="36"/>
      <c r="Y383" s="36" t="s">
        <v>616</v>
      </c>
      <c r="Z383" s="81"/>
      <c r="AA383" s="54"/>
      <c r="AB383" s="81" t="s">
        <v>285</v>
      </c>
      <c r="AC383" s="81" t="s">
        <v>236</v>
      </c>
      <c r="AD383" s="36" t="s">
        <v>207</v>
      </c>
      <c r="AE383" s="81" t="s">
        <v>585</v>
      </c>
      <c r="AF383" s="81" t="s">
        <v>65</v>
      </c>
      <c r="AG383" s="48"/>
      <c r="AH383" s="48"/>
      <c r="AI383" s="48"/>
      <c r="AJ383" s="48">
        <v>40980</v>
      </c>
      <c r="AK383" s="134">
        <f t="shared" si="36"/>
        <v>3</v>
      </c>
      <c r="AL383" s="54" t="s">
        <v>82</v>
      </c>
      <c r="AM383" s="54"/>
      <c r="AN383" s="54"/>
      <c r="AO383" s="190"/>
      <c r="AP383" s="136"/>
      <c r="AQ383" s="123"/>
      <c r="AR383" s="23"/>
      <c r="AS383" s="54"/>
      <c r="AT383" s="23"/>
      <c r="AU383" s="70">
        <f t="shared" si="41"/>
        <v>2</v>
      </c>
      <c r="AV383" s="70" t="s">
        <v>68</v>
      </c>
    </row>
    <row r="384" spans="1:48" ht="19.5" hidden="1" customHeight="1" x14ac:dyDescent="0.2">
      <c r="A384" s="86">
        <v>20360</v>
      </c>
      <c r="B384" s="3" t="s">
        <v>2640</v>
      </c>
      <c r="C384" s="3" t="s">
        <v>70</v>
      </c>
      <c r="D384" s="86"/>
      <c r="E384" s="36" t="s">
        <v>94</v>
      </c>
      <c r="F384" s="48">
        <v>30261</v>
      </c>
      <c r="G384" s="36" t="s">
        <v>365</v>
      </c>
      <c r="H384" s="81" t="s">
        <v>366</v>
      </c>
      <c r="I384" s="36" t="s">
        <v>2641</v>
      </c>
      <c r="J384" s="48">
        <v>36078</v>
      </c>
      <c r="K384" s="36" t="s">
        <v>365</v>
      </c>
      <c r="L384" s="36" t="s">
        <v>123</v>
      </c>
      <c r="M384" s="36" t="s">
        <v>543</v>
      </c>
      <c r="N384" s="36" t="s">
        <v>2642</v>
      </c>
      <c r="O384" s="101"/>
      <c r="P384" s="81" t="s">
        <v>2643</v>
      </c>
      <c r="Q384" s="36"/>
      <c r="R384" s="36" t="s">
        <v>2644</v>
      </c>
      <c r="S384" s="36"/>
      <c r="T384" s="81" t="s">
        <v>2645</v>
      </c>
      <c r="U384" s="81" t="s">
        <v>2646</v>
      </c>
      <c r="V384" s="36"/>
      <c r="W384" s="36"/>
      <c r="X384" s="36"/>
      <c r="Y384" s="36" t="s">
        <v>284</v>
      </c>
      <c r="Z384" s="81"/>
      <c r="AA384" s="54"/>
      <c r="AB384" s="81" t="s">
        <v>285</v>
      </c>
      <c r="AC384" s="81" t="s">
        <v>236</v>
      </c>
      <c r="AD384" s="36" t="s">
        <v>207</v>
      </c>
      <c r="AE384" s="81" t="s">
        <v>585</v>
      </c>
      <c r="AF384" s="81" t="s">
        <v>65</v>
      </c>
      <c r="AG384" s="48">
        <v>40960</v>
      </c>
      <c r="AH384" s="134">
        <f t="shared" ref="AH384:AH394" si="44">IF((AG384=""),"",MONTH(AG384))</f>
        <v>2</v>
      </c>
      <c r="AI384" s="134"/>
      <c r="AJ384" s="48">
        <v>41020</v>
      </c>
      <c r="AK384" s="134">
        <f t="shared" si="36"/>
        <v>4</v>
      </c>
      <c r="AL384" s="94" t="s">
        <v>82</v>
      </c>
      <c r="AM384" s="78"/>
      <c r="AN384" s="78"/>
      <c r="AO384" s="190">
        <v>41309</v>
      </c>
      <c r="AP384" s="136">
        <f>IF((AO384=""),"",MONTH(AO384))</f>
        <v>2</v>
      </c>
      <c r="AQ384" s="127"/>
      <c r="AR384" s="23"/>
      <c r="AS384" s="54" t="s">
        <v>347</v>
      </c>
      <c r="AT384" s="136"/>
      <c r="AU384" s="70">
        <f t="shared" si="41"/>
        <v>11</v>
      </c>
      <c r="AV384" s="70" t="s">
        <v>68</v>
      </c>
    </row>
    <row r="385" spans="1:48" ht="25.5" hidden="1" x14ac:dyDescent="0.2">
      <c r="A385" s="87">
        <v>20361</v>
      </c>
      <c r="B385" s="80" t="s">
        <v>2647</v>
      </c>
      <c r="C385" s="80" t="s">
        <v>84</v>
      </c>
      <c r="D385" s="87"/>
      <c r="E385" s="123" t="s">
        <v>51</v>
      </c>
      <c r="F385" s="140">
        <v>31378</v>
      </c>
      <c r="G385" s="123" t="s">
        <v>2648</v>
      </c>
      <c r="H385" s="54" t="s">
        <v>2649</v>
      </c>
      <c r="I385" s="123" t="s">
        <v>2650</v>
      </c>
      <c r="J385" s="140">
        <v>40273</v>
      </c>
      <c r="K385" s="123" t="s">
        <v>2648</v>
      </c>
      <c r="L385" s="123" t="s">
        <v>341</v>
      </c>
      <c r="M385" s="123" t="s">
        <v>2651</v>
      </c>
      <c r="N385" s="123" t="s">
        <v>760</v>
      </c>
      <c r="O385" s="106"/>
      <c r="P385" s="54" t="s">
        <v>2652</v>
      </c>
      <c r="Q385" s="123"/>
      <c r="R385" s="123" t="s">
        <v>2653</v>
      </c>
      <c r="S385" s="123"/>
      <c r="T385" s="54" t="s">
        <v>2654</v>
      </c>
      <c r="U385" s="54" t="s">
        <v>2655</v>
      </c>
      <c r="V385" s="123"/>
      <c r="W385" s="123"/>
      <c r="X385" s="123"/>
      <c r="Y385" s="123" t="s">
        <v>312</v>
      </c>
      <c r="Z385" s="54"/>
      <c r="AA385" s="54"/>
      <c r="AB385" s="54" t="s">
        <v>285</v>
      </c>
      <c r="AC385" s="54" t="s">
        <v>236</v>
      </c>
      <c r="AD385" s="123" t="s">
        <v>1145</v>
      </c>
      <c r="AE385" s="54" t="s">
        <v>1938</v>
      </c>
      <c r="AF385" s="54" t="s">
        <v>231</v>
      </c>
      <c r="AG385" s="140">
        <v>40959</v>
      </c>
      <c r="AH385" s="65">
        <f t="shared" si="44"/>
        <v>2</v>
      </c>
      <c r="AI385" s="65"/>
      <c r="AJ385" s="140">
        <v>41019</v>
      </c>
      <c r="AK385" s="65">
        <f t="shared" si="36"/>
        <v>4</v>
      </c>
      <c r="AL385" s="54" t="s">
        <v>66</v>
      </c>
      <c r="AM385" s="138"/>
      <c r="AN385" s="138"/>
      <c r="AO385" s="190"/>
      <c r="AP385" s="136" t="str">
        <f>IF((AO385=""),"",MONTH(AO385))</f>
        <v/>
      </c>
      <c r="AQ385" s="123"/>
      <c r="AR385" s="23"/>
      <c r="AS385" s="54" t="s">
        <v>107</v>
      </c>
      <c r="AT385" s="136"/>
      <c r="AU385" s="70">
        <f t="shared" si="41"/>
        <v>11</v>
      </c>
      <c r="AV385" s="70" t="s">
        <v>68</v>
      </c>
    </row>
    <row r="386" spans="1:48" s="136" customFormat="1" ht="25.5" hidden="1" x14ac:dyDescent="0.2">
      <c r="A386" s="86">
        <v>20539</v>
      </c>
      <c r="B386" s="3" t="s">
        <v>2656</v>
      </c>
      <c r="C386" s="3" t="s">
        <v>119</v>
      </c>
      <c r="D386" s="86"/>
      <c r="E386" s="36" t="s">
        <v>94</v>
      </c>
      <c r="F386" s="48">
        <v>32340</v>
      </c>
      <c r="G386" s="36" t="s">
        <v>52</v>
      </c>
      <c r="H386" s="81" t="s">
        <v>53</v>
      </c>
      <c r="I386" s="36" t="s">
        <v>2657</v>
      </c>
      <c r="J386" s="48">
        <v>40192</v>
      </c>
      <c r="K386" s="36" t="s">
        <v>52</v>
      </c>
      <c r="L386" s="36" t="s">
        <v>123</v>
      </c>
      <c r="M386" s="36" t="s">
        <v>111</v>
      </c>
      <c r="N386" s="36" t="s">
        <v>307</v>
      </c>
      <c r="O386" s="101"/>
      <c r="P386" s="81" t="s">
        <v>2658</v>
      </c>
      <c r="Q386" s="36" t="s">
        <v>2659</v>
      </c>
      <c r="R386" s="36" t="s">
        <v>2660</v>
      </c>
      <c r="S386" s="36"/>
      <c r="T386" s="81" t="s">
        <v>2661</v>
      </c>
      <c r="U386" s="81" t="s">
        <v>2661</v>
      </c>
      <c r="V386" s="36"/>
      <c r="W386" s="36"/>
      <c r="X386" s="36"/>
      <c r="Y386" s="36" t="s">
        <v>284</v>
      </c>
      <c r="Z386" s="81"/>
      <c r="AA386" s="54"/>
      <c r="AB386" s="81" t="s">
        <v>285</v>
      </c>
      <c r="AC386" s="81" t="s">
        <v>236</v>
      </c>
      <c r="AD386" s="36" t="s">
        <v>207</v>
      </c>
      <c r="AE386" s="81" t="s">
        <v>1174</v>
      </c>
      <c r="AF386" s="81" t="s">
        <v>65</v>
      </c>
      <c r="AG386" s="48">
        <v>40959</v>
      </c>
      <c r="AH386" s="134">
        <f t="shared" si="44"/>
        <v>2</v>
      </c>
      <c r="AI386" s="134"/>
      <c r="AJ386" s="48">
        <v>40988</v>
      </c>
      <c r="AK386" s="134">
        <f t="shared" si="36"/>
        <v>3</v>
      </c>
      <c r="AL386" s="94" t="s">
        <v>82</v>
      </c>
      <c r="AM386" s="78"/>
      <c r="AN386" s="78"/>
      <c r="AO386" s="190">
        <v>41358</v>
      </c>
      <c r="AP386" s="136">
        <f>IF((AO386=""),"",MONTH(AO386))</f>
        <v>3</v>
      </c>
      <c r="AQ386" s="127"/>
      <c r="AR386" s="23"/>
      <c r="AS386" s="94"/>
      <c r="AT386" s="184"/>
      <c r="AU386" s="70">
        <f t="shared" si="41"/>
        <v>7</v>
      </c>
      <c r="AV386" s="70" t="s">
        <v>68</v>
      </c>
    </row>
    <row r="387" spans="1:48" s="136" customFormat="1" ht="19.5" hidden="1" customHeight="1" x14ac:dyDescent="0.2">
      <c r="A387" s="87">
        <v>20363</v>
      </c>
      <c r="B387" s="80" t="s">
        <v>701</v>
      </c>
      <c r="C387" s="80" t="s">
        <v>928</v>
      </c>
      <c r="D387" s="87"/>
      <c r="E387" s="123" t="s">
        <v>94</v>
      </c>
      <c r="F387" s="140">
        <v>32483</v>
      </c>
      <c r="G387" s="123" t="s">
        <v>52</v>
      </c>
      <c r="H387" s="54" t="s">
        <v>53</v>
      </c>
      <c r="I387" s="123" t="s">
        <v>2662</v>
      </c>
      <c r="J387" s="140">
        <v>40847</v>
      </c>
      <c r="K387" s="123" t="s">
        <v>52</v>
      </c>
      <c r="L387" s="123" t="s">
        <v>123</v>
      </c>
      <c r="M387" s="123" t="s">
        <v>2360</v>
      </c>
      <c r="N387" s="123" t="s">
        <v>2663</v>
      </c>
      <c r="O387" s="106"/>
      <c r="P387" s="54" t="s">
        <v>2664</v>
      </c>
      <c r="Q387" s="123"/>
      <c r="R387" s="123" t="s">
        <v>2665</v>
      </c>
      <c r="S387" s="123"/>
      <c r="T387" s="54" t="s">
        <v>2666</v>
      </c>
      <c r="U387" s="54" t="s">
        <v>2666</v>
      </c>
      <c r="V387" s="123"/>
      <c r="W387" s="123"/>
      <c r="X387" s="123"/>
      <c r="Y387" s="123" t="s">
        <v>865</v>
      </c>
      <c r="Z387" s="54"/>
      <c r="AA387" s="54"/>
      <c r="AB387" s="54" t="s">
        <v>285</v>
      </c>
      <c r="AC387" s="54" t="s">
        <v>236</v>
      </c>
      <c r="AD387" s="123" t="s">
        <v>207</v>
      </c>
      <c r="AE387" s="54" t="s">
        <v>585</v>
      </c>
      <c r="AF387" s="54" t="s">
        <v>65</v>
      </c>
      <c r="AG387" s="140">
        <v>40960</v>
      </c>
      <c r="AH387" s="65">
        <f t="shared" si="44"/>
        <v>2</v>
      </c>
      <c r="AI387" s="65"/>
      <c r="AJ387" s="140">
        <v>41020</v>
      </c>
      <c r="AK387" s="65">
        <f t="shared" ref="AK387:AK450" si="45">IF((AJ387=""),"",MONTH(AJ387))</f>
        <v>4</v>
      </c>
      <c r="AL387" s="54" t="s">
        <v>66</v>
      </c>
      <c r="AM387" s="140">
        <v>41532</v>
      </c>
      <c r="AN387" s="138"/>
      <c r="AO387" s="190"/>
      <c r="AP387" s="23"/>
      <c r="AQ387" s="123"/>
      <c r="AR387" s="23"/>
      <c r="AS387" s="54" t="s">
        <v>347</v>
      </c>
      <c r="AT387" s="194"/>
      <c r="AU387" s="70">
        <f t="shared" si="41"/>
        <v>12</v>
      </c>
      <c r="AV387" s="70" t="s">
        <v>68</v>
      </c>
    </row>
    <row r="388" spans="1:48" ht="19.5" hidden="1" customHeight="1" x14ac:dyDescent="0.2">
      <c r="A388" s="86">
        <v>20364</v>
      </c>
      <c r="B388" s="3" t="s">
        <v>691</v>
      </c>
      <c r="C388" s="3" t="s">
        <v>109</v>
      </c>
      <c r="D388" s="86"/>
      <c r="E388" s="36" t="s">
        <v>94</v>
      </c>
      <c r="F388" s="48">
        <v>31161</v>
      </c>
      <c r="G388" s="36" t="s">
        <v>303</v>
      </c>
      <c r="H388" s="81" t="s">
        <v>304</v>
      </c>
      <c r="I388" s="36" t="s">
        <v>2667</v>
      </c>
      <c r="J388" s="48">
        <v>37595</v>
      </c>
      <c r="K388" s="36" t="s">
        <v>303</v>
      </c>
      <c r="L388" s="36" t="s">
        <v>123</v>
      </c>
      <c r="M388" s="36" t="s">
        <v>448</v>
      </c>
      <c r="N388" s="36" t="s">
        <v>1582</v>
      </c>
      <c r="O388" s="101"/>
      <c r="P388" s="81" t="s">
        <v>2668</v>
      </c>
      <c r="Q388" s="36"/>
      <c r="R388" s="36" t="s">
        <v>2669</v>
      </c>
      <c r="S388" s="36"/>
      <c r="T388" s="81" t="s">
        <v>2670</v>
      </c>
      <c r="U388" s="81" t="s">
        <v>2671</v>
      </c>
      <c r="V388" s="36"/>
      <c r="W388" s="36"/>
      <c r="X388" s="36"/>
      <c r="Y388" s="36" t="s">
        <v>284</v>
      </c>
      <c r="Z388" s="81"/>
      <c r="AA388" s="54"/>
      <c r="AB388" s="81" t="s">
        <v>285</v>
      </c>
      <c r="AC388" s="81" t="s">
        <v>236</v>
      </c>
      <c r="AD388" s="36" t="s">
        <v>207</v>
      </c>
      <c r="AE388" s="81" t="s">
        <v>1128</v>
      </c>
      <c r="AF388" s="81" t="s">
        <v>65</v>
      </c>
      <c r="AG388" s="48">
        <v>40959</v>
      </c>
      <c r="AH388" s="134">
        <f t="shared" si="44"/>
        <v>2</v>
      </c>
      <c r="AI388" s="134"/>
      <c r="AJ388" s="48">
        <v>40988</v>
      </c>
      <c r="AK388" s="134">
        <f t="shared" si="45"/>
        <v>3</v>
      </c>
      <c r="AL388" s="54" t="s">
        <v>82</v>
      </c>
      <c r="AM388" s="138"/>
      <c r="AN388" s="138"/>
      <c r="AO388" s="190">
        <v>41557</v>
      </c>
      <c r="AP388" s="136">
        <f>IF((AO388=""),"",MONTH(AO388))</f>
        <v>10</v>
      </c>
      <c r="AQ388" s="123"/>
      <c r="AR388" s="23"/>
      <c r="AS388" s="54" t="s">
        <v>347</v>
      </c>
      <c r="AT388" s="136"/>
      <c r="AU388" s="70">
        <f t="shared" si="41"/>
        <v>4</v>
      </c>
      <c r="AV388" s="70" t="s">
        <v>68</v>
      </c>
    </row>
    <row r="389" spans="1:48" s="136" customFormat="1" ht="25.5" hidden="1" x14ac:dyDescent="0.2">
      <c r="A389" s="86">
        <v>20365</v>
      </c>
      <c r="B389" s="3" t="s">
        <v>1304</v>
      </c>
      <c r="C389" s="3" t="s">
        <v>667</v>
      </c>
      <c r="D389" s="86"/>
      <c r="E389" s="36" t="s">
        <v>94</v>
      </c>
      <c r="F389" s="48">
        <v>32244</v>
      </c>
      <c r="G389" s="36" t="s">
        <v>726</v>
      </c>
      <c r="H389" s="81" t="s">
        <v>727</v>
      </c>
      <c r="I389" s="36" t="s">
        <v>2672</v>
      </c>
      <c r="J389" s="48">
        <v>40031</v>
      </c>
      <c r="K389" s="36" t="s">
        <v>726</v>
      </c>
      <c r="L389" s="36" t="s">
        <v>123</v>
      </c>
      <c r="M389" s="36" t="s">
        <v>382</v>
      </c>
      <c r="N389" s="36" t="s">
        <v>2673</v>
      </c>
      <c r="O389" s="101"/>
      <c r="P389" s="81" t="s">
        <v>2674</v>
      </c>
      <c r="Q389" s="36" t="s">
        <v>2675</v>
      </c>
      <c r="R389" s="36" t="s">
        <v>2676</v>
      </c>
      <c r="S389" s="36"/>
      <c r="T389" s="81" t="s">
        <v>2677</v>
      </c>
      <c r="U389" s="81" t="s">
        <v>2678</v>
      </c>
      <c r="V389" s="36"/>
      <c r="W389" s="36"/>
      <c r="X389" s="36"/>
      <c r="Y389" s="36" t="s">
        <v>616</v>
      </c>
      <c r="Z389" s="81"/>
      <c r="AA389" s="54"/>
      <c r="AB389" s="81" t="s">
        <v>285</v>
      </c>
      <c r="AC389" s="81" t="s">
        <v>236</v>
      </c>
      <c r="AD389" s="36" t="s">
        <v>207</v>
      </c>
      <c r="AE389" s="81"/>
      <c r="AF389" s="81" t="s">
        <v>65</v>
      </c>
      <c r="AG389" s="48"/>
      <c r="AH389" s="134" t="str">
        <f t="shared" si="44"/>
        <v/>
      </c>
      <c r="AI389" s="134"/>
      <c r="AJ389" s="48"/>
      <c r="AK389" s="134" t="str">
        <f t="shared" si="45"/>
        <v/>
      </c>
      <c r="AL389" s="94" t="s">
        <v>82</v>
      </c>
      <c r="AM389" s="78"/>
      <c r="AN389" s="78"/>
      <c r="AO389" s="190"/>
      <c r="AP389" s="136" t="str">
        <f>IF((AO389=""),"",MONTH(AO389))</f>
        <v/>
      </c>
      <c r="AQ389" s="127"/>
      <c r="AR389" s="23"/>
      <c r="AS389" s="94"/>
      <c r="AT389" s="184"/>
      <c r="AU389" s="70">
        <f t="shared" si="41"/>
        <v>4</v>
      </c>
      <c r="AV389" s="70" t="s">
        <v>68</v>
      </c>
    </row>
    <row r="390" spans="1:48" s="136" customFormat="1" ht="38.25" hidden="1" x14ac:dyDescent="0.2">
      <c r="A390" s="87">
        <v>20366</v>
      </c>
      <c r="B390" s="80" t="s">
        <v>2679</v>
      </c>
      <c r="C390" s="80" t="s">
        <v>315</v>
      </c>
      <c r="D390" s="87"/>
      <c r="E390" s="123" t="s">
        <v>94</v>
      </c>
      <c r="F390" s="140">
        <v>31641</v>
      </c>
      <c r="G390" s="123" t="s">
        <v>412</v>
      </c>
      <c r="H390" s="54" t="s">
        <v>413</v>
      </c>
      <c r="I390" s="123" t="s">
        <v>2680</v>
      </c>
      <c r="J390" s="140">
        <v>37064</v>
      </c>
      <c r="K390" s="123" t="s">
        <v>412</v>
      </c>
      <c r="L390" s="123" t="s">
        <v>123</v>
      </c>
      <c r="M390" s="123" t="s">
        <v>217</v>
      </c>
      <c r="N390" s="123" t="s">
        <v>2681</v>
      </c>
      <c r="O390" s="106"/>
      <c r="P390" s="54" t="s">
        <v>2682</v>
      </c>
      <c r="Q390" s="123"/>
      <c r="R390" s="123" t="s">
        <v>2683</v>
      </c>
      <c r="S390" s="123"/>
      <c r="T390" s="54" t="s">
        <v>0</v>
      </c>
      <c r="U390" s="54" t="s">
        <v>2684</v>
      </c>
      <c r="V390" s="123"/>
      <c r="W390" s="123"/>
      <c r="X390" s="123"/>
      <c r="Y390" s="123" t="s">
        <v>865</v>
      </c>
      <c r="Z390" s="54"/>
      <c r="AA390" s="54"/>
      <c r="AB390" s="54" t="s">
        <v>285</v>
      </c>
      <c r="AC390" s="54" t="s">
        <v>236</v>
      </c>
      <c r="AD390" s="123" t="s">
        <v>207</v>
      </c>
      <c r="AE390" s="54" t="s">
        <v>585</v>
      </c>
      <c r="AF390" s="54" t="s">
        <v>65</v>
      </c>
      <c r="AG390" s="140">
        <v>40966</v>
      </c>
      <c r="AH390" s="65">
        <f t="shared" si="44"/>
        <v>2</v>
      </c>
      <c r="AI390" s="65"/>
      <c r="AJ390" s="140">
        <v>41365</v>
      </c>
      <c r="AK390" s="65">
        <f t="shared" si="45"/>
        <v>4</v>
      </c>
      <c r="AL390" s="54" t="s">
        <v>66</v>
      </c>
      <c r="AM390" s="138"/>
      <c r="AN390" s="138"/>
      <c r="AO390" s="190"/>
      <c r="AP390" s="184"/>
      <c r="AQ390" s="123"/>
      <c r="AR390" s="23"/>
      <c r="AS390" s="54" t="s">
        <v>347</v>
      </c>
      <c r="AT390" s="158"/>
      <c r="AU390" s="70">
        <f t="shared" si="41"/>
        <v>8</v>
      </c>
      <c r="AV390" s="70" t="s">
        <v>68</v>
      </c>
    </row>
    <row r="391" spans="1:48" s="136" customFormat="1" ht="19.5" hidden="1" customHeight="1" x14ac:dyDescent="0.2">
      <c r="A391" s="86">
        <v>20367</v>
      </c>
      <c r="B391" s="3" t="s">
        <v>1791</v>
      </c>
      <c r="C391" s="3" t="s">
        <v>271</v>
      </c>
      <c r="D391" s="86"/>
      <c r="E391" s="36" t="s">
        <v>94</v>
      </c>
      <c r="F391" s="48">
        <v>31516</v>
      </c>
      <c r="G391" s="36" t="s">
        <v>303</v>
      </c>
      <c r="H391" s="81" t="s">
        <v>304</v>
      </c>
      <c r="I391" s="36" t="s">
        <v>2685</v>
      </c>
      <c r="J391" s="48">
        <v>37778</v>
      </c>
      <c r="K391" s="36" t="s">
        <v>303</v>
      </c>
      <c r="L391" s="36" t="s">
        <v>123</v>
      </c>
      <c r="M391" s="36" t="s">
        <v>448</v>
      </c>
      <c r="N391" s="36" t="s">
        <v>1256</v>
      </c>
      <c r="O391" s="101"/>
      <c r="P391" s="81" t="s">
        <v>2686</v>
      </c>
      <c r="Q391" s="36"/>
      <c r="R391" s="36" t="s">
        <v>2687</v>
      </c>
      <c r="S391" s="36"/>
      <c r="T391" s="81" t="s">
        <v>2688</v>
      </c>
      <c r="U391" s="81" t="s">
        <v>2688</v>
      </c>
      <c r="V391" s="36"/>
      <c r="W391" s="36"/>
      <c r="X391" s="36"/>
      <c r="Y391" s="36" t="s">
        <v>616</v>
      </c>
      <c r="Z391" s="81"/>
      <c r="AA391" s="54"/>
      <c r="AB391" s="81" t="s">
        <v>285</v>
      </c>
      <c r="AC391" s="81" t="s">
        <v>236</v>
      </c>
      <c r="AD391" s="36" t="s">
        <v>207</v>
      </c>
      <c r="AE391" s="81" t="s">
        <v>585</v>
      </c>
      <c r="AF391" s="81" t="s">
        <v>65</v>
      </c>
      <c r="AG391" s="48">
        <v>40966</v>
      </c>
      <c r="AH391" s="134">
        <f t="shared" si="44"/>
        <v>2</v>
      </c>
      <c r="AI391" s="134"/>
      <c r="AJ391" s="48">
        <v>41030</v>
      </c>
      <c r="AK391" s="134">
        <f t="shared" si="45"/>
        <v>5</v>
      </c>
      <c r="AL391" s="54" t="s">
        <v>82</v>
      </c>
      <c r="AM391" s="138"/>
      <c r="AN391" s="138"/>
      <c r="AO391" s="190"/>
      <c r="AP391" s="194"/>
      <c r="AQ391" s="123"/>
      <c r="AR391" s="23"/>
      <c r="AS391" s="54" t="s">
        <v>347</v>
      </c>
      <c r="AT391" s="158"/>
      <c r="AU391" s="70">
        <f t="shared" si="41"/>
        <v>4</v>
      </c>
      <c r="AV391" s="70" t="s">
        <v>68</v>
      </c>
    </row>
    <row r="392" spans="1:48" s="136" customFormat="1" ht="25.5" hidden="1" x14ac:dyDescent="0.2">
      <c r="A392" s="86">
        <v>20368</v>
      </c>
      <c r="B392" s="3" t="s">
        <v>265</v>
      </c>
      <c r="C392" s="3" t="s">
        <v>643</v>
      </c>
      <c r="D392" s="86"/>
      <c r="E392" s="36" t="s">
        <v>94</v>
      </c>
      <c r="F392" s="48">
        <v>32671</v>
      </c>
      <c r="G392" s="36" t="s">
        <v>1186</v>
      </c>
      <c r="H392" s="81" t="s">
        <v>2193</v>
      </c>
      <c r="I392" s="36" t="s">
        <v>2689</v>
      </c>
      <c r="J392" s="48">
        <v>40631</v>
      </c>
      <c r="K392" s="36" t="s">
        <v>1186</v>
      </c>
      <c r="L392" s="36" t="s">
        <v>341</v>
      </c>
      <c r="M392" s="36" t="s">
        <v>1355</v>
      </c>
      <c r="N392" s="36" t="s">
        <v>1582</v>
      </c>
      <c r="O392" s="101"/>
      <c r="P392" s="81" t="s">
        <v>2690</v>
      </c>
      <c r="Q392" s="36"/>
      <c r="R392" s="36" t="s">
        <v>2691</v>
      </c>
      <c r="S392" s="36"/>
      <c r="T392" s="81" t="s">
        <v>2692</v>
      </c>
      <c r="U392" s="81" t="s">
        <v>2693</v>
      </c>
      <c r="V392" s="36"/>
      <c r="W392" s="36"/>
      <c r="X392" s="36"/>
      <c r="Y392" s="36" t="s">
        <v>284</v>
      </c>
      <c r="Z392" s="81"/>
      <c r="AA392" s="54"/>
      <c r="AB392" s="81" t="s">
        <v>285</v>
      </c>
      <c r="AC392" s="81" t="s">
        <v>236</v>
      </c>
      <c r="AD392" s="36" t="s">
        <v>207</v>
      </c>
      <c r="AE392" s="81" t="s">
        <v>1128</v>
      </c>
      <c r="AF392" s="81" t="s">
        <v>65</v>
      </c>
      <c r="AG392" s="48">
        <v>40969</v>
      </c>
      <c r="AH392" s="134">
        <f t="shared" si="44"/>
        <v>3</v>
      </c>
      <c r="AI392" s="134"/>
      <c r="AJ392" s="48">
        <v>41030</v>
      </c>
      <c r="AK392" s="134">
        <f t="shared" si="45"/>
        <v>5</v>
      </c>
      <c r="AL392" s="94" t="s">
        <v>82</v>
      </c>
      <c r="AM392" s="78"/>
      <c r="AN392" s="78"/>
      <c r="AO392" s="190">
        <v>41309</v>
      </c>
      <c r="AP392" s="136">
        <f>IF((AO392=""),"",MONTH(AO392))</f>
        <v>2</v>
      </c>
      <c r="AQ392" s="127"/>
      <c r="AR392" s="23"/>
      <c r="AS392" s="54" t="s">
        <v>347</v>
      </c>
      <c r="AT392" s="158"/>
      <c r="AU392" s="70">
        <f t="shared" si="41"/>
        <v>6</v>
      </c>
      <c r="AV392" s="70" t="s">
        <v>68</v>
      </c>
    </row>
    <row r="393" spans="1:48" s="136" customFormat="1" ht="19.5" hidden="1" customHeight="1" x14ac:dyDescent="0.2">
      <c r="A393" s="87">
        <v>20369</v>
      </c>
      <c r="B393" s="80" t="s">
        <v>1471</v>
      </c>
      <c r="C393" s="80" t="s">
        <v>496</v>
      </c>
      <c r="D393" s="87"/>
      <c r="E393" s="123" t="s">
        <v>51</v>
      </c>
      <c r="F393" s="140">
        <v>32800</v>
      </c>
      <c r="G393" s="123" t="s">
        <v>365</v>
      </c>
      <c r="H393" s="54" t="s">
        <v>366</v>
      </c>
      <c r="I393" s="123" t="s">
        <v>2694</v>
      </c>
      <c r="J393" s="140">
        <v>39633</v>
      </c>
      <c r="K393" s="123" t="s">
        <v>365</v>
      </c>
      <c r="L393" s="123" t="s">
        <v>123</v>
      </c>
      <c r="M393" s="123" t="s">
        <v>2695</v>
      </c>
      <c r="N393" s="123" t="s">
        <v>760</v>
      </c>
      <c r="O393" s="106"/>
      <c r="P393" s="54" t="s">
        <v>2696</v>
      </c>
      <c r="Q393" s="123"/>
      <c r="R393" s="123" t="s">
        <v>2697</v>
      </c>
      <c r="S393" s="123"/>
      <c r="T393" s="54" t="s">
        <v>2698</v>
      </c>
      <c r="U393" s="54" t="s">
        <v>2699</v>
      </c>
      <c r="V393" s="123"/>
      <c r="W393" s="123"/>
      <c r="X393" s="123"/>
      <c r="Y393" s="123" t="s">
        <v>360</v>
      </c>
      <c r="Z393" s="54"/>
      <c r="AA393" s="54"/>
      <c r="AB393" s="54">
        <v>2</v>
      </c>
      <c r="AC393" s="54" t="s">
        <v>362</v>
      </c>
      <c r="AD393" s="123" t="s">
        <v>207</v>
      </c>
      <c r="AE393" s="54" t="s">
        <v>1128</v>
      </c>
      <c r="AF393" s="54" t="s">
        <v>65</v>
      </c>
      <c r="AG393" s="140">
        <v>40969</v>
      </c>
      <c r="AH393" s="65">
        <f t="shared" si="44"/>
        <v>3</v>
      </c>
      <c r="AI393" s="65"/>
      <c r="AJ393" s="140">
        <v>41030</v>
      </c>
      <c r="AK393" s="65">
        <f t="shared" si="45"/>
        <v>5</v>
      </c>
      <c r="AL393" s="54" t="s">
        <v>66</v>
      </c>
      <c r="AM393" s="138"/>
      <c r="AN393" s="138"/>
      <c r="AO393" s="190"/>
      <c r="AP393" s="136" t="str">
        <f>IF((AO393=""),"",MONTH(AO393))</f>
        <v/>
      </c>
      <c r="AQ393" s="123"/>
      <c r="AR393" s="23"/>
      <c r="AS393" s="54" t="s">
        <v>347</v>
      </c>
      <c r="AT393" s="158"/>
      <c r="AU393" s="70">
        <f t="shared" si="41"/>
        <v>10</v>
      </c>
      <c r="AV393" s="70" t="s">
        <v>68</v>
      </c>
    </row>
    <row r="394" spans="1:48" s="136" customFormat="1" ht="25.5" hidden="1" x14ac:dyDescent="0.2">
      <c r="A394" s="87">
        <v>20370</v>
      </c>
      <c r="B394" s="80" t="s">
        <v>2700</v>
      </c>
      <c r="C394" s="80" t="s">
        <v>250</v>
      </c>
      <c r="D394" s="87"/>
      <c r="E394" s="123" t="s">
        <v>94</v>
      </c>
      <c r="F394" s="140">
        <v>31333</v>
      </c>
      <c r="G394" s="123" t="s">
        <v>52</v>
      </c>
      <c r="H394" s="54" t="s">
        <v>53</v>
      </c>
      <c r="I394" s="123" t="s">
        <v>2701</v>
      </c>
      <c r="J394" s="140">
        <v>38928</v>
      </c>
      <c r="K394" s="123" t="s">
        <v>52</v>
      </c>
      <c r="L394" s="123" t="s">
        <v>341</v>
      </c>
      <c r="M394" s="123" t="s">
        <v>906</v>
      </c>
      <c r="N394" s="123" t="s">
        <v>152</v>
      </c>
      <c r="O394" s="106"/>
      <c r="P394" s="54" t="s">
        <v>2702</v>
      </c>
      <c r="Q394" s="123"/>
      <c r="R394" s="123" t="s">
        <v>2703</v>
      </c>
      <c r="S394" s="123"/>
      <c r="T394" s="54" t="s">
        <v>2704</v>
      </c>
      <c r="U394" s="54" t="s">
        <v>2704</v>
      </c>
      <c r="V394" s="123"/>
      <c r="W394" s="123"/>
      <c r="X394" s="123"/>
      <c r="Y394" s="123" t="s">
        <v>206</v>
      </c>
      <c r="Z394" s="54"/>
      <c r="AA394" s="54"/>
      <c r="AB394" s="54">
        <v>3</v>
      </c>
      <c r="AC394" s="54" t="s">
        <v>63</v>
      </c>
      <c r="AD394" s="123" t="s">
        <v>207</v>
      </c>
      <c r="AE394" s="54" t="s">
        <v>988</v>
      </c>
      <c r="AF394" s="54" t="s">
        <v>65</v>
      </c>
      <c r="AG394" s="140">
        <v>40969</v>
      </c>
      <c r="AH394" s="65">
        <f t="shared" si="44"/>
        <v>3</v>
      </c>
      <c r="AI394" s="65"/>
      <c r="AJ394" s="140">
        <v>41060</v>
      </c>
      <c r="AK394" s="65">
        <f t="shared" si="45"/>
        <v>5</v>
      </c>
      <c r="AL394" s="54" t="s">
        <v>66</v>
      </c>
      <c r="AM394" s="138"/>
      <c r="AN394" s="138"/>
      <c r="AO394" s="190"/>
      <c r="AP394" s="136" t="str">
        <f>IF((AO394=""),"",MONTH(AO394))</f>
        <v/>
      </c>
      <c r="AQ394" s="123"/>
      <c r="AR394" s="23"/>
      <c r="AS394" s="54" t="s">
        <v>347</v>
      </c>
      <c r="AT394" s="194"/>
      <c r="AU394" s="70">
        <f t="shared" si="41"/>
        <v>10</v>
      </c>
      <c r="AV394" s="70" t="s">
        <v>68</v>
      </c>
    </row>
    <row r="395" spans="1:48" s="136" customFormat="1" ht="25.5" hidden="1" x14ac:dyDescent="0.2">
      <c r="A395" s="86">
        <v>20371</v>
      </c>
      <c r="B395" s="3" t="s">
        <v>2705</v>
      </c>
      <c r="C395" s="3" t="s">
        <v>287</v>
      </c>
      <c r="D395" s="86"/>
      <c r="E395" s="36" t="s">
        <v>94</v>
      </c>
      <c r="F395" s="48">
        <v>32023</v>
      </c>
      <c r="G395" s="36"/>
      <c r="H395" s="81" t="s">
        <v>2706</v>
      </c>
      <c r="I395" s="36" t="s">
        <v>2707</v>
      </c>
      <c r="J395" s="48">
        <v>37760</v>
      </c>
      <c r="K395" s="36" t="s">
        <v>2706</v>
      </c>
      <c r="L395" s="36" t="s">
        <v>318</v>
      </c>
      <c r="M395" s="36" t="s">
        <v>2708</v>
      </c>
      <c r="N395" s="36" t="s">
        <v>1815</v>
      </c>
      <c r="O395" s="101"/>
      <c r="P395" s="159" t="s">
        <v>2709</v>
      </c>
      <c r="Q395" s="36"/>
      <c r="R395" s="36" t="s">
        <v>2710</v>
      </c>
      <c r="S395" s="36"/>
      <c r="T395" s="81"/>
      <c r="U395" s="81" t="s">
        <v>2711</v>
      </c>
      <c r="V395" s="36"/>
      <c r="W395" s="36"/>
      <c r="X395" s="36"/>
      <c r="Y395" s="36" t="s">
        <v>284</v>
      </c>
      <c r="Z395" s="81"/>
      <c r="AA395" s="54"/>
      <c r="AB395" s="81" t="s">
        <v>285</v>
      </c>
      <c r="AC395" s="81" t="s">
        <v>236</v>
      </c>
      <c r="AD395" s="36" t="s">
        <v>230</v>
      </c>
      <c r="AE395" s="81" t="s">
        <v>1192</v>
      </c>
      <c r="AF395" s="81" t="s">
        <v>231</v>
      </c>
      <c r="AG395" s="48"/>
      <c r="AH395" s="48"/>
      <c r="AI395" s="48"/>
      <c r="AJ395" s="48">
        <v>41029</v>
      </c>
      <c r="AK395" s="134">
        <f t="shared" si="45"/>
        <v>4</v>
      </c>
      <c r="AL395" s="54" t="s">
        <v>82</v>
      </c>
      <c r="AM395" s="54"/>
      <c r="AN395" s="54"/>
      <c r="AO395" s="190"/>
      <c r="AQ395" s="123"/>
      <c r="AR395" s="23"/>
      <c r="AS395" s="54"/>
      <c r="AT395" s="65"/>
      <c r="AU395" s="70">
        <f t="shared" si="41"/>
        <v>9</v>
      </c>
      <c r="AV395" s="70" t="s">
        <v>68</v>
      </c>
    </row>
    <row r="396" spans="1:48" ht="25.5" x14ac:dyDescent="0.2">
      <c r="A396" s="87">
        <v>20372</v>
      </c>
      <c r="B396" s="80" t="s">
        <v>2712</v>
      </c>
      <c r="C396" s="80" t="s">
        <v>328</v>
      </c>
      <c r="D396" s="87"/>
      <c r="E396" s="123" t="s">
        <v>94</v>
      </c>
      <c r="F396" s="140">
        <v>31413</v>
      </c>
      <c r="G396" s="123" t="s">
        <v>1550</v>
      </c>
      <c r="H396" s="54" t="s">
        <v>1678</v>
      </c>
      <c r="I396" s="123" t="s">
        <v>2713</v>
      </c>
      <c r="J396" s="140">
        <v>37111</v>
      </c>
      <c r="K396" s="123" t="s">
        <v>1550</v>
      </c>
      <c r="L396" s="123" t="s">
        <v>123</v>
      </c>
      <c r="M396" s="123" t="s">
        <v>1106</v>
      </c>
      <c r="N396" s="123" t="s">
        <v>1927</v>
      </c>
      <c r="O396" s="106"/>
      <c r="P396" s="54" t="s">
        <v>2714</v>
      </c>
      <c r="Q396" s="123"/>
      <c r="R396" s="123" t="s">
        <v>2715</v>
      </c>
      <c r="S396" s="123"/>
      <c r="T396" s="54" t="s">
        <v>2716</v>
      </c>
      <c r="U396" s="54" t="s">
        <v>2717</v>
      </c>
      <c r="V396" s="123"/>
      <c r="W396" s="123"/>
      <c r="X396" s="123"/>
      <c r="Y396" s="123" t="s">
        <v>972</v>
      </c>
      <c r="Z396" s="54"/>
      <c r="AA396" s="54"/>
      <c r="AB396" s="54" t="s">
        <v>285</v>
      </c>
      <c r="AC396" s="54" t="s">
        <v>236</v>
      </c>
      <c r="AD396" s="123" t="s">
        <v>1183</v>
      </c>
      <c r="AE396" s="54" t="s">
        <v>1184</v>
      </c>
      <c r="AF396" s="54" t="s">
        <v>231</v>
      </c>
      <c r="AG396" s="140">
        <v>40969</v>
      </c>
      <c r="AH396" s="65">
        <f t="shared" ref="AH396:AH402" si="46">IF((AG396=""),"",MONTH(AG396))</f>
        <v>3</v>
      </c>
      <c r="AI396" s="65"/>
      <c r="AJ396" s="140">
        <v>41030</v>
      </c>
      <c r="AK396" s="65">
        <f t="shared" si="45"/>
        <v>5</v>
      </c>
      <c r="AL396" s="54" t="s">
        <v>66</v>
      </c>
      <c r="AM396" s="138"/>
      <c r="AN396" s="138"/>
      <c r="AO396" s="190"/>
      <c r="AP396" s="136" t="str">
        <f t="shared" ref="AP396:AP406" si="47">IF((AO396=""),"",MONTH(AO396))</f>
        <v/>
      </c>
      <c r="AQ396" s="123"/>
      <c r="AR396" s="23"/>
      <c r="AS396" s="54" t="s">
        <v>347</v>
      </c>
      <c r="AT396" s="136"/>
      <c r="AU396" s="70">
        <f t="shared" si="41"/>
        <v>1</v>
      </c>
      <c r="AV396" s="70" t="s">
        <v>68</v>
      </c>
    </row>
    <row r="397" spans="1:48" ht="25.5" hidden="1" x14ac:dyDescent="0.2">
      <c r="A397" s="87">
        <v>20373</v>
      </c>
      <c r="B397" s="80" t="s">
        <v>2718</v>
      </c>
      <c r="C397" s="80" t="s">
        <v>1532</v>
      </c>
      <c r="D397" s="87"/>
      <c r="E397" s="123" t="s">
        <v>94</v>
      </c>
      <c r="F397" s="140">
        <v>31157</v>
      </c>
      <c r="G397" s="123" t="s">
        <v>2719</v>
      </c>
      <c r="H397" s="54" t="s">
        <v>2720</v>
      </c>
      <c r="I397" s="123" t="s">
        <v>2721</v>
      </c>
      <c r="J397" s="140">
        <v>39539</v>
      </c>
      <c r="K397" s="123" t="s">
        <v>884</v>
      </c>
      <c r="L397" s="123" t="s">
        <v>123</v>
      </c>
      <c r="M397" s="123" t="s">
        <v>1508</v>
      </c>
      <c r="N397" s="123" t="s">
        <v>1815</v>
      </c>
      <c r="O397" s="106"/>
      <c r="P397" s="54" t="s">
        <v>2722</v>
      </c>
      <c r="Q397" s="123"/>
      <c r="R397" s="123" t="s">
        <v>2723</v>
      </c>
      <c r="S397" s="123"/>
      <c r="T397" s="54" t="s">
        <v>2724</v>
      </c>
      <c r="U397" s="54" t="s">
        <v>2725</v>
      </c>
      <c r="V397" s="123"/>
      <c r="W397" s="123"/>
      <c r="X397" s="123"/>
      <c r="Y397" s="123" t="s">
        <v>699</v>
      </c>
      <c r="Z397" s="54"/>
      <c r="AA397" s="54"/>
      <c r="AB397" s="54">
        <v>3</v>
      </c>
      <c r="AC397" s="54" t="s">
        <v>362</v>
      </c>
      <c r="AD397" s="123" t="s">
        <v>1183</v>
      </c>
      <c r="AE397" s="54" t="s">
        <v>1184</v>
      </c>
      <c r="AF397" s="54" t="s">
        <v>231</v>
      </c>
      <c r="AG397" s="140">
        <v>40987</v>
      </c>
      <c r="AH397" s="65">
        <f t="shared" si="46"/>
        <v>3</v>
      </c>
      <c r="AI397" s="65"/>
      <c r="AJ397" s="140">
        <v>41048</v>
      </c>
      <c r="AK397" s="65">
        <f t="shared" si="45"/>
        <v>5</v>
      </c>
      <c r="AL397" s="54" t="s">
        <v>66</v>
      </c>
      <c r="AM397" s="138"/>
      <c r="AN397" s="138"/>
      <c r="AO397" s="190"/>
      <c r="AP397" s="136" t="str">
        <f t="shared" si="47"/>
        <v/>
      </c>
      <c r="AQ397" s="123"/>
      <c r="AR397" s="23"/>
      <c r="AS397" s="54" t="s">
        <v>347</v>
      </c>
      <c r="AT397" s="136"/>
      <c r="AU397" s="70">
        <f t="shared" si="41"/>
        <v>4</v>
      </c>
      <c r="AV397" s="70" t="s">
        <v>68</v>
      </c>
    </row>
    <row r="398" spans="1:48" s="136" customFormat="1" ht="19.5" hidden="1" customHeight="1" x14ac:dyDescent="0.2">
      <c r="A398" s="86">
        <v>20374</v>
      </c>
      <c r="B398" s="3" t="s">
        <v>2726</v>
      </c>
      <c r="C398" s="3" t="s">
        <v>271</v>
      </c>
      <c r="D398" s="86"/>
      <c r="E398" s="36" t="s">
        <v>94</v>
      </c>
      <c r="F398" s="48">
        <v>27868</v>
      </c>
      <c r="G398" s="36" t="s">
        <v>1195</v>
      </c>
      <c r="H398" s="81" t="s">
        <v>1776</v>
      </c>
      <c r="I398" s="36" t="s">
        <v>2727</v>
      </c>
      <c r="J398" s="48">
        <v>38106</v>
      </c>
      <c r="K398" s="36" t="s">
        <v>1195</v>
      </c>
      <c r="L398" s="36" t="s">
        <v>123</v>
      </c>
      <c r="M398" s="36" t="s">
        <v>1704</v>
      </c>
      <c r="N398" s="36" t="s">
        <v>2728</v>
      </c>
      <c r="O398" s="101"/>
      <c r="P398" s="81" t="s">
        <v>2729</v>
      </c>
      <c r="Q398" s="36" t="s">
        <v>2730</v>
      </c>
      <c r="R398" s="36" t="s">
        <v>2731</v>
      </c>
      <c r="S398" s="36"/>
      <c r="T398" s="81" t="s">
        <v>2732</v>
      </c>
      <c r="U398" s="81" t="s">
        <v>2732</v>
      </c>
      <c r="V398" s="36"/>
      <c r="W398" s="36"/>
      <c r="X398" s="36"/>
      <c r="Y398" s="36" t="s">
        <v>284</v>
      </c>
      <c r="Z398" s="81"/>
      <c r="AA398" s="54"/>
      <c r="AB398" s="81" t="s">
        <v>285</v>
      </c>
      <c r="AC398" s="81" t="s">
        <v>236</v>
      </c>
      <c r="AD398" s="36" t="s">
        <v>230</v>
      </c>
      <c r="AE398" s="81" t="s">
        <v>1192</v>
      </c>
      <c r="AF398" s="81" t="s">
        <v>231</v>
      </c>
      <c r="AG398" s="48"/>
      <c r="AH398" s="134" t="str">
        <f t="shared" si="46"/>
        <v/>
      </c>
      <c r="AI398" s="134"/>
      <c r="AJ398" s="48">
        <v>41009</v>
      </c>
      <c r="AK398" s="134">
        <f t="shared" si="45"/>
        <v>4</v>
      </c>
      <c r="AL398" s="94" t="s">
        <v>82</v>
      </c>
      <c r="AM398" s="78"/>
      <c r="AN398" s="78"/>
      <c r="AO398" s="190">
        <v>41003</v>
      </c>
      <c r="AP398" s="136">
        <f t="shared" si="47"/>
        <v>4</v>
      </c>
      <c r="AQ398" s="127"/>
      <c r="AR398" s="23"/>
      <c r="AS398" s="94"/>
      <c r="AT398" s="184"/>
      <c r="AU398" s="70">
        <f t="shared" si="41"/>
        <v>4</v>
      </c>
      <c r="AV398" s="70" t="s">
        <v>68</v>
      </c>
    </row>
    <row r="399" spans="1:48" s="136" customFormat="1" ht="19.5" hidden="1" customHeight="1" x14ac:dyDescent="0.2">
      <c r="A399" s="86">
        <v>20375</v>
      </c>
      <c r="B399" s="3" t="s">
        <v>2245</v>
      </c>
      <c r="C399" s="3" t="s">
        <v>2733</v>
      </c>
      <c r="D399" s="86"/>
      <c r="E399" s="36" t="s">
        <v>94</v>
      </c>
      <c r="F399" s="48">
        <v>31287</v>
      </c>
      <c r="G399" s="36" t="s">
        <v>2734</v>
      </c>
      <c r="H399" s="81" t="s">
        <v>2735</v>
      </c>
      <c r="I399" s="36" t="s">
        <v>2736</v>
      </c>
      <c r="J399" s="48">
        <v>37124</v>
      </c>
      <c r="K399" s="36" t="s">
        <v>2737</v>
      </c>
      <c r="L399" s="36" t="s">
        <v>123</v>
      </c>
      <c r="M399" s="36" t="s">
        <v>2628</v>
      </c>
      <c r="N399" s="36" t="s">
        <v>760</v>
      </c>
      <c r="O399" s="101"/>
      <c r="P399" s="81" t="s">
        <v>2738</v>
      </c>
      <c r="Q399" s="36"/>
      <c r="R399" s="36" t="s">
        <v>2739</v>
      </c>
      <c r="S399" s="36"/>
      <c r="T399" s="81" t="s">
        <v>2740</v>
      </c>
      <c r="U399" s="81" t="s">
        <v>2741</v>
      </c>
      <c r="V399" s="36"/>
      <c r="W399" s="36"/>
      <c r="X399" s="36"/>
      <c r="Y399" s="36" t="s">
        <v>972</v>
      </c>
      <c r="Z399" s="81"/>
      <c r="AA399" s="54"/>
      <c r="AB399" s="81" t="s">
        <v>285</v>
      </c>
      <c r="AC399" s="81" t="s">
        <v>236</v>
      </c>
      <c r="AD399" s="36" t="s">
        <v>1183</v>
      </c>
      <c r="AE399" s="81" t="s">
        <v>1184</v>
      </c>
      <c r="AF399" s="81" t="s">
        <v>231</v>
      </c>
      <c r="AG399" s="48">
        <v>40987</v>
      </c>
      <c r="AH399" s="134">
        <f t="shared" si="46"/>
        <v>3</v>
      </c>
      <c r="AI399" s="134"/>
      <c r="AJ399" s="48">
        <v>41048</v>
      </c>
      <c r="AK399" s="134">
        <f t="shared" si="45"/>
        <v>5</v>
      </c>
      <c r="AL399" s="81" t="s">
        <v>82</v>
      </c>
      <c r="AM399" s="25"/>
      <c r="AN399" s="25"/>
      <c r="AO399" s="48">
        <v>41663</v>
      </c>
      <c r="AP399" s="134">
        <f t="shared" si="47"/>
        <v>1</v>
      </c>
      <c r="AQ399" s="36"/>
      <c r="AR399" s="116"/>
      <c r="AS399" s="81" t="s">
        <v>347</v>
      </c>
      <c r="AT399" s="69"/>
      <c r="AU399" s="172">
        <f t="shared" si="41"/>
        <v>8</v>
      </c>
      <c r="AV399" s="172" t="s">
        <v>68</v>
      </c>
    </row>
    <row r="400" spans="1:48" s="136" customFormat="1" ht="25.5" hidden="1" x14ac:dyDescent="0.2">
      <c r="A400" s="86">
        <v>20376</v>
      </c>
      <c r="B400" s="3" t="s">
        <v>2742</v>
      </c>
      <c r="C400" s="3" t="s">
        <v>1547</v>
      </c>
      <c r="D400" s="86"/>
      <c r="E400" s="36" t="s">
        <v>94</v>
      </c>
      <c r="F400" s="48">
        <v>29886</v>
      </c>
      <c r="G400" s="36" t="s">
        <v>231</v>
      </c>
      <c r="H400" s="81" t="s">
        <v>239</v>
      </c>
      <c r="I400" s="36"/>
      <c r="J400" s="48"/>
      <c r="K400" s="36"/>
      <c r="L400" s="36" t="s">
        <v>341</v>
      </c>
      <c r="M400" s="36" t="s">
        <v>2743</v>
      </c>
      <c r="N400" s="36" t="s">
        <v>1815</v>
      </c>
      <c r="O400" s="101"/>
      <c r="P400" s="81" t="s">
        <v>2744</v>
      </c>
      <c r="Q400" s="36"/>
      <c r="R400" s="36" t="s">
        <v>2745</v>
      </c>
      <c r="S400" s="36"/>
      <c r="T400" s="81" t="s">
        <v>2746</v>
      </c>
      <c r="U400" s="81" t="s">
        <v>2746</v>
      </c>
      <c r="V400" s="36"/>
      <c r="W400" s="36"/>
      <c r="X400" s="36"/>
      <c r="Y400" s="36" t="s">
        <v>294</v>
      </c>
      <c r="Z400" s="81"/>
      <c r="AA400" s="54"/>
      <c r="AB400" s="81">
        <v>1</v>
      </c>
      <c r="AC400" s="81" t="s">
        <v>236</v>
      </c>
      <c r="AD400" s="36" t="s">
        <v>629</v>
      </c>
      <c r="AE400" s="81"/>
      <c r="AF400" s="81" t="s">
        <v>231</v>
      </c>
      <c r="AG400" s="48"/>
      <c r="AH400" s="134" t="str">
        <f t="shared" si="46"/>
        <v/>
      </c>
      <c r="AI400" s="134"/>
      <c r="AJ400" s="48"/>
      <c r="AK400" s="134" t="str">
        <f t="shared" si="45"/>
        <v/>
      </c>
      <c r="AL400" s="94" t="s">
        <v>82</v>
      </c>
      <c r="AM400" s="78"/>
      <c r="AN400" s="78"/>
      <c r="AO400" s="190"/>
      <c r="AP400" s="136" t="str">
        <f t="shared" si="47"/>
        <v/>
      </c>
      <c r="AQ400" s="127"/>
      <c r="AR400" s="23"/>
      <c r="AS400" s="94"/>
      <c r="AT400" s="158"/>
      <c r="AU400" s="70">
        <f t="shared" si="41"/>
        <v>10</v>
      </c>
      <c r="AV400" s="70" t="s">
        <v>68</v>
      </c>
    </row>
    <row r="401" spans="1:48" s="136" customFormat="1" ht="25.5" hidden="1" x14ac:dyDescent="0.2">
      <c r="A401" s="86">
        <v>20377</v>
      </c>
      <c r="B401" s="3" t="s">
        <v>2747</v>
      </c>
      <c r="C401" s="3" t="s">
        <v>706</v>
      </c>
      <c r="D401" s="86"/>
      <c r="E401" s="36" t="s">
        <v>94</v>
      </c>
      <c r="F401" s="48">
        <v>32223</v>
      </c>
      <c r="G401" s="36" t="s">
        <v>1614</v>
      </c>
      <c r="H401" s="81" t="s">
        <v>2748</v>
      </c>
      <c r="I401" s="36" t="s">
        <v>2749</v>
      </c>
      <c r="J401" s="48">
        <v>37678</v>
      </c>
      <c r="K401" s="36" t="s">
        <v>231</v>
      </c>
      <c r="L401" s="36" t="s">
        <v>123</v>
      </c>
      <c r="M401" s="36" t="s">
        <v>2750</v>
      </c>
      <c r="N401" s="36" t="s">
        <v>307</v>
      </c>
      <c r="O401" s="101"/>
      <c r="P401" s="81" t="s">
        <v>2751</v>
      </c>
      <c r="Q401" s="36"/>
      <c r="R401" s="36" t="s">
        <v>2752</v>
      </c>
      <c r="S401" s="36"/>
      <c r="T401" s="81" t="s">
        <v>2753</v>
      </c>
      <c r="U401" s="81" t="s">
        <v>2754</v>
      </c>
      <c r="V401" s="36"/>
      <c r="W401" s="36"/>
      <c r="X401" s="36"/>
      <c r="Y401" s="36" t="s">
        <v>616</v>
      </c>
      <c r="Z401" s="81"/>
      <c r="AA401" s="54"/>
      <c r="AB401" s="81" t="s">
        <v>285</v>
      </c>
      <c r="AC401" s="81" t="s">
        <v>236</v>
      </c>
      <c r="AD401" s="36" t="s">
        <v>230</v>
      </c>
      <c r="AE401" s="81" t="s">
        <v>839</v>
      </c>
      <c r="AF401" s="81" t="s">
        <v>231</v>
      </c>
      <c r="AG401" s="48"/>
      <c r="AH401" s="134" t="str">
        <f t="shared" si="46"/>
        <v/>
      </c>
      <c r="AI401" s="134"/>
      <c r="AJ401" s="48">
        <v>40969</v>
      </c>
      <c r="AK401" s="134">
        <f t="shared" si="45"/>
        <v>3</v>
      </c>
      <c r="AL401" s="94" t="s">
        <v>82</v>
      </c>
      <c r="AM401" s="78"/>
      <c r="AN401" s="78"/>
      <c r="AO401" s="190">
        <v>40970</v>
      </c>
      <c r="AP401" s="136">
        <f t="shared" si="47"/>
        <v>3</v>
      </c>
      <c r="AQ401" s="127"/>
      <c r="AR401" s="23"/>
      <c r="AS401" s="94"/>
      <c r="AT401" s="194"/>
      <c r="AU401" s="70">
        <f t="shared" si="41"/>
        <v>3</v>
      </c>
      <c r="AV401" s="70" t="s">
        <v>68</v>
      </c>
    </row>
    <row r="402" spans="1:48" ht="38.25" hidden="1" x14ac:dyDescent="0.2">
      <c r="A402" s="86">
        <v>20378</v>
      </c>
      <c r="B402" s="3" t="s">
        <v>801</v>
      </c>
      <c r="C402" s="3" t="s">
        <v>2755</v>
      </c>
      <c r="D402" s="86"/>
      <c r="E402" s="36" t="s">
        <v>94</v>
      </c>
      <c r="F402" s="48">
        <v>32558</v>
      </c>
      <c r="G402" s="36" t="s">
        <v>52</v>
      </c>
      <c r="H402" s="81" t="s">
        <v>53</v>
      </c>
      <c r="I402" s="36" t="s">
        <v>2756</v>
      </c>
      <c r="J402" s="48">
        <v>40673</v>
      </c>
      <c r="K402" s="36" t="s">
        <v>231</v>
      </c>
      <c r="L402" s="36" t="s">
        <v>341</v>
      </c>
      <c r="M402" s="36" t="s">
        <v>2757</v>
      </c>
      <c r="N402" s="36" t="s">
        <v>368</v>
      </c>
      <c r="O402" s="101"/>
      <c r="P402" s="81" t="s">
        <v>2758</v>
      </c>
      <c r="Q402" s="36"/>
      <c r="R402" s="36" t="s">
        <v>2759</v>
      </c>
      <c r="S402" s="36"/>
      <c r="T402" s="81" t="s">
        <v>2760</v>
      </c>
      <c r="U402" s="81" t="s">
        <v>2760</v>
      </c>
      <c r="V402" s="36"/>
      <c r="W402" s="36"/>
      <c r="X402" s="36"/>
      <c r="Y402" s="36" t="s">
        <v>616</v>
      </c>
      <c r="Z402" s="81"/>
      <c r="AA402" s="54"/>
      <c r="AB402" s="81" t="s">
        <v>285</v>
      </c>
      <c r="AC402" s="81" t="s">
        <v>236</v>
      </c>
      <c r="AD402" s="36" t="s">
        <v>866</v>
      </c>
      <c r="AE402" s="81" t="s">
        <v>867</v>
      </c>
      <c r="AF402" s="81" t="s">
        <v>231</v>
      </c>
      <c r="AG402" s="48">
        <v>40969</v>
      </c>
      <c r="AH402" s="134">
        <f t="shared" si="46"/>
        <v>3</v>
      </c>
      <c r="AI402" s="134"/>
      <c r="AJ402" s="48">
        <v>41030</v>
      </c>
      <c r="AK402" s="134">
        <f t="shared" si="45"/>
        <v>5</v>
      </c>
      <c r="AL402" s="54" t="s">
        <v>82</v>
      </c>
      <c r="AM402" s="138"/>
      <c r="AN402" s="138"/>
      <c r="AO402" s="190">
        <v>41583</v>
      </c>
      <c r="AP402" s="136">
        <f t="shared" si="47"/>
        <v>11</v>
      </c>
      <c r="AQ402" s="123"/>
      <c r="AR402" s="23"/>
      <c r="AS402" s="54" t="s">
        <v>347</v>
      </c>
      <c r="AT402" s="136"/>
      <c r="AU402" s="70">
        <f t="shared" si="41"/>
        <v>2</v>
      </c>
      <c r="AV402" s="70" t="s">
        <v>68</v>
      </c>
    </row>
    <row r="403" spans="1:48" ht="19.5" hidden="1" customHeight="1" x14ac:dyDescent="0.2">
      <c r="A403" s="86">
        <v>20379</v>
      </c>
      <c r="B403" s="3" t="s">
        <v>2761</v>
      </c>
      <c r="C403" s="3" t="s">
        <v>2762</v>
      </c>
      <c r="D403" s="86"/>
      <c r="E403" s="36" t="s">
        <v>94</v>
      </c>
      <c r="F403" s="48">
        <v>32451</v>
      </c>
      <c r="G403" s="36"/>
      <c r="H403" s="81" t="s">
        <v>1550</v>
      </c>
      <c r="I403" s="36" t="s">
        <v>2763</v>
      </c>
      <c r="J403" s="48">
        <v>37854</v>
      </c>
      <c r="K403" s="36" t="s">
        <v>1550</v>
      </c>
      <c r="L403" s="36" t="s">
        <v>318</v>
      </c>
      <c r="M403" s="36" t="s">
        <v>2764</v>
      </c>
      <c r="N403" s="36" t="s">
        <v>2765</v>
      </c>
      <c r="O403" s="101"/>
      <c r="P403" s="159" t="s">
        <v>2766</v>
      </c>
      <c r="Q403" s="36"/>
      <c r="R403" s="36" t="s">
        <v>2767</v>
      </c>
      <c r="S403" s="36"/>
      <c r="T403" s="81"/>
      <c r="U403" s="81" t="s">
        <v>2768</v>
      </c>
      <c r="V403" s="36"/>
      <c r="W403" s="36"/>
      <c r="X403" s="36"/>
      <c r="Y403" s="36" t="s">
        <v>616</v>
      </c>
      <c r="Z403" s="81"/>
      <c r="AA403" s="54"/>
      <c r="AB403" s="81" t="s">
        <v>285</v>
      </c>
      <c r="AC403" s="81" t="s">
        <v>236</v>
      </c>
      <c r="AD403" s="36" t="s">
        <v>230</v>
      </c>
      <c r="AE403" s="81" t="s">
        <v>839</v>
      </c>
      <c r="AF403" s="81" t="s">
        <v>231</v>
      </c>
      <c r="AG403" s="48"/>
      <c r="AH403" s="48"/>
      <c r="AI403" s="48"/>
      <c r="AJ403" s="48">
        <v>41047</v>
      </c>
      <c r="AK403" s="134">
        <f t="shared" si="45"/>
        <v>5</v>
      </c>
      <c r="AL403" s="54" t="s">
        <v>82</v>
      </c>
      <c r="AM403" s="54"/>
      <c r="AN403" s="54"/>
      <c r="AO403" s="190">
        <v>41153</v>
      </c>
      <c r="AP403" s="136">
        <f t="shared" si="47"/>
        <v>9</v>
      </c>
      <c r="AQ403" s="123"/>
      <c r="AR403" s="23"/>
      <c r="AS403" s="54"/>
      <c r="AT403" s="23"/>
      <c r="AU403" s="70">
        <f t="shared" si="41"/>
        <v>11</v>
      </c>
      <c r="AV403" s="70" t="s">
        <v>68</v>
      </c>
    </row>
    <row r="404" spans="1:48" s="136" customFormat="1" ht="25.5" hidden="1" x14ac:dyDescent="0.2">
      <c r="A404" s="86">
        <v>20380</v>
      </c>
      <c r="B404" s="3" t="s">
        <v>2769</v>
      </c>
      <c r="C404" s="3" t="s">
        <v>160</v>
      </c>
      <c r="D404" s="86"/>
      <c r="E404" s="36" t="s">
        <v>94</v>
      </c>
      <c r="F404" s="48">
        <v>32561</v>
      </c>
      <c r="G404" s="36"/>
      <c r="H404" s="81" t="s">
        <v>1148</v>
      </c>
      <c r="I404" s="36" t="s">
        <v>2770</v>
      </c>
      <c r="J404" s="48">
        <v>39682</v>
      </c>
      <c r="K404" s="36" t="s">
        <v>1148</v>
      </c>
      <c r="L404" s="36" t="s">
        <v>826</v>
      </c>
      <c r="M404" s="36" t="s">
        <v>2771</v>
      </c>
      <c r="N404" s="36" t="s">
        <v>2772</v>
      </c>
      <c r="O404" s="101"/>
      <c r="P404" s="159" t="s">
        <v>2773</v>
      </c>
      <c r="Q404" s="36"/>
      <c r="R404" s="36" t="s">
        <v>2774</v>
      </c>
      <c r="S404" s="36"/>
      <c r="T404" s="81"/>
      <c r="U404" s="81" t="s">
        <v>2775</v>
      </c>
      <c r="V404" s="36"/>
      <c r="W404" s="36"/>
      <c r="X404" s="36"/>
      <c r="Y404" s="36" t="s">
        <v>616</v>
      </c>
      <c r="Z404" s="81"/>
      <c r="AA404" s="54"/>
      <c r="AB404" s="81" t="s">
        <v>285</v>
      </c>
      <c r="AC404" s="81" t="s">
        <v>236</v>
      </c>
      <c r="AD404" s="36" t="s">
        <v>230</v>
      </c>
      <c r="AE404" s="81" t="s">
        <v>839</v>
      </c>
      <c r="AF404" s="81" t="s">
        <v>231</v>
      </c>
      <c r="AG404" s="48"/>
      <c r="AH404" s="48"/>
      <c r="AI404" s="48"/>
      <c r="AJ404" s="48">
        <v>41047</v>
      </c>
      <c r="AK404" s="134">
        <f t="shared" si="45"/>
        <v>5</v>
      </c>
      <c r="AL404" s="54" t="s">
        <v>82</v>
      </c>
      <c r="AM404" s="54"/>
      <c r="AN404" s="54"/>
      <c r="AO404" s="190"/>
      <c r="AP404" s="136" t="str">
        <f t="shared" si="47"/>
        <v/>
      </c>
      <c r="AQ404" s="123"/>
      <c r="AR404" s="23"/>
      <c r="AS404" s="54"/>
      <c r="AT404" s="65"/>
      <c r="AU404" s="70">
        <f t="shared" si="41"/>
        <v>2</v>
      </c>
      <c r="AV404" s="70" t="s">
        <v>68</v>
      </c>
    </row>
    <row r="405" spans="1:48" s="136" customFormat="1" ht="25.5" hidden="1" x14ac:dyDescent="0.2">
      <c r="A405" s="86">
        <v>20381</v>
      </c>
      <c r="B405" s="3" t="s">
        <v>2776</v>
      </c>
      <c r="C405" s="3" t="s">
        <v>160</v>
      </c>
      <c r="D405" s="86"/>
      <c r="E405" s="36" t="s">
        <v>94</v>
      </c>
      <c r="F405" s="48">
        <v>31978</v>
      </c>
      <c r="G405" s="36"/>
      <c r="H405" s="81" t="s">
        <v>2777</v>
      </c>
      <c r="I405" s="36" t="s">
        <v>2778</v>
      </c>
      <c r="J405" s="48">
        <v>37852</v>
      </c>
      <c r="K405" s="36" t="s">
        <v>2777</v>
      </c>
      <c r="L405" s="36" t="s">
        <v>318</v>
      </c>
      <c r="M405" s="36" t="s">
        <v>2779</v>
      </c>
      <c r="N405" s="36" t="s">
        <v>2780</v>
      </c>
      <c r="O405" s="101"/>
      <c r="P405" s="159" t="s">
        <v>2781</v>
      </c>
      <c r="Q405" s="36"/>
      <c r="R405" s="36" t="s">
        <v>2782</v>
      </c>
      <c r="S405" s="36"/>
      <c r="T405" s="81"/>
      <c r="U405" s="81" t="s">
        <v>2783</v>
      </c>
      <c r="V405" s="36"/>
      <c r="W405" s="36"/>
      <c r="X405" s="36"/>
      <c r="Y405" s="36" t="s">
        <v>616</v>
      </c>
      <c r="Z405" s="81"/>
      <c r="AA405" s="54"/>
      <c r="AB405" s="81" t="s">
        <v>285</v>
      </c>
      <c r="AC405" s="81" t="s">
        <v>236</v>
      </c>
      <c r="AD405" s="36" t="s">
        <v>230</v>
      </c>
      <c r="AE405" s="81" t="s">
        <v>839</v>
      </c>
      <c r="AF405" s="81" t="s">
        <v>231</v>
      </c>
      <c r="AG405" s="48"/>
      <c r="AH405" s="48"/>
      <c r="AI405" s="48"/>
      <c r="AJ405" s="48">
        <v>41047</v>
      </c>
      <c r="AK405" s="134">
        <f t="shared" si="45"/>
        <v>5</v>
      </c>
      <c r="AL405" s="54" t="s">
        <v>82</v>
      </c>
      <c r="AM405" s="54"/>
      <c r="AN405" s="54"/>
      <c r="AO405" s="190"/>
      <c r="AP405" s="136" t="str">
        <f t="shared" si="47"/>
        <v/>
      </c>
      <c r="AQ405" s="123"/>
      <c r="AR405" s="23"/>
      <c r="AS405" s="54"/>
      <c r="AT405" s="65"/>
      <c r="AU405" s="70">
        <f t="shared" si="41"/>
        <v>7</v>
      </c>
      <c r="AV405" s="70" t="s">
        <v>68</v>
      </c>
    </row>
    <row r="406" spans="1:48" s="136" customFormat="1" ht="19.5" hidden="1" customHeight="1" x14ac:dyDescent="0.2">
      <c r="A406" s="87">
        <v>20382</v>
      </c>
      <c r="B406" s="80" t="s">
        <v>964</v>
      </c>
      <c r="C406" s="80" t="s">
        <v>160</v>
      </c>
      <c r="D406" s="87"/>
      <c r="E406" s="123" t="s">
        <v>51</v>
      </c>
      <c r="F406" s="140">
        <v>32615</v>
      </c>
      <c r="G406" s="123" t="s">
        <v>2784</v>
      </c>
      <c r="H406" s="54" t="s">
        <v>2785</v>
      </c>
      <c r="I406" s="123" t="s">
        <v>2786</v>
      </c>
      <c r="J406" s="140">
        <v>38524</v>
      </c>
      <c r="K406" s="123" t="s">
        <v>2784</v>
      </c>
      <c r="L406" s="123" t="s">
        <v>123</v>
      </c>
      <c r="M406" s="123" t="s">
        <v>448</v>
      </c>
      <c r="N406" s="123" t="s">
        <v>2195</v>
      </c>
      <c r="O406" s="106"/>
      <c r="P406" s="54" t="s">
        <v>2787</v>
      </c>
      <c r="Q406" s="123"/>
      <c r="R406" s="123" t="s">
        <v>2788</v>
      </c>
      <c r="S406" s="123"/>
      <c r="T406" s="54" t="s">
        <v>2789</v>
      </c>
      <c r="U406" s="54" t="s">
        <v>2790</v>
      </c>
      <c r="V406" s="123"/>
      <c r="W406" s="123"/>
      <c r="X406" s="123"/>
      <c r="Y406" s="123" t="s">
        <v>2791</v>
      </c>
      <c r="Z406" s="54"/>
      <c r="AA406" s="54"/>
      <c r="AB406" s="54">
        <v>3</v>
      </c>
      <c r="AC406" s="54" t="s">
        <v>362</v>
      </c>
      <c r="AD406" s="123" t="s">
        <v>375</v>
      </c>
      <c r="AE406" s="54" t="s">
        <v>1525</v>
      </c>
      <c r="AF406" s="54" t="s">
        <v>65</v>
      </c>
      <c r="AG406" s="140">
        <v>40969</v>
      </c>
      <c r="AH406" s="65">
        <f>IF((AG406=""),"",MONTH(AG406))</f>
        <v>3</v>
      </c>
      <c r="AI406" s="65"/>
      <c r="AJ406" s="140">
        <v>41030</v>
      </c>
      <c r="AK406" s="65">
        <f t="shared" si="45"/>
        <v>5</v>
      </c>
      <c r="AL406" s="54" t="s">
        <v>66</v>
      </c>
      <c r="AM406" s="138"/>
      <c r="AN406" s="138"/>
      <c r="AO406" s="190"/>
      <c r="AP406" s="136" t="str">
        <f t="shared" si="47"/>
        <v/>
      </c>
      <c r="AQ406" s="123"/>
      <c r="AR406" s="23"/>
      <c r="AS406" s="54" t="s">
        <v>107</v>
      </c>
      <c r="AT406" s="184"/>
      <c r="AU406" s="70">
        <f t="shared" si="41"/>
        <v>4</v>
      </c>
      <c r="AV406" s="70" t="s">
        <v>68</v>
      </c>
    </row>
    <row r="407" spans="1:48" ht="19.5" hidden="1" customHeight="1" x14ac:dyDescent="0.2">
      <c r="A407" s="86">
        <v>20383</v>
      </c>
      <c r="B407" s="3" t="s">
        <v>2792</v>
      </c>
      <c r="C407" s="3" t="s">
        <v>2793</v>
      </c>
      <c r="D407" s="86"/>
      <c r="E407" s="36" t="s">
        <v>51</v>
      </c>
      <c r="F407" s="48">
        <v>32684</v>
      </c>
      <c r="G407" s="36"/>
      <c r="H407" s="81" t="s">
        <v>954</v>
      </c>
      <c r="I407" s="36" t="s">
        <v>2794</v>
      </c>
      <c r="J407" s="48">
        <v>38713</v>
      </c>
      <c r="K407" s="36" t="s">
        <v>954</v>
      </c>
      <c r="L407" s="36" t="s">
        <v>318</v>
      </c>
      <c r="M407" s="36" t="s">
        <v>2795</v>
      </c>
      <c r="N407" s="36" t="s">
        <v>2796</v>
      </c>
      <c r="O407" s="101"/>
      <c r="P407" s="159" t="s">
        <v>2797</v>
      </c>
      <c r="Q407" s="36"/>
      <c r="R407" s="36" t="s">
        <v>2798</v>
      </c>
      <c r="S407" s="36"/>
      <c r="T407" s="81"/>
      <c r="U407" s="81" t="s">
        <v>2799</v>
      </c>
      <c r="V407" s="36"/>
      <c r="W407" s="36"/>
      <c r="X407" s="36"/>
      <c r="Y407" s="36" t="s">
        <v>284</v>
      </c>
      <c r="Z407" s="81"/>
      <c r="AA407" s="54"/>
      <c r="AB407" s="81" t="s">
        <v>285</v>
      </c>
      <c r="AC407" s="81" t="s">
        <v>236</v>
      </c>
      <c r="AD407" s="36" t="s">
        <v>629</v>
      </c>
      <c r="AE407" s="81" t="s">
        <v>2800</v>
      </c>
      <c r="AF407" s="81" t="s">
        <v>65</v>
      </c>
      <c r="AG407" s="48"/>
      <c r="AH407" s="48"/>
      <c r="AI407" s="48"/>
      <c r="AJ407" s="48">
        <v>41029</v>
      </c>
      <c r="AK407" s="134">
        <f t="shared" si="45"/>
        <v>4</v>
      </c>
      <c r="AL407" s="54" t="s">
        <v>82</v>
      </c>
      <c r="AM407" s="54"/>
      <c r="AN407" s="54"/>
      <c r="AO407" s="190"/>
      <c r="AP407" s="136"/>
      <c r="AQ407" s="123"/>
      <c r="AR407" s="23"/>
      <c r="AS407" s="54"/>
      <c r="AT407" s="194"/>
      <c r="AU407" s="70">
        <f t="shared" si="41"/>
        <v>6</v>
      </c>
      <c r="AV407" s="70" t="s">
        <v>68</v>
      </c>
    </row>
    <row r="408" spans="1:48" s="136" customFormat="1" ht="19.5" hidden="1" customHeight="1" x14ac:dyDescent="0.2">
      <c r="A408" s="86">
        <v>20384</v>
      </c>
      <c r="B408" s="3" t="s">
        <v>766</v>
      </c>
      <c r="C408" s="3" t="s">
        <v>920</v>
      </c>
      <c r="D408" s="86"/>
      <c r="E408" s="36" t="s">
        <v>94</v>
      </c>
      <c r="F408" s="48">
        <v>32038</v>
      </c>
      <c r="G408" s="36"/>
      <c r="H408" s="81" t="s">
        <v>52</v>
      </c>
      <c r="I408" s="36" t="s">
        <v>2801</v>
      </c>
      <c r="J408" s="48">
        <v>37196</v>
      </c>
      <c r="K408" s="36" t="s">
        <v>52</v>
      </c>
      <c r="L408" s="36" t="s">
        <v>318</v>
      </c>
      <c r="M408" s="36" t="s">
        <v>2802</v>
      </c>
      <c r="N408" s="36" t="s">
        <v>458</v>
      </c>
      <c r="O408" s="101"/>
      <c r="P408" s="159" t="s">
        <v>2803</v>
      </c>
      <c r="Q408" s="36"/>
      <c r="R408" s="36" t="s">
        <v>2804</v>
      </c>
      <c r="S408" s="36"/>
      <c r="T408" s="81"/>
      <c r="U408" s="81" t="s">
        <v>2805</v>
      </c>
      <c r="V408" s="36"/>
      <c r="W408" s="36"/>
      <c r="X408" s="36"/>
      <c r="Y408" s="36" t="s">
        <v>284</v>
      </c>
      <c r="Z408" s="81"/>
      <c r="AA408" s="54"/>
      <c r="AB408" s="81" t="s">
        <v>285</v>
      </c>
      <c r="AC408" s="81" t="s">
        <v>236</v>
      </c>
      <c r="AD408" s="36" t="s">
        <v>629</v>
      </c>
      <c r="AE408" s="81" t="s">
        <v>2806</v>
      </c>
      <c r="AF408" s="81" t="s">
        <v>65</v>
      </c>
      <c r="AG408" s="48"/>
      <c r="AH408" s="48"/>
      <c r="AI408" s="48"/>
      <c r="AJ408" s="48">
        <v>41029</v>
      </c>
      <c r="AK408" s="134">
        <f t="shared" si="45"/>
        <v>4</v>
      </c>
      <c r="AL408" s="54" t="s">
        <v>82</v>
      </c>
      <c r="AM408" s="54"/>
      <c r="AN408" s="65" t="str">
        <f>IF((AM408=""),"",MONTH(AM408))</f>
        <v/>
      </c>
      <c r="AO408" s="190"/>
      <c r="AQ408" s="123"/>
      <c r="AR408" s="23"/>
      <c r="AS408" s="54"/>
      <c r="AT408" s="65"/>
      <c r="AU408" s="70">
        <f t="shared" si="41"/>
        <v>9</v>
      </c>
      <c r="AV408" s="70" t="s">
        <v>68</v>
      </c>
    </row>
    <row r="409" spans="1:48" ht="25.5" hidden="1" x14ac:dyDescent="0.2">
      <c r="A409" s="86">
        <v>20385</v>
      </c>
      <c r="B409" s="3" t="s">
        <v>2807</v>
      </c>
      <c r="C409" s="3" t="s">
        <v>685</v>
      </c>
      <c r="D409" s="86"/>
      <c r="E409" s="36" t="s">
        <v>94</v>
      </c>
      <c r="F409" s="48">
        <v>32836</v>
      </c>
      <c r="G409" s="36"/>
      <c r="H409" s="81" t="s">
        <v>997</v>
      </c>
      <c r="I409" s="36" t="s">
        <v>2808</v>
      </c>
      <c r="J409" s="48">
        <v>38117</v>
      </c>
      <c r="K409" s="36" t="s">
        <v>52</v>
      </c>
      <c r="L409" s="36" t="s">
        <v>318</v>
      </c>
      <c r="M409" s="36" t="s">
        <v>217</v>
      </c>
      <c r="N409" s="36" t="s">
        <v>2681</v>
      </c>
      <c r="O409" s="101"/>
      <c r="P409" s="159" t="s">
        <v>2809</v>
      </c>
      <c r="Q409" s="36"/>
      <c r="R409" s="36" t="s">
        <v>2810</v>
      </c>
      <c r="S409" s="36"/>
      <c r="T409" s="81"/>
      <c r="U409" s="81" t="s">
        <v>2811</v>
      </c>
      <c r="V409" s="36"/>
      <c r="W409" s="36"/>
      <c r="X409" s="36"/>
      <c r="Y409" s="36" t="s">
        <v>284</v>
      </c>
      <c r="Z409" s="81"/>
      <c r="AA409" s="54"/>
      <c r="AB409" s="81" t="s">
        <v>285</v>
      </c>
      <c r="AC409" s="81" t="s">
        <v>236</v>
      </c>
      <c r="AD409" s="36" t="s">
        <v>1166</v>
      </c>
      <c r="AE409" s="81" t="s">
        <v>2812</v>
      </c>
      <c r="AF409" s="81" t="s">
        <v>65</v>
      </c>
      <c r="AG409" s="48"/>
      <c r="AH409" s="48"/>
      <c r="AI409" s="48"/>
      <c r="AJ409" s="48">
        <v>41029</v>
      </c>
      <c r="AK409" s="134">
        <f t="shared" si="45"/>
        <v>4</v>
      </c>
      <c r="AL409" s="54" t="s">
        <v>82</v>
      </c>
      <c r="AM409" s="54"/>
      <c r="AN409" s="54"/>
      <c r="AO409" s="190"/>
      <c r="AP409" s="136"/>
      <c r="AQ409" s="123"/>
      <c r="AR409" s="23"/>
      <c r="AS409" s="54" t="s">
        <v>67</v>
      </c>
      <c r="AT409" s="184"/>
      <c r="AU409" s="70">
        <f t="shared" si="41"/>
        <v>11</v>
      </c>
      <c r="AV409" s="70" t="s">
        <v>68</v>
      </c>
    </row>
    <row r="410" spans="1:48" s="136" customFormat="1" ht="25.5" hidden="1" x14ac:dyDescent="0.2">
      <c r="A410" s="86">
        <v>20386</v>
      </c>
      <c r="B410" s="3" t="s">
        <v>1676</v>
      </c>
      <c r="C410" s="3" t="s">
        <v>2813</v>
      </c>
      <c r="D410" s="86"/>
      <c r="E410" s="36" t="s">
        <v>51</v>
      </c>
      <c r="F410" s="48">
        <v>31506</v>
      </c>
      <c r="G410" s="36" t="s">
        <v>379</v>
      </c>
      <c r="H410" s="81" t="s">
        <v>380</v>
      </c>
      <c r="I410" s="36" t="s">
        <v>2814</v>
      </c>
      <c r="J410" s="48">
        <v>39764</v>
      </c>
      <c r="K410" s="36" t="s">
        <v>379</v>
      </c>
      <c r="L410" s="36" t="s">
        <v>341</v>
      </c>
      <c r="M410" s="36"/>
      <c r="N410" s="36"/>
      <c r="O410" s="101"/>
      <c r="P410" s="81" t="s">
        <v>2815</v>
      </c>
      <c r="Q410" s="36"/>
      <c r="R410" s="36" t="s">
        <v>2816</v>
      </c>
      <c r="S410" s="36"/>
      <c r="T410" s="81" t="s">
        <v>2817</v>
      </c>
      <c r="U410" s="81" t="s">
        <v>2818</v>
      </c>
      <c r="V410" s="36"/>
      <c r="W410" s="36"/>
      <c r="X410" s="36"/>
      <c r="Y410" s="36" t="s">
        <v>284</v>
      </c>
      <c r="Z410" s="81"/>
      <c r="AA410" s="54"/>
      <c r="AB410" s="81" t="s">
        <v>285</v>
      </c>
      <c r="AC410" s="81" t="s">
        <v>236</v>
      </c>
      <c r="AD410" s="36" t="s">
        <v>1067</v>
      </c>
      <c r="AE410" s="81" t="s">
        <v>1118</v>
      </c>
      <c r="AF410" s="81" t="s">
        <v>65</v>
      </c>
      <c r="AG410" s="48">
        <v>40969</v>
      </c>
      <c r="AH410" s="134">
        <f>IF((AG410=""),"",MONTH(AG410))</f>
        <v>3</v>
      </c>
      <c r="AI410" s="134"/>
      <c r="AJ410" s="48">
        <v>41030</v>
      </c>
      <c r="AK410" s="134">
        <f t="shared" si="45"/>
        <v>5</v>
      </c>
      <c r="AL410" s="54" t="s">
        <v>82</v>
      </c>
      <c r="AM410" s="138"/>
      <c r="AN410" s="138"/>
      <c r="AO410" s="190">
        <v>41425</v>
      </c>
      <c r="AP410" s="136">
        <f>IF((AO410=""),"",MONTH(AO410))</f>
        <v>5</v>
      </c>
      <c r="AQ410" s="123"/>
      <c r="AR410" s="23"/>
      <c r="AS410" s="54"/>
      <c r="AT410" s="158"/>
      <c r="AU410" s="70">
        <f t="shared" si="41"/>
        <v>4</v>
      </c>
      <c r="AV410" s="70" t="s">
        <v>68</v>
      </c>
    </row>
    <row r="411" spans="1:48" ht="19.5" hidden="1" customHeight="1" x14ac:dyDescent="0.2">
      <c r="A411" s="86">
        <v>20387</v>
      </c>
      <c r="B411" s="3" t="s">
        <v>2819</v>
      </c>
      <c r="C411" s="3" t="s">
        <v>315</v>
      </c>
      <c r="D411" s="86"/>
      <c r="E411" s="36" t="s">
        <v>94</v>
      </c>
      <c r="F411" s="48">
        <v>32323</v>
      </c>
      <c r="G411" s="36"/>
      <c r="H411" s="81" t="s">
        <v>551</v>
      </c>
      <c r="I411" s="36" t="s">
        <v>2820</v>
      </c>
      <c r="J411" s="48">
        <v>40144</v>
      </c>
      <c r="K411" s="36" t="s">
        <v>551</v>
      </c>
      <c r="L411" s="36" t="s">
        <v>318</v>
      </c>
      <c r="M411" s="36" t="s">
        <v>320</v>
      </c>
      <c r="N411" s="36" t="s">
        <v>320</v>
      </c>
      <c r="O411" s="101"/>
      <c r="P411" s="159" t="s">
        <v>2821</v>
      </c>
      <c r="Q411" s="36"/>
      <c r="R411" s="36" t="s">
        <v>2822</v>
      </c>
      <c r="S411" s="36"/>
      <c r="T411" s="81"/>
      <c r="U411" s="81" t="s">
        <v>2823</v>
      </c>
      <c r="V411" s="36"/>
      <c r="W411" s="36"/>
      <c r="X411" s="36"/>
      <c r="Y411" s="36" t="s">
        <v>284</v>
      </c>
      <c r="Z411" s="81"/>
      <c r="AA411" s="54"/>
      <c r="AB411" s="81" t="s">
        <v>285</v>
      </c>
      <c r="AC411" s="81" t="s">
        <v>236</v>
      </c>
      <c r="AD411" s="36" t="s">
        <v>104</v>
      </c>
      <c r="AE411" s="81"/>
      <c r="AF411" s="81" t="s">
        <v>65</v>
      </c>
      <c r="AG411" s="48">
        <v>40983</v>
      </c>
      <c r="AH411" s="48"/>
      <c r="AI411" s="48"/>
      <c r="AJ411" s="48">
        <v>41044</v>
      </c>
      <c r="AK411" s="134">
        <f t="shared" si="45"/>
        <v>5</v>
      </c>
      <c r="AL411" s="54" t="s">
        <v>82</v>
      </c>
      <c r="AM411" s="54"/>
      <c r="AN411" s="54"/>
      <c r="AO411" s="190"/>
      <c r="AP411" s="136"/>
      <c r="AQ411" s="123"/>
      <c r="AR411" s="23"/>
      <c r="AS411" s="54"/>
      <c r="AT411" s="194"/>
      <c r="AU411" s="70">
        <f t="shared" si="41"/>
        <v>6</v>
      </c>
      <c r="AV411" s="70" t="s">
        <v>68</v>
      </c>
    </row>
    <row r="412" spans="1:48" ht="19.5" hidden="1" customHeight="1" x14ac:dyDescent="0.2">
      <c r="A412" s="86">
        <v>20388</v>
      </c>
      <c r="B412" s="3" t="s">
        <v>2824</v>
      </c>
      <c r="C412" s="3" t="s">
        <v>2825</v>
      </c>
      <c r="D412" s="86"/>
      <c r="E412" s="36" t="s">
        <v>94</v>
      </c>
      <c r="F412" s="48">
        <v>31884</v>
      </c>
      <c r="G412" s="36" t="s">
        <v>2784</v>
      </c>
      <c r="H412" s="81" t="s">
        <v>2785</v>
      </c>
      <c r="I412" s="36" t="s">
        <v>2826</v>
      </c>
      <c r="J412" s="48">
        <v>37838</v>
      </c>
      <c r="K412" s="36" t="s">
        <v>2784</v>
      </c>
      <c r="L412" s="36" t="s">
        <v>123</v>
      </c>
      <c r="M412" s="36" t="s">
        <v>1295</v>
      </c>
      <c r="N412" s="36" t="s">
        <v>368</v>
      </c>
      <c r="O412" s="101"/>
      <c r="P412" s="81" t="s">
        <v>2827</v>
      </c>
      <c r="Q412" s="36"/>
      <c r="R412" s="36" t="s">
        <v>2828</v>
      </c>
      <c r="S412" s="36"/>
      <c r="T412" s="81" t="s">
        <v>2829</v>
      </c>
      <c r="U412" s="81" t="s">
        <v>2830</v>
      </c>
      <c r="V412" s="36"/>
      <c r="W412" s="36"/>
      <c r="X412" s="36"/>
      <c r="Y412" s="36" t="s">
        <v>312</v>
      </c>
      <c r="Z412" s="81"/>
      <c r="AA412" s="81"/>
      <c r="AB412" s="81" t="s">
        <v>285</v>
      </c>
      <c r="AC412" s="81" t="s">
        <v>236</v>
      </c>
      <c r="AD412" s="36" t="s">
        <v>207</v>
      </c>
      <c r="AE412" s="81" t="s">
        <v>1128</v>
      </c>
      <c r="AF412" s="81" t="s">
        <v>65</v>
      </c>
      <c r="AG412" s="48">
        <v>40990</v>
      </c>
      <c r="AH412" s="134">
        <f>IF((AG412=""),"",MONTH(AG412))</f>
        <v>3</v>
      </c>
      <c r="AI412" s="134"/>
      <c r="AJ412" s="48">
        <v>41051</v>
      </c>
      <c r="AK412" s="134">
        <f t="shared" si="45"/>
        <v>5</v>
      </c>
      <c r="AL412" s="81" t="s">
        <v>82</v>
      </c>
      <c r="AM412" s="25"/>
      <c r="AN412" s="25"/>
      <c r="AO412" s="48">
        <v>41698</v>
      </c>
      <c r="AP412" s="134">
        <f>IF((AO412=""),"",MONTH(AO412))</f>
        <v>2</v>
      </c>
      <c r="AQ412" s="36"/>
      <c r="AR412" s="116"/>
      <c r="AS412" s="81" t="s">
        <v>347</v>
      </c>
      <c r="AT412" s="134"/>
      <c r="AU412" s="172">
        <f t="shared" si="41"/>
        <v>4</v>
      </c>
      <c r="AV412" s="172" t="s">
        <v>68</v>
      </c>
    </row>
    <row r="413" spans="1:48" s="136" customFormat="1" ht="25.5" hidden="1" x14ac:dyDescent="0.2">
      <c r="A413" s="86">
        <v>20389</v>
      </c>
      <c r="B413" s="3" t="s">
        <v>2831</v>
      </c>
      <c r="C413" s="3" t="s">
        <v>119</v>
      </c>
      <c r="D413" s="86"/>
      <c r="E413" s="36" t="s">
        <v>94</v>
      </c>
      <c r="F413" s="48">
        <v>31380</v>
      </c>
      <c r="G413" s="36"/>
      <c r="H413" s="81" t="s">
        <v>52</v>
      </c>
      <c r="I413" s="36" t="s">
        <v>2832</v>
      </c>
      <c r="J413" s="48">
        <v>36790</v>
      </c>
      <c r="K413" s="36" t="s">
        <v>52</v>
      </c>
      <c r="L413" s="36" t="s">
        <v>318</v>
      </c>
      <c r="M413" s="36" t="s">
        <v>2833</v>
      </c>
      <c r="N413" s="36" t="s">
        <v>2834</v>
      </c>
      <c r="O413" s="101"/>
      <c r="P413" s="159" t="s">
        <v>2835</v>
      </c>
      <c r="Q413" s="36"/>
      <c r="R413" s="36" t="s">
        <v>2836</v>
      </c>
      <c r="S413" s="36"/>
      <c r="T413" s="81"/>
      <c r="U413" s="81" t="s">
        <v>2837</v>
      </c>
      <c r="V413" s="36"/>
      <c r="W413" s="36"/>
      <c r="X413" s="36"/>
      <c r="Y413" s="36" t="s">
        <v>284</v>
      </c>
      <c r="Z413" s="81"/>
      <c r="AA413" s="54"/>
      <c r="AB413" s="81" t="s">
        <v>285</v>
      </c>
      <c r="AC413" s="81" t="s">
        <v>236</v>
      </c>
      <c r="AD413" s="36" t="s">
        <v>207</v>
      </c>
      <c r="AE413" s="81" t="s">
        <v>585</v>
      </c>
      <c r="AF413" s="81" t="s">
        <v>65</v>
      </c>
      <c r="AG413" s="48"/>
      <c r="AH413" s="48"/>
      <c r="AI413" s="48"/>
      <c r="AJ413" s="48">
        <v>41054</v>
      </c>
      <c r="AK413" s="134">
        <f t="shared" si="45"/>
        <v>5</v>
      </c>
      <c r="AL413" s="54" t="s">
        <v>82</v>
      </c>
      <c r="AM413" s="54"/>
      <c r="AN413" s="54"/>
      <c r="AO413" s="190"/>
      <c r="AQ413" s="123"/>
      <c r="AR413" s="23"/>
      <c r="AS413" s="54" t="s">
        <v>347</v>
      </c>
      <c r="AT413" s="65"/>
      <c r="AU413" s="70">
        <f t="shared" si="41"/>
        <v>11</v>
      </c>
      <c r="AV413" s="70" t="s">
        <v>68</v>
      </c>
    </row>
    <row r="414" spans="1:48" s="136" customFormat="1" ht="19.5" hidden="1" customHeight="1" x14ac:dyDescent="0.2">
      <c r="A414" s="86">
        <v>20390</v>
      </c>
      <c r="B414" s="3" t="s">
        <v>2838</v>
      </c>
      <c r="C414" s="3" t="s">
        <v>93</v>
      </c>
      <c r="D414" s="86"/>
      <c r="E414" s="36" t="s">
        <v>94</v>
      </c>
      <c r="F414" s="48">
        <v>29243</v>
      </c>
      <c r="G414" s="36"/>
      <c r="H414" s="81" t="s">
        <v>954</v>
      </c>
      <c r="I414" s="36" t="s">
        <v>2839</v>
      </c>
      <c r="J414" s="48">
        <v>40764</v>
      </c>
      <c r="K414" s="36" t="s">
        <v>954</v>
      </c>
      <c r="L414" s="36" t="s">
        <v>318</v>
      </c>
      <c r="M414" s="36" t="s">
        <v>2840</v>
      </c>
      <c r="N414" s="36" t="s">
        <v>2841</v>
      </c>
      <c r="O414" s="101"/>
      <c r="P414" s="159" t="s">
        <v>2842</v>
      </c>
      <c r="Q414" s="36"/>
      <c r="R414" s="36" t="s">
        <v>2843</v>
      </c>
      <c r="S414" s="36"/>
      <c r="T414" s="81"/>
      <c r="U414" s="81" t="s">
        <v>2844</v>
      </c>
      <c r="V414" s="36"/>
      <c r="W414" s="36"/>
      <c r="X414" s="36"/>
      <c r="Y414" s="36" t="s">
        <v>616</v>
      </c>
      <c r="Z414" s="81"/>
      <c r="AA414" s="54"/>
      <c r="AB414" s="81" t="s">
        <v>285</v>
      </c>
      <c r="AC414" s="81" t="s">
        <v>236</v>
      </c>
      <c r="AD414" s="36" t="s">
        <v>207</v>
      </c>
      <c r="AE414" s="81" t="s">
        <v>585</v>
      </c>
      <c r="AF414" s="81" t="s">
        <v>65</v>
      </c>
      <c r="AG414" s="48"/>
      <c r="AH414" s="48"/>
      <c r="AI414" s="48"/>
      <c r="AJ414" s="48">
        <v>41054</v>
      </c>
      <c r="AK414" s="134">
        <f t="shared" si="45"/>
        <v>5</v>
      </c>
      <c r="AL414" s="54" t="s">
        <v>82</v>
      </c>
      <c r="AM414" s="54"/>
      <c r="AN414" s="54"/>
      <c r="AO414" s="190"/>
      <c r="AP414" s="136" t="str">
        <f>IF((AO414=""),"",MONTH(AO414))</f>
        <v/>
      </c>
      <c r="AQ414" s="123"/>
      <c r="AR414" s="23"/>
      <c r="AS414" s="54" t="s">
        <v>347</v>
      </c>
      <c r="AT414" s="65"/>
      <c r="AU414" s="70">
        <f t="shared" si="41"/>
        <v>1</v>
      </c>
      <c r="AV414" s="70" t="s">
        <v>68</v>
      </c>
    </row>
    <row r="415" spans="1:48" s="136" customFormat="1" ht="19.5" hidden="1" customHeight="1" x14ac:dyDescent="0.2">
      <c r="A415" s="86">
        <v>20391</v>
      </c>
      <c r="B415" s="3" t="s">
        <v>2845</v>
      </c>
      <c r="C415" s="3" t="s">
        <v>109</v>
      </c>
      <c r="D415" s="86"/>
      <c r="E415" s="36" t="s">
        <v>94</v>
      </c>
      <c r="F415" s="48">
        <v>29813</v>
      </c>
      <c r="G415" s="36"/>
      <c r="H415" s="81" t="s">
        <v>303</v>
      </c>
      <c r="I415" s="36" t="s">
        <v>2846</v>
      </c>
      <c r="J415" s="48">
        <v>40605</v>
      </c>
      <c r="K415" s="36" t="s">
        <v>303</v>
      </c>
      <c r="L415" s="36" t="s">
        <v>318</v>
      </c>
      <c r="M415" s="36" t="s">
        <v>2847</v>
      </c>
      <c r="N415" s="36" t="s">
        <v>2848</v>
      </c>
      <c r="O415" s="101"/>
      <c r="P415" s="159" t="s">
        <v>2849</v>
      </c>
      <c r="Q415" s="36"/>
      <c r="R415" s="36" t="s">
        <v>2850</v>
      </c>
      <c r="S415" s="36"/>
      <c r="T415" s="81"/>
      <c r="U415" s="81" t="s">
        <v>2851</v>
      </c>
      <c r="V415" s="36"/>
      <c r="W415" s="36"/>
      <c r="X415" s="36"/>
      <c r="Y415" s="36" t="s">
        <v>616</v>
      </c>
      <c r="Z415" s="81"/>
      <c r="AA415" s="54"/>
      <c r="AB415" s="81" t="s">
        <v>285</v>
      </c>
      <c r="AC415" s="81" t="s">
        <v>236</v>
      </c>
      <c r="AD415" s="36" t="s">
        <v>207</v>
      </c>
      <c r="AE415" s="81" t="s">
        <v>585</v>
      </c>
      <c r="AF415" s="81" t="s">
        <v>65</v>
      </c>
      <c r="AG415" s="48"/>
      <c r="AH415" s="48"/>
      <c r="AI415" s="48"/>
      <c r="AJ415" s="48">
        <v>41054</v>
      </c>
      <c r="AK415" s="134">
        <f t="shared" si="45"/>
        <v>5</v>
      </c>
      <c r="AL415" s="54" t="s">
        <v>82</v>
      </c>
      <c r="AM415" s="54"/>
      <c r="AN415" s="54"/>
      <c r="AO415" s="190"/>
      <c r="AQ415" s="123"/>
      <c r="AR415" s="23"/>
      <c r="AS415" s="54" t="s">
        <v>347</v>
      </c>
      <c r="AT415" s="65"/>
      <c r="AU415" s="70">
        <f t="shared" si="41"/>
        <v>8</v>
      </c>
      <c r="AV415" s="70" t="s">
        <v>68</v>
      </c>
    </row>
    <row r="416" spans="1:48" s="136" customFormat="1" ht="25.5" hidden="1" x14ac:dyDescent="0.2">
      <c r="A416" s="86">
        <v>20392</v>
      </c>
      <c r="B416" s="3" t="s">
        <v>2852</v>
      </c>
      <c r="C416" s="3" t="s">
        <v>2853</v>
      </c>
      <c r="D416" s="86"/>
      <c r="E416" s="36" t="s">
        <v>51</v>
      </c>
      <c r="F416" s="48">
        <v>32747</v>
      </c>
      <c r="G416" s="36"/>
      <c r="H416" s="81" t="s">
        <v>52</v>
      </c>
      <c r="I416" s="36" t="s">
        <v>2854</v>
      </c>
      <c r="J416" s="48">
        <v>40689</v>
      </c>
      <c r="K416" s="36" t="s">
        <v>52</v>
      </c>
      <c r="L416" s="36" t="s">
        <v>318</v>
      </c>
      <c r="M416" s="36" t="s">
        <v>2855</v>
      </c>
      <c r="N416" s="36" t="s">
        <v>2126</v>
      </c>
      <c r="O416" s="101"/>
      <c r="P416" s="159" t="s">
        <v>2856</v>
      </c>
      <c r="Q416" s="36"/>
      <c r="R416" s="36" t="s">
        <v>2857</v>
      </c>
      <c r="S416" s="36"/>
      <c r="T416" s="81"/>
      <c r="U416" s="81" t="s">
        <v>2858</v>
      </c>
      <c r="V416" s="36"/>
      <c r="W416" s="36"/>
      <c r="X416" s="36"/>
      <c r="Y416" s="36" t="s">
        <v>294</v>
      </c>
      <c r="Z416" s="81"/>
      <c r="AA416" s="54"/>
      <c r="AB416" s="81" t="s">
        <v>285</v>
      </c>
      <c r="AC416" s="81" t="s">
        <v>236</v>
      </c>
      <c r="AD416" s="36" t="s">
        <v>1067</v>
      </c>
      <c r="AE416" s="81" t="s">
        <v>1118</v>
      </c>
      <c r="AF416" s="81" t="s">
        <v>65</v>
      </c>
      <c r="AG416" s="48"/>
      <c r="AH416" s="48"/>
      <c r="AI416" s="48"/>
      <c r="AJ416" s="48">
        <v>41029</v>
      </c>
      <c r="AK416" s="134">
        <f t="shared" si="45"/>
        <v>4</v>
      </c>
      <c r="AL416" s="54" t="s">
        <v>82</v>
      </c>
      <c r="AM416" s="54"/>
      <c r="AN416" s="54"/>
      <c r="AO416" s="190"/>
      <c r="AQ416" s="123"/>
      <c r="AR416" s="23"/>
      <c r="AS416" s="54"/>
      <c r="AT416" s="65"/>
      <c r="AU416" s="70">
        <f t="shared" si="41"/>
        <v>8</v>
      </c>
      <c r="AV416" s="70" t="s">
        <v>68</v>
      </c>
    </row>
    <row r="417" spans="1:48" s="136" customFormat="1" ht="38.25" hidden="1" x14ac:dyDescent="0.2">
      <c r="A417" s="86">
        <v>20393</v>
      </c>
      <c r="B417" s="3" t="s">
        <v>2859</v>
      </c>
      <c r="C417" s="3" t="s">
        <v>1102</v>
      </c>
      <c r="D417" s="86"/>
      <c r="E417" s="36" t="s">
        <v>51</v>
      </c>
      <c r="F417" s="48"/>
      <c r="G417" s="36"/>
      <c r="H417" s="81" t="s">
        <v>1829</v>
      </c>
      <c r="I417" s="36" t="s">
        <v>2860</v>
      </c>
      <c r="J417" s="48">
        <v>40402</v>
      </c>
      <c r="K417" s="36" t="s">
        <v>1829</v>
      </c>
      <c r="L417" s="36" t="s">
        <v>826</v>
      </c>
      <c r="M417" s="36" t="s">
        <v>2861</v>
      </c>
      <c r="N417" s="36" t="s">
        <v>2772</v>
      </c>
      <c r="O417" s="101"/>
      <c r="P417" s="159" t="s">
        <v>2862</v>
      </c>
      <c r="Q417" s="36"/>
      <c r="R417" s="36" t="s">
        <v>2863</v>
      </c>
      <c r="S417" s="36"/>
      <c r="T417" s="81"/>
      <c r="U417" s="81" t="s">
        <v>2864</v>
      </c>
      <c r="V417" s="36"/>
      <c r="W417" s="36"/>
      <c r="X417" s="36"/>
      <c r="Y417" s="36" t="s">
        <v>284</v>
      </c>
      <c r="Z417" s="81"/>
      <c r="AA417" s="54"/>
      <c r="AB417" s="81" t="s">
        <v>285</v>
      </c>
      <c r="AC417" s="81" t="s">
        <v>236</v>
      </c>
      <c r="AD417" s="36" t="s">
        <v>230</v>
      </c>
      <c r="AE417" s="81"/>
      <c r="AF417" s="81" t="s">
        <v>231</v>
      </c>
      <c r="AG417" s="48"/>
      <c r="AH417" s="48"/>
      <c r="AI417" s="48"/>
      <c r="AJ417" s="48">
        <v>41054</v>
      </c>
      <c r="AK417" s="134">
        <f t="shared" si="45"/>
        <v>5</v>
      </c>
      <c r="AL417" s="54" t="s">
        <v>82</v>
      </c>
      <c r="AM417" s="54"/>
      <c r="AN417" s="54"/>
      <c r="AO417" s="190"/>
      <c r="AQ417" s="123"/>
      <c r="AR417" s="23"/>
      <c r="AS417" s="54"/>
      <c r="AT417" s="65"/>
      <c r="AU417" s="70" t="str">
        <f t="shared" si="41"/>
        <v/>
      </c>
      <c r="AV417" s="70" t="s">
        <v>68</v>
      </c>
    </row>
    <row r="418" spans="1:48" s="136" customFormat="1" ht="19.5" hidden="1" customHeight="1" x14ac:dyDescent="0.2">
      <c r="A418" s="86">
        <v>20394</v>
      </c>
      <c r="B418" s="3" t="s">
        <v>1651</v>
      </c>
      <c r="C418" s="3" t="s">
        <v>70</v>
      </c>
      <c r="D418" s="86"/>
      <c r="E418" s="36" t="s">
        <v>94</v>
      </c>
      <c r="F418" s="48">
        <v>31586</v>
      </c>
      <c r="G418" s="36" t="s">
        <v>365</v>
      </c>
      <c r="H418" s="81" t="s">
        <v>366</v>
      </c>
      <c r="I418" s="36" t="s">
        <v>2865</v>
      </c>
      <c r="J418" s="48">
        <v>38435</v>
      </c>
      <c r="K418" s="36" t="s">
        <v>365</v>
      </c>
      <c r="L418" s="36" t="s">
        <v>341</v>
      </c>
      <c r="M418" s="36"/>
      <c r="N418" s="36"/>
      <c r="O418" s="101"/>
      <c r="P418" s="81" t="s">
        <v>2866</v>
      </c>
      <c r="Q418" s="36"/>
      <c r="R418" s="36" t="s">
        <v>2867</v>
      </c>
      <c r="S418" s="36"/>
      <c r="T418" s="81" t="s">
        <v>2868</v>
      </c>
      <c r="U418" s="81" t="s">
        <v>2869</v>
      </c>
      <c r="V418" s="36"/>
      <c r="W418" s="36"/>
      <c r="X418" s="36"/>
      <c r="Y418" s="36" t="s">
        <v>616</v>
      </c>
      <c r="Z418" s="81"/>
      <c r="AA418" s="54"/>
      <c r="AB418" s="81" t="s">
        <v>285</v>
      </c>
      <c r="AC418" s="81" t="s">
        <v>236</v>
      </c>
      <c r="AD418" s="36" t="s">
        <v>230</v>
      </c>
      <c r="AE418" s="81"/>
      <c r="AF418" s="81" t="s">
        <v>65</v>
      </c>
      <c r="AG418" s="48"/>
      <c r="AH418" s="134" t="str">
        <f>IF((AG418=""),"",MONTH(AG418))</f>
        <v/>
      </c>
      <c r="AI418" s="134"/>
      <c r="AJ418" s="48">
        <v>41009</v>
      </c>
      <c r="AK418" s="134">
        <f t="shared" si="45"/>
        <v>4</v>
      </c>
      <c r="AL418" s="94" t="s">
        <v>82</v>
      </c>
      <c r="AM418" s="78"/>
      <c r="AN418" s="78"/>
      <c r="AO418" s="190"/>
      <c r="AP418" s="136" t="str">
        <f>IF((AO418=""),"",MONTH(AO418))</f>
        <v/>
      </c>
      <c r="AQ418" s="127"/>
      <c r="AR418" s="23"/>
      <c r="AS418" s="94"/>
      <c r="AT418" s="23"/>
      <c r="AU418" s="70">
        <f t="shared" si="41"/>
        <v>6</v>
      </c>
      <c r="AV418" s="70" t="s">
        <v>68</v>
      </c>
    </row>
    <row r="419" spans="1:48" s="136" customFormat="1" ht="25.5" hidden="1" x14ac:dyDescent="0.2">
      <c r="A419" s="86">
        <v>20395</v>
      </c>
      <c r="B419" s="3" t="s">
        <v>2870</v>
      </c>
      <c r="C419" s="3" t="s">
        <v>1428</v>
      </c>
      <c r="D419" s="86"/>
      <c r="E419" s="36" t="s">
        <v>94</v>
      </c>
      <c r="F419" s="48">
        <v>30207</v>
      </c>
      <c r="G419" s="36"/>
      <c r="H419" s="81" t="s">
        <v>231</v>
      </c>
      <c r="I419" s="36" t="s">
        <v>2871</v>
      </c>
      <c r="J419" s="48">
        <v>36326</v>
      </c>
      <c r="K419" s="36" t="s">
        <v>231</v>
      </c>
      <c r="L419" s="36" t="s">
        <v>318</v>
      </c>
      <c r="M419" s="36" t="s">
        <v>2872</v>
      </c>
      <c r="N419" s="36" t="s">
        <v>2873</v>
      </c>
      <c r="O419" s="101"/>
      <c r="P419" s="159" t="s">
        <v>2874</v>
      </c>
      <c r="Q419" s="36"/>
      <c r="R419" s="36" t="s">
        <v>2875</v>
      </c>
      <c r="S419" s="36"/>
      <c r="T419" s="81"/>
      <c r="U419" s="81" t="s">
        <v>2876</v>
      </c>
      <c r="V419" s="36"/>
      <c r="W419" s="36"/>
      <c r="X419" s="36"/>
      <c r="Y419" s="36" t="s">
        <v>284</v>
      </c>
      <c r="Z419" s="81"/>
      <c r="AA419" s="54"/>
      <c r="AB419" s="81" t="s">
        <v>285</v>
      </c>
      <c r="AC419" s="81" t="s">
        <v>236</v>
      </c>
      <c r="AD419" s="36" t="s">
        <v>230</v>
      </c>
      <c r="AE419" s="81" t="s">
        <v>1192</v>
      </c>
      <c r="AF419" s="81" t="s">
        <v>231</v>
      </c>
      <c r="AG419" s="48"/>
      <c r="AH419" s="48"/>
      <c r="AI419" s="48"/>
      <c r="AJ419" s="48">
        <v>41060</v>
      </c>
      <c r="AK419" s="134">
        <f t="shared" si="45"/>
        <v>5</v>
      </c>
      <c r="AL419" s="54" t="s">
        <v>82</v>
      </c>
      <c r="AM419" s="54"/>
      <c r="AN419" s="54"/>
      <c r="AO419" s="190"/>
      <c r="AQ419" s="123"/>
      <c r="AR419" s="23"/>
      <c r="AS419" s="54"/>
      <c r="AT419" s="65"/>
      <c r="AU419" s="70">
        <f t="shared" ref="AU419:AU432" si="48">IF((F419=""),"",MONTH(F419))</f>
        <v>9</v>
      </c>
      <c r="AV419" s="70" t="s">
        <v>68</v>
      </c>
    </row>
    <row r="420" spans="1:48" ht="12.75" hidden="1" x14ac:dyDescent="0.2">
      <c r="A420" s="86">
        <v>20396</v>
      </c>
      <c r="B420" s="3" t="s">
        <v>1129</v>
      </c>
      <c r="C420" s="3" t="s">
        <v>2877</v>
      </c>
      <c r="D420" s="86"/>
      <c r="E420" s="36" t="s">
        <v>94</v>
      </c>
      <c r="F420" s="48">
        <v>30630</v>
      </c>
      <c r="G420" s="36" t="s">
        <v>412</v>
      </c>
      <c r="H420" s="81" t="s">
        <v>413</v>
      </c>
      <c r="I420" s="36" t="s">
        <v>2878</v>
      </c>
      <c r="J420" s="48">
        <v>37272</v>
      </c>
      <c r="K420" s="36" t="s">
        <v>412</v>
      </c>
      <c r="L420" s="36" t="s">
        <v>123</v>
      </c>
      <c r="M420" s="36" t="s">
        <v>124</v>
      </c>
      <c r="N420" s="36" t="s">
        <v>2126</v>
      </c>
      <c r="O420" s="101"/>
      <c r="P420" s="81" t="s">
        <v>2879</v>
      </c>
      <c r="Q420" s="36"/>
      <c r="R420" s="36" t="s">
        <v>2880</v>
      </c>
      <c r="S420" s="36"/>
      <c r="T420" s="81" t="s">
        <v>2881</v>
      </c>
      <c r="U420" s="81" t="s">
        <v>0</v>
      </c>
      <c r="V420" s="36"/>
      <c r="W420" s="36"/>
      <c r="X420" s="36"/>
      <c r="Y420" s="36" t="s">
        <v>284</v>
      </c>
      <c r="Z420" s="81"/>
      <c r="AA420" s="54"/>
      <c r="AB420" s="81" t="s">
        <v>285</v>
      </c>
      <c r="AC420" s="81" t="s">
        <v>236</v>
      </c>
      <c r="AD420" s="123" t="s">
        <v>375</v>
      </c>
      <c r="AE420" s="81" t="s">
        <v>1525</v>
      </c>
      <c r="AF420" s="81" t="s">
        <v>65</v>
      </c>
      <c r="AG420" s="48">
        <v>41002</v>
      </c>
      <c r="AH420" s="134">
        <f>IF((AG420=""),"",MONTH(AG420))</f>
        <v>4</v>
      </c>
      <c r="AI420" s="134"/>
      <c r="AJ420" s="48">
        <v>41061</v>
      </c>
      <c r="AK420" s="134">
        <f t="shared" si="45"/>
        <v>6</v>
      </c>
      <c r="AL420" s="54" t="s">
        <v>82</v>
      </c>
      <c r="AM420" s="138"/>
      <c r="AN420" s="138"/>
      <c r="AO420" s="190">
        <v>41306</v>
      </c>
      <c r="AP420" s="136">
        <f>IF((AO420=""),"",MONTH(AO420))</f>
        <v>2</v>
      </c>
      <c r="AQ420" s="123"/>
      <c r="AR420" s="23"/>
      <c r="AS420" s="54" t="s">
        <v>107</v>
      </c>
      <c r="AT420" s="136"/>
      <c r="AU420" s="70">
        <f t="shared" si="48"/>
        <v>11</v>
      </c>
      <c r="AV420" s="70" t="s">
        <v>68</v>
      </c>
    </row>
    <row r="421" spans="1:48" ht="25.5" hidden="1" x14ac:dyDescent="0.2">
      <c r="A421" s="87">
        <v>20397</v>
      </c>
      <c r="B421" s="80" t="s">
        <v>2882</v>
      </c>
      <c r="C421" s="80" t="s">
        <v>1736</v>
      </c>
      <c r="D421" s="87"/>
      <c r="E421" s="123" t="s">
        <v>51</v>
      </c>
      <c r="F421" s="140">
        <v>31975</v>
      </c>
      <c r="G421" s="123" t="s">
        <v>52</v>
      </c>
      <c r="H421" s="54" t="s">
        <v>53</v>
      </c>
      <c r="I421" s="123" t="s">
        <v>2883</v>
      </c>
      <c r="J421" s="140">
        <v>38553</v>
      </c>
      <c r="K421" s="123" t="s">
        <v>52</v>
      </c>
      <c r="L421" s="123" t="s">
        <v>123</v>
      </c>
      <c r="M421" s="123" t="s">
        <v>2884</v>
      </c>
      <c r="N421" s="123" t="s">
        <v>276</v>
      </c>
      <c r="O421" s="106"/>
      <c r="P421" s="54" t="s">
        <v>2885</v>
      </c>
      <c r="Q421" s="123" t="s">
        <v>2886</v>
      </c>
      <c r="R421" s="123" t="s">
        <v>2887</v>
      </c>
      <c r="S421" s="123"/>
      <c r="T421" s="54" t="s">
        <v>2888</v>
      </c>
      <c r="U421" s="54" t="s">
        <v>2888</v>
      </c>
      <c r="V421" s="123"/>
      <c r="W421" s="123"/>
      <c r="X421" s="123"/>
      <c r="Y421" s="123" t="s">
        <v>360</v>
      </c>
      <c r="Z421" s="54"/>
      <c r="AA421" s="54"/>
      <c r="AB421" s="54">
        <v>2</v>
      </c>
      <c r="AC421" s="54" t="s">
        <v>362</v>
      </c>
      <c r="AD421" s="123" t="s">
        <v>104</v>
      </c>
      <c r="AE421" s="54"/>
      <c r="AF421" s="54" t="s">
        <v>65</v>
      </c>
      <c r="AG421" s="140"/>
      <c r="AH421" s="65" t="str">
        <f>IF((AG421=""),"",MONTH(AG421))</f>
        <v/>
      </c>
      <c r="AI421" s="65"/>
      <c r="AJ421" s="140">
        <v>41526</v>
      </c>
      <c r="AK421" s="65">
        <f t="shared" si="45"/>
        <v>9</v>
      </c>
      <c r="AL421" s="54" t="s">
        <v>66</v>
      </c>
      <c r="AM421" s="138"/>
      <c r="AN421" s="138"/>
      <c r="AO421" s="190"/>
      <c r="AP421" s="136" t="str">
        <f>IF((AO421=""),"",MONTH(AO421))</f>
        <v/>
      </c>
      <c r="AQ421" s="123"/>
      <c r="AR421" s="23"/>
      <c r="AS421" s="54" t="s">
        <v>107</v>
      </c>
      <c r="AT421" s="136"/>
      <c r="AU421" s="70">
        <f t="shared" si="48"/>
        <v>7</v>
      </c>
      <c r="AV421" s="70" t="s">
        <v>68</v>
      </c>
    </row>
    <row r="422" spans="1:48" s="136" customFormat="1" ht="19.5" hidden="1" customHeight="1" x14ac:dyDescent="0.2">
      <c r="A422" s="86">
        <v>20398</v>
      </c>
      <c r="B422" s="3" t="s">
        <v>2889</v>
      </c>
      <c r="C422" s="3" t="s">
        <v>514</v>
      </c>
      <c r="D422" s="86"/>
      <c r="E422" s="36" t="s">
        <v>51</v>
      </c>
      <c r="F422" s="48">
        <v>31870</v>
      </c>
      <c r="G422" s="36"/>
      <c r="H422" s="81" t="s">
        <v>303</v>
      </c>
      <c r="I422" s="36" t="s">
        <v>2890</v>
      </c>
      <c r="J422" s="48">
        <v>40371</v>
      </c>
      <c r="K422" s="36" t="s">
        <v>303</v>
      </c>
      <c r="L422" s="36" t="s">
        <v>318</v>
      </c>
      <c r="M422" s="36" t="s">
        <v>2891</v>
      </c>
      <c r="N422" s="36" t="s">
        <v>2772</v>
      </c>
      <c r="O422" s="101"/>
      <c r="P422" s="159" t="s">
        <v>2892</v>
      </c>
      <c r="Q422" s="36"/>
      <c r="R422" s="36" t="s">
        <v>2893</v>
      </c>
      <c r="S422" s="36"/>
      <c r="T422" s="81"/>
      <c r="U422" s="81" t="s">
        <v>2894</v>
      </c>
      <c r="V422" s="36"/>
      <c r="W422" s="36"/>
      <c r="X422" s="36"/>
      <c r="Y422" s="36" t="s">
        <v>284</v>
      </c>
      <c r="Z422" s="81"/>
      <c r="AA422" s="54"/>
      <c r="AB422" s="81" t="s">
        <v>285</v>
      </c>
      <c r="AC422" s="81" t="s">
        <v>236</v>
      </c>
      <c r="AD422" s="36" t="s">
        <v>1067</v>
      </c>
      <c r="AE422" s="81" t="s">
        <v>1118</v>
      </c>
      <c r="AF422" s="81" t="s">
        <v>65</v>
      </c>
      <c r="AG422" s="48"/>
      <c r="AH422" s="48"/>
      <c r="AI422" s="48"/>
      <c r="AJ422" s="48">
        <v>41060</v>
      </c>
      <c r="AK422" s="134">
        <f t="shared" si="45"/>
        <v>5</v>
      </c>
      <c r="AL422" s="54" t="s">
        <v>82</v>
      </c>
      <c r="AM422" s="54"/>
      <c r="AN422" s="54"/>
      <c r="AO422" s="190"/>
      <c r="AQ422" s="123"/>
      <c r="AR422" s="23"/>
      <c r="AS422" s="54"/>
      <c r="AT422" s="65"/>
      <c r="AU422" s="70">
        <f t="shared" si="48"/>
        <v>4</v>
      </c>
      <c r="AV422" s="70" t="s">
        <v>68</v>
      </c>
    </row>
    <row r="423" spans="1:48" ht="25.5" hidden="1" x14ac:dyDescent="0.2">
      <c r="A423" s="86">
        <v>20399</v>
      </c>
      <c r="B423" s="3" t="s">
        <v>2895</v>
      </c>
      <c r="C423" s="3" t="s">
        <v>150</v>
      </c>
      <c r="D423" s="86"/>
      <c r="E423" s="36" t="s">
        <v>51</v>
      </c>
      <c r="F423" s="48">
        <v>32935</v>
      </c>
      <c r="G423" s="36" t="s">
        <v>52</v>
      </c>
      <c r="H423" s="81" t="s">
        <v>53</v>
      </c>
      <c r="I423" s="36" t="s">
        <v>2896</v>
      </c>
      <c r="J423" s="48">
        <v>40271</v>
      </c>
      <c r="K423" s="36" t="s">
        <v>52</v>
      </c>
      <c r="L423" s="36" t="s">
        <v>341</v>
      </c>
      <c r="M423" s="36" t="s">
        <v>124</v>
      </c>
      <c r="N423" s="36" t="s">
        <v>2897</v>
      </c>
      <c r="O423" s="101"/>
      <c r="P423" s="81" t="s">
        <v>2898</v>
      </c>
      <c r="Q423" s="36" t="s">
        <v>2899</v>
      </c>
      <c r="R423" s="36" t="s">
        <v>2900</v>
      </c>
      <c r="S423" s="36"/>
      <c r="T423" s="81" t="s">
        <v>2901</v>
      </c>
      <c r="U423" s="81" t="s">
        <v>2902</v>
      </c>
      <c r="V423" s="36"/>
      <c r="W423" s="36"/>
      <c r="X423" s="36"/>
      <c r="Y423" s="36" t="s">
        <v>284</v>
      </c>
      <c r="Z423" s="81"/>
      <c r="AA423" s="54"/>
      <c r="AB423" s="81" t="s">
        <v>285</v>
      </c>
      <c r="AC423" s="81" t="s">
        <v>236</v>
      </c>
      <c r="AD423" s="36" t="s">
        <v>629</v>
      </c>
      <c r="AE423" s="81"/>
      <c r="AF423" s="81" t="s">
        <v>65</v>
      </c>
      <c r="AG423" s="48"/>
      <c r="AH423" s="134" t="str">
        <f>IF((AG423=""),"",MONTH(AG423))</f>
        <v/>
      </c>
      <c r="AI423" s="134"/>
      <c r="AJ423" s="48"/>
      <c r="AK423" s="134" t="str">
        <f t="shared" si="45"/>
        <v/>
      </c>
      <c r="AL423" s="94" t="s">
        <v>82</v>
      </c>
      <c r="AM423" s="78"/>
      <c r="AN423" s="78"/>
      <c r="AO423" s="190"/>
      <c r="AP423" s="136" t="str">
        <f>IF((AO423=""),"",MONTH(AO423))</f>
        <v/>
      </c>
      <c r="AQ423" s="127"/>
      <c r="AR423" s="23"/>
      <c r="AS423" s="94"/>
      <c r="AT423" s="136"/>
      <c r="AU423" s="70">
        <f t="shared" si="48"/>
        <v>3</v>
      </c>
      <c r="AV423" s="70" t="s">
        <v>68</v>
      </c>
    </row>
    <row r="424" spans="1:48" ht="19.5" hidden="1" customHeight="1" x14ac:dyDescent="0.2">
      <c r="A424" s="86">
        <v>20400</v>
      </c>
      <c r="B424" s="3" t="s">
        <v>705</v>
      </c>
      <c r="C424" s="3" t="s">
        <v>706</v>
      </c>
      <c r="D424" s="86"/>
      <c r="E424" s="36" t="s">
        <v>94</v>
      </c>
      <c r="F424" s="48">
        <v>32017</v>
      </c>
      <c r="G424" s="36" t="s">
        <v>231</v>
      </c>
      <c r="H424" s="81" t="s">
        <v>239</v>
      </c>
      <c r="I424" s="36" t="s">
        <v>2903</v>
      </c>
      <c r="J424" s="48">
        <v>38040</v>
      </c>
      <c r="K424" s="36" t="s">
        <v>231</v>
      </c>
      <c r="L424" s="36" t="s">
        <v>123</v>
      </c>
      <c r="M424" s="36" t="s">
        <v>498</v>
      </c>
      <c r="N424" s="36" t="s">
        <v>1196</v>
      </c>
      <c r="O424" s="101"/>
      <c r="P424" s="81" t="s">
        <v>2904</v>
      </c>
      <c r="Q424" s="36" t="s">
        <v>2905</v>
      </c>
      <c r="R424" s="36" t="s">
        <v>2906</v>
      </c>
      <c r="S424" s="36"/>
      <c r="T424" s="81" t="s">
        <v>2907</v>
      </c>
      <c r="U424" s="81" t="s">
        <v>2907</v>
      </c>
      <c r="V424" s="36"/>
      <c r="W424" s="36"/>
      <c r="X424" s="36"/>
      <c r="Y424" s="36" t="s">
        <v>284</v>
      </c>
      <c r="Z424" s="81"/>
      <c r="AA424" s="54"/>
      <c r="AB424" s="81" t="s">
        <v>285</v>
      </c>
      <c r="AC424" s="81" t="s">
        <v>236</v>
      </c>
      <c r="AD424" s="36" t="s">
        <v>1145</v>
      </c>
      <c r="AE424" s="81" t="s">
        <v>1146</v>
      </c>
      <c r="AF424" s="81" t="s">
        <v>231</v>
      </c>
      <c r="AG424" s="48">
        <v>41001</v>
      </c>
      <c r="AH424" s="134">
        <f>IF((AG424=""),"",MONTH(AG424))</f>
        <v>4</v>
      </c>
      <c r="AI424" s="134"/>
      <c r="AJ424" s="48">
        <v>41061</v>
      </c>
      <c r="AK424" s="134">
        <f t="shared" si="45"/>
        <v>6</v>
      </c>
      <c r="AL424" s="94" t="s">
        <v>82</v>
      </c>
      <c r="AM424" s="78"/>
      <c r="AN424" s="78"/>
      <c r="AO424" s="190">
        <v>41378</v>
      </c>
      <c r="AP424" s="136">
        <f>IF((AO424=""),"",MONTH(AO424))</f>
        <v>4</v>
      </c>
      <c r="AQ424" s="127"/>
      <c r="AR424" s="23"/>
      <c r="AS424" s="94"/>
      <c r="AT424" s="136"/>
      <c r="AU424" s="70">
        <f t="shared" si="48"/>
        <v>8</v>
      </c>
      <c r="AV424" s="70" t="s">
        <v>68</v>
      </c>
    </row>
    <row r="425" spans="1:48" s="136" customFormat="1" ht="12.75" hidden="1" x14ac:dyDescent="0.2">
      <c r="A425" s="86">
        <v>20401</v>
      </c>
      <c r="B425" s="3" t="s">
        <v>2656</v>
      </c>
      <c r="C425" s="3" t="s">
        <v>607</v>
      </c>
      <c r="D425" s="86"/>
      <c r="E425" s="36" t="s">
        <v>94</v>
      </c>
      <c r="F425" s="48">
        <v>32546</v>
      </c>
      <c r="G425" s="36" t="s">
        <v>161</v>
      </c>
      <c r="H425" s="81" t="s">
        <v>162</v>
      </c>
      <c r="I425" s="36" t="s">
        <v>2908</v>
      </c>
      <c r="J425" s="48">
        <v>38827</v>
      </c>
      <c r="K425" s="36" t="s">
        <v>161</v>
      </c>
      <c r="L425" s="36" t="s">
        <v>123</v>
      </c>
      <c r="M425" s="36" t="s">
        <v>578</v>
      </c>
      <c r="N425" s="36" t="s">
        <v>786</v>
      </c>
      <c r="O425" s="101"/>
      <c r="P425" s="81" t="s">
        <v>2909</v>
      </c>
      <c r="Q425" s="36"/>
      <c r="R425" s="36" t="s">
        <v>2910</v>
      </c>
      <c r="S425" s="36"/>
      <c r="T425" s="81" t="s">
        <v>2911</v>
      </c>
      <c r="U425" s="81" t="s">
        <v>0</v>
      </c>
      <c r="V425" s="36"/>
      <c r="W425" s="36"/>
      <c r="X425" s="36"/>
      <c r="Y425" s="36" t="s">
        <v>284</v>
      </c>
      <c r="Z425" s="81"/>
      <c r="AA425" s="54"/>
      <c r="AB425" s="81" t="s">
        <v>285</v>
      </c>
      <c r="AC425" s="81" t="s">
        <v>236</v>
      </c>
      <c r="AD425" s="36" t="s">
        <v>207</v>
      </c>
      <c r="AE425" s="81"/>
      <c r="AF425" s="81" t="s">
        <v>65</v>
      </c>
      <c r="AG425" s="48"/>
      <c r="AH425" s="134" t="str">
        <f>IF((AG425=""),"",MONTH(AG425))</f>
        <v/>
      </c>
      <c r="AI425" s="134"/>
      <c r="AJ425" s="48"/>
      <c r="AK425" s="134" t="str">
        <f t="shared" si="45"/>
        <v/>
      </c>
      <c r="AL425" s="94" t="s">
        <v>82</v>
      </c>
      <c r="AM425" s="78"/>
      <c r="AN425" s="78"/>
      <c r="AO425" s="190"/>
      <c r="AP425" s="136" t="str">
        <f>IF((AO425=""),"",MONTH(AO425))</f>
        <v/>
      </c>
      <c r="AQ425" s="127"/>
      <c r="AR425" s="23"/>
      <c r="AS425" s="94"/>
      <c r="AT425" s="184"/>
      <c r="AU425" s="70">
        <f t="shared" si="48"/>
        <v>2</v>
      </c>
      <c r="AV425" s="70" t="s">
        <v>68</v>
      </c>
    </row>
    <row r="426" spans="1:48" s="136" customFormat="1" ht="25.5" x14ac:dyDescent="0.2">
      <c r="A426" s="87">
        <v>20402</v>
      </c>
      <c r="B426" s="80" t="s">
        <v>2912</v>
      </c>
      <c r="C426" s="80" t="s">
        <v>1094</v>
      </c>
      <c r="D426" s="87"/>
      <c r="E426" s="123" t="s">
        <v>94</v>
      </c>
      <c r="F426" s="140">
        <v>31087</v>
      </c>
      <c r="G426" s="123" t="s">
        <v>726</v>
      </c>
      <c r="H426" s="54" t="s">
        <v>727</v>
      </c>
      <c r="I426" s="123" t="s">
        <v>2913</v>
      </c>
      <c r="J426" s="140">
        <v>37488</v>
      </c>
      <c r="K426" s="123" t="s">
        <v>726</v>
      </c>
      <c r="L426" s="123" t="s">
        <v>123</v>
      </c>
      <c r="M426" s="123" t="s">
        <v>2914</v>
      </c>
      <c r="N426" s="123" t="s">
        <v>368</v>
      </c>
      <c r="O426" s="106"/>
      <c r="P426" s="54" t="s">
        <v>2915</v>
      </c>
      <c r="Q426" s="123"/>
      <c r="R426" s="123" t="s">
        <v>2916</v>
      </c>
      <c r="S426" s="123"/>
      <c r="T426" s="54" t="s">
        <v>2917</v>
      </c>
      <c r="U426" s="54" t="s">
        <v>2918</v>
      </c>
      <c r="V426" s="123"/>
      <c r="W426" s="123"/>
      <c r="X426" s="123"/>
      <c r="Y426" s="123" t="s">
        <v>972</v>
      </c>
      <c r="Z426" s="54"/>
      <c r="AA426" s="54"/>
      <c r="AB426" s="54" t="s">
        <v>285</v>
      </c>
      <c r="AC426" s="54" t="s">
        <v>236</v>
      </c>
      <c r="AD426" s="123" t="s">
        <v>404</v>
      </c>
      <c r="AE426" s="54" t="s">
        <v>700</v>
      </c>
      <c r="AF426" s="54" t="s">
        <v>65</v>
      </c>
      <c r="AG426" s="140">
        <v>41003</v>
      </c>
      <c r="AH426" s="65">
        <f>IF((AG426=""),"",MONTH(AG426))</f>
        <v>4</v>
      </c>
      <c r="AI426" s="65"/>
      <c r="AJ426" s="140">
        <v>41061</v>
      </c>
      <c r="AK426" s="65">
        <f t="shared" si="45"/>
        <v>6</v>
      </c>
      <c r="AL426" s="54" t="s">
        <v>66</v>
      </c>
      <c r="AM426" s="138"/>
      <c r="AN426" s="138"/>
      <c r="AO426" s="190"/>
      <c r="AP426" s="136" t="str">
        <f>IF((AO426=""),"",MONTH(AO426))</f>
        <v/>
      </c>
      <c r="AQ426" s="123"/>
      <c r="AR426" s="23"/>
      <c r="AS426" s="54" t="s">
        <v>347</v>
      </c>
      <c r="AT426" s="158"/>
      <c r="AU426" s="70">
        <f t="shared" si="48"/>
        <v>2</v>
      </c>
      <c r="AV426" s="70" t="s">
        <v>68</v>
      </c>
    </row>
    <row r="427" spans="1:48" ht="25.5" hidden="1" x14ac:dyDescent="0.2">
      <c r="A427" s="86">
        <v>20403</v>
      </c>
      <c r="B427" s="3" t="s">
        <v>2919</v>
      </c>
      <c r="C427" s="3" t="s">
        <v>920</v>
      </c>
      <c r="D427" s="86"/>
      <c r="E427" s="36" t="s">
        <v>51</v>
      </c>
      <c r="F427" s="48">
        <v>32107</v>
      </c>
      <c r="G427" s="36"/>
      <c r="H427" s="81" t="s">
        <v>52</v>
      </c>
      <c r="I427" s="36" t="s">
        <v>2920</v>
      </c>
      <c r="J427" s="48">
        <v>40593</v>
      </c>
      <c r="K427" s="36" t="s">
        <v>52</v>
      </c>
      <c r="L427" s="36" t="s">
        <v>318</v>
      </c>
      <c r="M427" s="36" t="s">
        <v>217</v>
      </c>
      <c r="N427" s="36" t="s">
        <v>2921</v>
      </c>
      <c r="O427" s="101"/>
      <c r="P427" s="159" t="s">
        <v>2922</v>
      </c>
      <c r="Q427" s="36"/>
      <c r="R427" s="36" t="s">
        <v>2923</v>
      </c>
      <c r="S427" s="36"/>
      <c r="T427" s="81"/>
      <c r="U427" s="81" t="s">
        <v>2924</v>
      </c>
      <c r="V427" s="36"/>
      <c r="W427" s="36"/>
      <c r="X427" s="36"/>
      <c r="Y427" s="36" t="s">
        <v>284</v>
      </c>
      <c r="Z427" s="81"/>
      <c r="AA427" s="54"/>
      <c r="AB427" s="81" t="s">
        <v>285</v>
      </c>
      <c r="AC427" s="81" t="s">
        <v>236</v>
      </c>
      <c r="AD427" s="36" t="s">
        <v>629</v>
      </c>
      <c r="AE427" s="81"/>
      <c r="AF427" s="81" t="s">
        <v>65</v>
      </c>
      <c r="AG427" s="48"/>
      <c r="AH427" s="48"/>
      <c r="AI427" s="48"/>
      <c r="AJ427" s="48">
        <v>41060</v>
      </c>
      <c r="AK427" s="134">
        <f t="shared" si="45"/>
        <v>5</v>
      </c>
      <c r="AL427" s="54" t="s">
        <v>82</v>
      </c>
      <c r="AM427" s="54"/>
      <c r="AN427" s="65" t="str">
        <f>IF((AM427=""),"",MONTH(AM427))</f>
        <v/>
      </c>
      <c r="AO427" s="190"/>
      <c r="AP427" s="136"/>
      <c r="AQ427" s="123"/>
      <c r="AR427" s="23"/>
      <c r="AS427" s="54"/>
      <c r="AT427" s="158"/>
      <c r="AU427" s="70">
        <f t="shared" si="48"/>
        <v>11</v>
      </c>
      <c r="AV427" s="70" t="s">
        <v>68</v>
      </c>
    </row>
    <row r="428" spans="1:48" ht="25.5" hidden="1" x14ac:dyDescent="0.2">
      <c r="A428" s="86">
        <v>20404</v>
      </c>
      <c r="B428" s="3" t="s">
        <v>2870</v>
      </c>
      <c r="C428" s="3" t="s">
        <v>778</v>
      </c>
      <c r="D428" s="86"/>
      <c r="E428" s="36" t="s">
        <v>94</v>
      </c>
      <c r="F428" s="48">
        <v>32069</v>
      </c>
      <c r="G428" s="36"/>
      <c r="H428" s="81" t="s">
        <v>815</v>
      </c>
      <c r="I428" s="36" t="s">
        <v>2925</v>
      </c>
      <c r="J428" s="48">
        <v>41212</v>
      </c>
      <c r="K428" s="36" t="s">
        <v>815</v>
      </c>
      <c r="L428" s="36" t="s">
        <v>123</v>
      </c>
      <c r="M428" s="36" t="s">
        <v>498</v>
      </c>
      <c r="N428" s="36" t="s">
        <v>2772</v>
      </c>
      <c r="O428" s="101"/>
      <c r="P428" s="159" t="s">
        <v>2926</v>
      </c>
      <c r="Q428" s="36"/>
      <c r="R428" s="36" t="s">
        <v>2927</v>
      </c>
      <c r="S428" s="36"/>
      <c r="T428" s="81"/>
      <c r="U428" s="81" t="s">
        <v>2928</v>
      </c>
      <c r="V428" s="36"/>
      <c r="W428" s="36"/>
      <c r="X428" s="36"/>
      <c r="Y428" s="36" t="s">
        <v>284</v>
      </c>
      <c r="Z428" s="81"/>
      <c r="AA428" s="54"/>
      <c r="AB428" s="81" t="s">
        <v>285</v>
      </c>
      <c r="AC428" s="81" t="s">
        <v>236</v>
      </c>
      <c r="AD428" s="36" t="s">
        <v>207</v>
      </c>
      <c r="AE428" s="81" t="s">
        <v>585</v>
      </c>
      <c r="AF428" s="81" t="s">
        <v>65</v>
      </c>
      <c r="AG428" s="48"/>
      <c r="AH428" s="48"/>
      <c r="AI428" s="48"/>
      <c r="AJ428" s="48">
        <v>41070</v>
      </c>
      <c r="AK428" s="134">
        <f t="shared" si="45"/>
        <v>6</v>
      </c>
      <c r="AL428" s="54" t="s">
        <v>82</v>
      </c>
      <c r="AM428" s="54"/>
      <c r="AN428" s="54"/>
      <c r="AO428" s="190"/>
      <c r="AP428" s="136"/>
      <c r="AQ428" s="123"/>
      <c r="AR428" s="23"/>
      <c r="AS428" s="54" t="s">
        <v>347</v>
      </c>
      <c r="AT428" s="158"/>
      <c r="AU428" s="70">
        <f t="shared" si="48"/>
        <v>10</v>
      </c>
      <c r="AV428" s="70" t="s">
        <v>68</v>
      </c>
    </row>
    <row r="429" spans="1:48" s="136" customFormat="1" ht="25.5" hidden="1" x14ac:dyDescent="0.2">
      <c r="A429" s="87">
        <v>20405</v>
      </c>
      <c r="B429" s="80" t="s">
        <v>265</v>
      </c>
      <c r="C429" s="80" t="s">
        <v>2929</v>
      </c>
      <c r="D429" s="87"/>
      <c r="E429" s="123" t="s">
        <v>94</v>
      </c>
      <c r="F429" s="140">
        <v>32299</v>
      </c>
      <c r="G429" s="123" t="s">
        <v>272</v>
      </c>
      <c r="H429" s="54" t="s">
        <v>273</v>
      </c>
      <c r="I429" s="123" t="s">
        <v>2930</v>
      </c>
      <c r="J429" s="140">
        <v>40739</v>
      </c>
      <c r="K429" s="123" t="s">
        <v>272</v>
      </c>
      <c r="L429" s="123" t="s">
        <v>123</v>
      </c>
      <c r="M429" s="123" t="s">
        <v>448</v>
      </c>
      <c r="N429" s="123" t="s">
        <v>458</v>
      </c>
      <c r="O429" s="106"/>
      <c r="P429" s="54" t="s">
        <v>2931</v>
      </c>
      <c r="Q429" s="123" t="s">
        <v>2932</v>
      </c>
      <c r="R429" s="123" t="s">
        <v>2933</v>
      </c>
      <c r="S429" s="123"/>
      <c r="T429" s="54" t="s">
        <v>2934</v>
      </c>
      <c r="U429" s="54" t="s">
        <v>2935</v>
      </c>
      <c r="V429" s="123"/>
      <c r="W429" s="123"/>
      <c r="X429" s="123"/>
      <c r="Y429" s="123" t="s">
        <v>865</v>
      </c>
      <c r="Z429" s="54"/>
      <c r="AA429" s="54"/>
      <c r="AB429" s="54" t="s">
        <v>285</v>
      </c>
      <c r="AC429" s="54" t="s">
        <v>236</v>
      </c>
      <c r="AD429" s="123" t="s">
        <v>207</v>
      </c>
      <c r="AE429" s="54" t="s">
        <v>585</v>
      </c>
      <c r="AF429" s="54" t="s">
        <v>65</v>
      </c>
      <c r="AG429" s="140">
        <v>41009</v>
      </c>
      <c r="AH429" s="65">
        <f>IF((AG429=""),"",MONTH(AG429))</f>
        <v>4</v>
      </c>
      <c r="AI429" s="65"/>
      <c r="AJ429" s="140">
        <v>41061</v>
      </c>
      <c r="AK429" s="65">
        <f t="shared" si="45"/>
        <v>6</v>
      </c>
      <c r="AL429" s="54" t="s">
        <v>66</v>
      </c>
      <c r="AM429" s="138"/>
      <c r="AN429" s="138"/>
      <c r="AO429" s="190"/>
      <c r="AP429" s="23"/>
      <c r="AQ429" s="123"/>
      <c r="AR429" s="23"/>
      <c r="AS429" s="54" t="s">
        <v>347</v>
      </c>
      <c r="AT429" s="194"/>
      <c r="AU429" s="70">
        <f t="shared" si="48"/>
        <v>6</v>
      </c>
      <c r="AV429" s="70" t="s">
        <v>68</v>
      </c>
    </row>
    <row r="430" spans="1:48" s="136" customFormat="1" ht="25.5" hidden="1" x14ac:dyDescent="0.2">
      <c r="A430" s="86">
        <v>20406</v>
      </c>
      <c r="B430" s="3" t="s">
        <v>1220</v>
      </c>
      <c r="C430" s="3" t="s">
        <v>378</v>
      </c>
      <c r="D430" s="86"/>
      <c r="E430" s="36" t="s">
        <v>94</v>
      </c>
      <c r="F430" s="48">
        <v>30255</v>
      </c>
      <c r="G430" s="36"/>
      <c r="H430" s="81" t="s">
        <v>52</v>
      </c>
      <c r="I430" s="36" t="s">
        <v>2936</v>
      </c>
      <c r="J430" s="48">
        <v>40380</v>
      </c>
      <c r="K430" s="36" t="s">
        <v>52</v>
      </c>
      <c r="L430" s="36" t="s">
        <v>318</v>
      </c>
      <c r="M430" s="36" t="s">
        <v>488</v>
      </c>
      <c r="N430" s="36" t="s">
        <v>1582</v>
      </c>
      <c r="O430" s="101"/>
      <c r="P430" s="159" t="s">
        <v>2937</v>
      </c>
      <c r="Q430" s="36"/>
      <c r="R430" s="36" t="s">
        <v>2938</v>
      </c>
      <c r="S430" s="36"/>
      <c r="T430" s="81"/>
      <c r="U430" s="81" t="s">
        <v>2939</v>
      </c>
      <c r="V430" s="36"/>
      <c r="W430" s="36"/>
      <c r="X430" s="36"/>
      <c r="Y430" s="36" t="s">
        <v>616</v>
      </c>
      <c r="Z430" s="81"/>
      <c r="AA430" s="54"/>
      <c r="AB430" s="81" t="s">
        <v>285</v>
      </c>
      <c r="AC430" s="81" t="s">
        <v>236</v>
      </c>
      <c r="AD430" s="36" t="s">
        <v>207</v>
      </c>
      <c r="AE430" s="81" t="s">
        <v>585</v>
      </c>
      <c r="AF430" s="81" t="s">
        <v>65</v>
      </c>
      <c r="AG430" s="48"/>
      <c r="AH430" s="48"/>
      <c r="AI430" s="48"/>
      <c r="AJ430" s="48">
        <v>41061</v>
      </c>
      <c r="AK430" s="134">
        <f t="shared" si="45"/>
        <v>6</v>
      </c>
      <c r="AL430" s="54" t="s">
        <v>82</v>
      </c>
      <c r="AM430" s="54"/>
      <c r="AN430" s="54"/>
      <c r="AO430" s="190">
        <v>40179</v>
      </c>
      <c r="AP430" s="136">
        <f>IF((AO430=""),"",MONTH(AO430))</f>
        <v>1</v>
      </c>
      <c r="AQ430" s="123"/>
      <c r="AR430" s="23"/>
      <c r="AS430" s="54" t="s">
        <v>347</v>
      </c>
      <c r="AT430" s="65"/>
      <c r="AU430" s="70">
        <f t="shared" si="48"/>
        <v>10</v>
      </c>
      <c r="AV430" s="70" t="s">
        <v>68</v>
      </c>
    </row>
    <row r="431" spans="1:48" ht="19.5" hidden="1" customHeight="1" x14ac:dyDescent="0.2">
      <c r="A431" s="86">
        <v>20407</v>
      </c>
      <c r="B431" s="3" t="s">
        <v>265</v>
      </c>
      <c r="C431" s="3" t="s">
        <v>396</v>
      </c>
      <c r="D431" s="86"/>
      <c r="E431" s="36" t="s">
        <v>94</v>
      </c>
      <c r="F431" s="48">
        <v>31961</v>
      </c>
      <c r="G431" s="36" t="s">
        <v>303</v>
      </c>
      <c r="H431" s="81" t="s">
        <v>304</v>
      </c>
      <c r="I431" s="36" t="s">
        <v>2940</v>
      </c>
      <c r="J431" s="48">
        <v>37939</v>
      </c>
      <c r="K431" s="36" t="s">
        <v>303</v>
      </c>
      <c r="L431" s="36" t="s">
        <v>123</v>
      </c>
      <c r="M431" s="36" t="s">
        <v>543</v>
      </c>
      <c r="N431" s="36" t="s">
        <v>786</v>
      </c>
      <c r="O431" s="101"/>
      <c r="P431" s="81" t="s">
        <v>2941</v>
      </c>
      <c r="Q431" s="36"/>
      <c r="R431" s="36" t="s">
        <v>2942</v>
      </c>
      <c r="S431" s="36"/>
      <c r="T431" s="81" t="s">
        <v>2943</v>
      </c>
      <c r="U431" s="81" t="s">
        <v>2944</v>
      </c>
      <c r="V431" s="36"/>
      <c r="W431" s="36"/>
      <c r="X431" s="36"/>
      <c r="Y431" s="36" t="s">
        <v>616</v>
      </c>
      <c r="Z431" s="81"/>
      <c r="AA431" s="54"/>
      <c r="AB431" s="81" t="s">
        <v>285</v>
      </c>
      <c r="AC431" s="81" t="s">
        <v>236</v>
      </c>
      <c r="AD431" s="36" t="s">
        <v>629</v>
      </c>
      <c r="AE431" s="81"/>
      <c r="AF431" s="81" t="s">
        <v>65</v>
      </c>
      <c r="AG431" s="48"/>
      <c r="AH431" s="134" t="str">
        <f>IF((AG431=""),"",MONTH(AG431))</f>
        <v/>
      </c>
      <c r="AI431" s="134"/>
      <c r="AJ431" s="48"/>
      <c r="AK431" s="134" t="str">
        <f t="shared" si="45"/>
        <v/>
      </c>
      <c r="AL431" s="94" t="s">
        <v>82</v>
      </c>
      <c r="AM431" s="78"/>
      <c r="AN431" s="78"/>
      <c r="AO431" s="190"/>
      <c r="AP431" s="136" t="str">
        <f>IF((AO431=""),"",MONTH(AO431))</f>
        <v/>
      </c>
      <c r="AQ431" s="127"/>
      <c r="AR431" s="23"/>
      <c r="AS431" s="94"/>
      <c r="AT431" s="136"/>
      <c r="AU431" s="70">
        <f t="shared" si="48"/>
        <v>7</v>
      </c>
      <c r="AV431" s="70" t="s">
        <v>68</v>
      </c>
    </row>
    <row r="432" spans="1:48" s="136" customFormat="1" ht="38.25" hidden="1" x14ac:dyDescent="0.2">
      <c r="A432" s="87">
        <v>20408</v>
      </c>
      <c r="B432" s="80" t="s">
        <v>2945</v>
      </c>
      <c r="C432" s="80" t="s">
        <v>2003</v>
      </c>
      <c r="D432" s="87"/>
      <c r="E432" s="123" t="s">
        <v>51</v>
      </c>
      <c r="F432" s="140">
        <v>27944</v>
      </c>
      <c r="G432" s="123" t="s">
        <v>726</v>
      </c>
      <c r="H432" s="54" t="s">
        <v>727</v>
      </c>
      <c r="I432" s="123" t="s">
        <v>2946</v>
      </c>
      <c r="J432" s="140">
        <v>37018</v>
      </c>
      <c r="K432" s="123" t="s">
        <v>726</v>
      </c>
      <c r="L432" s="123" t="s">
        <v>55</v>
      </c>
      <c r="M432" s="123" t="s">
        <v>382</v>
      </c>
      <c r="N432" s="123" t="s">
        <v>1582</v>
      </c>
      <c r="O432" s="106"/>
      <c r="P432" s="54" t="s">
        <v>2947</v>
      </c>
      <c r="Q432" s="123" t="s">
        <v>2948</v>
      </c>
      <c r="R432" s="123" t="s">
        <v>2949</v>
      </c>
      <c r="S432" s="123"/>
      <c r="T432" s="54" t="s">
        <v>2950</v>
      </c>
      <c r="U432" s="54" t="s">
        <v>2950</v>
      </c>
      <c r="V432" s="123"/>
      <c r="W432" s="123"/>
      <c r="X432" s="123"/>
      <c r="Y432" s="123" t="s">
        <v>206</v>
      </c>
      <c r="Z432" s="54"/>
      <c r="AA432" s="54"/>
      <c r="AB432" s="54" t="s">
        <v>1081</v>
      </c>
      <c r="AC432" s="54" t="s">
        <v>63</v>
      </c>
      <c r="AD432" s="123" t="s">
        <v>375</v>
      </c>
      <c r="AE432" s="54" t="s">
        <v>2099</v>
      </c>
      <c r="AF432" s="54" t="s">
        <v>65</v>
      </c>
      <c r="AG432" s="140">
        <v>41010</v>
      </c>
      <c r="AH432" s="65">
        <f>IF((AG432=""),"",MONTH(AG432))</f>
        <v>4</v>
      </c>
      <c r="AI432" s="65"/>
      <c r="AJ432" s="140">
        <v>41040</v>
      </c>
      <c r="AK432" s="65">
        <f t="shared" si="45"/>
        <v>5</v>
      </c>
      <c r="AL432" s="54" t="s">
        <v>66</v>
      </c>
      <c r="AM432" s="138"/>
      <c r="AN432" s="138"/>
      <c r="AO432" s="190"/>
      <c r="AP432" s="136" t="str">
        <f>IF((AO432=""),"",MONTH(AO432))</f>
        <v/>
      </c>
      <c r="AQ432" s="123"/>
      <c r="AR432" s="23"/>
      <c r="AS432" s="54" t="s">
        <v>107</v>
      </c>
      <c r="AT432" s="23"/>
      <c r="AU432" s="70">
        <f t="shared" si="48"/>
        <v>7</v>
      </c>
      <c r="AV432" s="70" t="s">
        <v>68</v>
      </c>
    </row>
    <row r="433" spans="1:48" s="136" customFormat="1" ht="51" hidden="1" x14ac:dyDescent="0.2">
      <c r="A433" s="86">
        <v>20409</v>
      </c>
      <c r="B433" s="3" t="s">
        <v>1010</v>
      </c>
      <c r="C433" s="3" t="s">
        <v>643</v>
      </c>
      <c r="D433" s="86"/>
      <c r="E433" s="36" t="s">
        <v>94</v>
      </c>
      <c r="F433" s="48" t="s">
        <v>6353</v>
      </c>
      <c r="G433" s="36"/>
      <c r="H433" s="81" t="s">
        <v>52</v>
      </c>
      <c r="I433" s="36" t="s">
        <v>2951</v>
      </c>
      <c r="J433" s="48">
        <v>39889</v>
      </c>
      <c r="K433" s="36" t="s">
        <v>52</v>
      </c>
      <c r="L433" s="36" t="s">
        <v>318</v>
      </c>
      <c r="M433" s="36" t="s">
        <v>217</v>
      </c>
      <c r="N433" s="36" t="s">
        <v>2952</v>
      </c>
      <c r="O433" s="101"/>
      <c r="P433" s="159" t="s">
        <v>2953</v>
      </c>
      <c r="Q433" s="36"/>
      <c r="R433" s="36" t="s">
        <v>2954</v>
      </c>
      <c r="S433" s="36"/>
      <c r="T433" s="81"/>
      <c r="U433" s="81" t="s">
        <v>2955</v>
      </c>
      <c r="V433" s="36"/>
      <c r="W433" s="36"/>
      <c r="X433" s="36"/>
      <c r="Y433" s="36" t="s">
        <v>284</v>
      </c>
      <c r="Z433" s="81"/>
      <c r="AA433" s="54"/>
      <c r="AB433" s="81" t="s">
        <v>285</v>
      </c>
      <c r="AC433" s="81" t="s">
        <v>236</v>
      </c>
      <c r="AD433" s="36" t="s">
        <v>181</v>
      </c>
      <c r="AE433" s="81"/>
      <c r="AF433" s="81" t="s">
        <v>65</v>
      </c>
      <c r="AG433" s="48"/>
      <c r="AH433" s="48"/>
      <c r="AI433" s="48"/>
      <c r="AJ433" s="48">
        <v>41075</v>
      </c>
      <c r="AK433" s="134">
        <f t="shared" si="45"/>
        <v>6</v>
      </c>
      <c r="AL433" s="54" t="s">
        <v>82</v>
      </c>
      <c r="AM433" s="54"/>
      <c r="AN433" s="54"/>
      <c r="AO433" s="190"/>
      <c r="AQ433" s="123"/>
      <c r="AR433" s="23"/>
      <c r="AS433" s="54"/>
      <c r="AT433" s="65"/>
      <c r="AU433" s="70"/>
      <c r="AV433" s="70" t="s">
        <v>68</v>
      </c>
    </row>
    <row r="434" spans="1:48" ht="25.5" x14ac:dyDescent="0.2">
      <c r="A434" s="87">
        <v>20410</v>
      </c>
      <c r="B434" s="80" t="s">
        <v>2956</v>
      </c>
      <c r="C434" s="80" t="s">
        <v>349</v>
      </c>
      <c r="D434" s="87"/>
      <c r="E434" s="123" t="s">
        <v>94</v>
      </c>
      <c r="F434" s="140">
        <v>33138</v>
      </c>
      <c r="G434" s="123" t="s">
        <v>1103</v>
      </c>
      <c r="H434" s="54" t="s">
        <v>2957</v>
      </c>
      <c r="I434" s="123" t="s">
        <v>2958</v>
      </c>
      <c r="J434" s="140">
        <v>40019</v>
      </c>
      <c r="K434" s="123" t="s">
        <v>1103</v>
      </c>
      <c r="L434" s="123" t="s">
        <v>123</v>
      </c>
      <c r="M434" s="123" t="s">
        <v>2959</v>
      </c>
      <c r="N434" s="123" t="s">
        <v>2960</v>
      </c>
      <c r="O434" s="106"/>
      <c r="P434" s="54" t="s">
        <v>2961</v>
      </c>
      <c r="Q434" s="123"/>
      <c r="R434" s="123" t="s">
        <v>2962</v>
      </c>
      <c r="S434" s="123"/>
      <c r="T434" s="54" t="s">
        <v>2963</v>
      </c>
      <c r="U434" s="54" t="s">
        <v>2725</v>
      </c>
      <c r="V434" s="123"/>
      <c r="W434" s="123"/>
      <c r="X434" s="123"/>
      <c r="Y434" s="123" t="s">
        <v>972</v>
      </c>
      <c r="Z434" s="54"/>
      <c r="AA434" s="54"/>
      <c r="AB434" s="54" t="s">
        <v>285</v>
      </c>
      <c r="AC434" s="54" t="s">
        <v>236</v>
      </c>
      <c r="AD434" s="123" t="s">
        <v>1183</v>
      </c>
      <c r="AE434" s="54" t="s">
        <v>1184</v>
      </c>
      <c r="AF434" s="54" t="s">
        <v>231</v>
      </c>
      <c r="AG434" s="140">
        <v>41015</v>
      </c>
      <c r="AH434" s="65">
        <f>IF((AG434=""),"",MONTH(AG434))</f>
        <v>4</v>
      </c>
      <c r="AI434" s="65"/>
      <c r="AJ434" s="140">
        <v>41045</v>
      </c>
      <c r="AK434" s="65">
        <f t="shared" si="45"/>
        <v>5</v>
      </c>
      <c r="AL434" s="54" t="s">
        <v>66</v>
      </c>
      <c r="AM434" s="138"/>
      <c r="AN434" s="138"/>
      <c r="AO434" s="190"/>
      <c r="AP434" s="136" t="str">
        <f>IF((AO434=""),"",MONTH(AO434))</f>
        <v/>
      </c>
      <c r="AQ434" s="123"/>
      <c r="AR434" s="23"/>
      <c r="AS434" s="54" t="s">
        <v>347</v>
      </c>
      <c r="AT434" s="136"/>
      <c r="AU434" s="70">
        <f t="shared" ref="AU434:AU497" si="49">IF((F434=""),"",MONTH(F434))</f>
        <v>9</v>
      </c>
      <c r="AV434" s="70" t="s">
        <v>68</v>
      </c>
    </row>
    <row r="435" spans="1:48" s="136" customFormat="1" ht="25.5" hidden="1" x14ac:dyDescent="0.2">
      <c r="A435" s="86">
        <v>20411</v>
      </c>
      <c r="B435" s="3" t="s">
        <v>2964</v>
      </c>
      <c r="C435" s="3" t="s">
        <v>2965</v>
      </c>
      <c r="D435" s="86"/>
      <c r="E435" s="36" t="s">
        <v>94</v>
      </c>
      <c r="F435" s="48">
        <v>31079</v>
      </c>
      <c r="G435" s="36" t="s">
        <v>1255</v>
      </c>
      <c r="H435" s="81" t="s">
        <v>1793</v>
      </c>
      <c r="I435" s="36" t="s">
        <v>2966</v>
      </c>
      <c r="J435" s="48">
        <v>36614</v>
      </c>
      <c r="K435" s="36" t="s">
        <v>1255</v>
      </c>
      <c r="L435" s="36" t="s">
        <v>123</v>
      </c>
      <c r="M435" s="36"/>
      <c r="N435" s="36"/>
      <c r="O435" s="101"/>
      <c r="P435" s="81" t="s">
        <v>2967</v>
      </c>
      <c r="Q435" s="36"/>
      <c r="R435" s="36" t="s">
        <v>2968</v>
      </c>
      <c r="S435" s="36"/>
      <c r="T435" s="81" t="s">
        <v>2969</v>
      </c>
      <c r="U435" s="81" t="s">
        <v>2970</v>
      </c>
      <c r="V435" s="36"/>
      <c r="W435" s="36"/>
      <c r="X435" s="36"/>
      <c r="Y435" s="36" t="s">
        <v>284</v>
      </c>
      <c r="Z435" s="81"/>
      <c r="AA435" s="54"/>
      <c r="AB435" s="81" t="s">
        <v>285</v>
      </c>
      <c r="AC435" s="81" t="s">
        <v>236</v>
      </c>
      <c r="AD435" s="36" t="s">
        <v>230</v>
      </c>
      <c r="AE435" s="81"/>
      <c r="AF435" s="81" t="s">
        <v>231</v>
      </c>
      <c r="AG435" s="48"/>
      <c r="AH435" s="134" t="str">
        <f>IF((AG435=""),"",MONTH(AG435))</f>
        <v/>
      </c>
      <c r="AI435" s="134"/>
      <c r="AJ435" s="48"/>
      <c r="AK435" s="134" t="str">
        <f t="shared" si="45"/>
        <v/>
      </c>
      <c r="AL435" s="94" t="s">
        <v>82</v>
      </c>
      <c r="AM435" s="78"/>
      <c r="AN435" s="78"/>
      <c r="AO435" s="190"/>
      <c r="AP435" s="136" t="str">
        <f>IF((AO435=""),"",MONTH(AO435))</f>
        <v/>
      </c>
      <c r="AQ435" s="127"/>
      <c r="AR435" s="23"/>
      <c r="AS435" s="94"/>
      <c r="AT435" s="23"/>
      <c r="AU435" s="70">
        <f t="shared" si="49"/>
        <v>2</v>
      </c>
      <c r="AV435" s="70" t="s">
        <v>68</v>
      </c>
    </row>
    <row r="436" spans="1:48" ht="19.5" hidden="1" customHeight="1" x14ac:dyDescent="0.2">
      <c r="A436" s="86">
        <v>20412</v>
      </c>
      <c r="B436" s="3" t="s">
        <v>265</v>
      </c>
      <c r="C436" s="3" t="s">
        <v>1547</v>
      </c>
      <c r="D436" s="86"/>
      <c r="E436" s="36" t="s">
        <v>94</v>
      </c>
      <c r="F436" s="48"/>
      <c r="G436" s="36"/>
      <c r="H436" s="81" t="s">
        <v>0</v>
      </c>
      <c r="I436" s="36"/>
      <c r="J436" s="48"/>
      <c r="K436" s="36"/>
      <c r="L436" s="36" t="s">
        <v>123</v>
      </c>
      <c r="M436" s="36"/>
      <c r="N436" s="36"/>
      <c r="O436" s="101"/>
      <c r="P436" s="81" t="s">
        <v>2971</v>
      </c>
      <c r="Q436" s="36"/>
      <c r="R436" s="36"/>
      <c r="S436" s="36"/>
      <c r="T436" s="81" t="s">
        <v>0</v>
      </c>
      <c r="U436" s="81" t="s">
        <v>0</v>
      </c>
      <c r="V436" s="36"/>
      <c r="W436" s="36"/>
      <c r="X436" s="36"/>
      <c r="Y436" s="36" t="s">
        <v>284</v>
      </c>
      <c r="Z436" s="81"/>
      <c r="AA436" s="54"/>
      <c r="AB436" s="81" t="s">
        <v>285</v>
      </c>
      <c r="AC436" s="81" t="s">
        <v>236</v>
      </c>
      <c r="AD436" s="36" t="s">
        <v>207</v>
      </c>
      <c r="AE436" s="81"/>
      <c r="AF436" s="81" t="s">
        <v>65</v>
      </c>
      <c r="AG436" s="48"/>
      <c r="AH436" s="134" t="str">
        <f>IF((AG436=""),"",MONTH(AG436))</f>
        <v/>
      </c>
      <c r="AI436" s="134"/>
      <c r="AJ436" s="48"/>
      <c r="AK436" s="134" t="str">
        <f t="shared" si="45"/>
        <v/>
      </c>
      <c r="AL436" s="94" t="s">
        <v>82</v>
      </c>
      <c r="AM436" s="78"/>
      <c r="AN436" s="78"/>
      <c r="AO436" s="190"/>
      <c r="AP436" s="136" t="str">
        <f>IF((AO436=""),"",MONTH(AO436))</f>
        <v/>
      </c>
      <c r="AQ436" s="127"/>
      <c r="AR436" s="23"/>
      <c r="AS436" s="94"/>
      <c r="AT436" s="136"/>
      <c r="AU436" s="70" t="str">
        <f t="shared" si="49"/>
        <v/>
      </c>
      <c r="AV436" s="70" t="s">
        <v>68</v>
      </c>
    </row>
    <row r="437" spans="1:48" ht="19.5" hidden="1" customHeight="1" x14ac:dyDescent="0.2">
      <c r="A437" s="87">
        <v>20413</v>
      </c>
      <c r="B437" s="80" t="s">
        <v>2972</v>
      </c>
      <c r="C437" s="80" t="s">
        <v>2973</v>
      </c>
      <c r="D437" s="87"/>
      <c r="E437" s="123" t="s">
        <v>51</v>
      </c>
      <c r="F437" s="140">
        <v>32790</v>
      </c>
      <c r="G437" s="123" t="s">
        <v>120</v>
      </c>
      <c r="H437" s="54" t="s">
        <v>121</v>
      </c>
      <c r="I437" s="123" t="s">
        <v>2974</v>
      </c>
      <c r="J437" s="140">
        <v>38122</v>
      </c>
      <c r="K437" s="123" t="s">
        <v>120</v>
      </c>
      <c r="L437" s="123" t="s">
        <v>123</v>
      </c>
      <c r="M437" s="123" t="s">
        <v>124</v>
      </c>
      <c r="N437" s="123" t="s">
        <v>2126</v>
      </c>
      <c r="O437" s="106"/>
      <c r="P437" s="54" t="s">
        <v>2975</v>
      </c>
      <c r="Q437" s="123"/>
      <c r="R437" s="123" t="s">
        <v>2976</v>
      </c>
      <c r="S437" s="123"/>
      <c r="T437" s="54" t="s">
        <v>2977</v>
      </c>
      <c r="U437" s="54" t="s">
        <v>2978</v>
      </c>
      <c r="V437" s="123"/>
      <c r="W437" s="123"/>
      <c r="X437" s="123"/>
      <c r="Y437" s="123" t="s">
        <v>312</v>
      </c>
      <c r="Z437" s="54"/>
      <c r="AA437" s="54"/>
      <c r="AB437" s="54" t="s">
        <v>285</v>
      </c>
      <c r="AC437" s="54" t="s">
        <v>236</v>
      </c>
      <c r="AD437" s="123" t="s">
        <v>1067</v>
      </c>
      <c r="AE437" s="54" t="s">
        <v>1118</v>
      </c>
      <c r="AF437" s="54" t="s">
        <v>65</v>
      </c>
      <c r="AG437" s="140">
        <v>41002</v>
      </c>
      <c r="AH437" s="65">
        <f>IF((AG437=""),"",MONTH(AG437))</f>
        <v>4</v>
      </c>
      <c r="AI437" s="65"/>
      <c r="AJ437" s="140">
        <v>41061</v>
      </c>
      <c r="AK437" s="65">
        <f t="shared" si="45"/>
        <v>6</v>
      </c>
      <c r="AL437" s="54" t="s">
        <v>66</v>
      </c>
      <c r="AM437" s="138"/>
      <c r="AN437" s="138"/>
      <c r="AO437" s="190"/>
      <c r="AP437" s="136" t="str">
        <f>IF((AO437=""),"",MONTH(AO437))</f>
        <v/>
      </c>
      <c r="AQ437" s="123"/>
      <c r="AR437" s="23"/>
      <c r="AS437" s="54" t="s">
        <v>107</v>
      </c>
      <c r="AT437" s="136"/>
      <c r="AU437" s="70">
        <f t="shared" si="49"/>
        <v>10</v>
      </c>
      <c r="AV437" s="70" t="s">
        <v>68</v>
      </c>
    </row>
    <row r="438" spans="1:48" s="65" customFormat="1" ht="25.5" hidden="1" x14ac:dyDescent="0.2">
      <c r="A438" s="87">
        <v>20414</v>
      </c>
      <c r="B438" s="80" t="s">
        <v>2979</v>
      </c>
      <c r="C438" s="80" t="s">
        <v>2980</v>
      </c>
      <c r="D438" s="87"/>
      <c r="E438" s="123" t="s">
        <v>94</v>
      </c>
      <c r="F438" s="140">
        <v>30945</v>
      </c>
      <c r="G438" s="123" t="s">
        <v>2613</v>
      </c>
      <c r="H438" s="54" t="s">
        <v>2981</v>
      </c>
      <c r="I438" s="123" t="s">
        <v>2982</v>
      </c>
      <c r="J438" s="140">
        <v>36253</v>
      </c>
      <c r="K438" s="123" t="s">
        <v>231</v>
      </c>
      <c r="L438" s="123" t="s">
        <v>123</v>
      </c>
      <c r="M438" s="123" t="s">
        <v>759</v>
      </c>
      <c r="N438" s="123" t="s">
        <v>760</v>
      </c>
      <c r="O438" s="106"/>
      <c r="P438" s="54" t="s">
        <v>2983</v>
      </c>
      <c r="Q438" s="123" t="s">
        <v>2984</v>
      </c>
      <c r="R438" s="123" t="s">
        <v>2985</v>
      </c>
      <c r="S438" s="123"/>
      <c r="T438" s="54" t="s">
        <v>2986</v>
      </c>
      <c r="U438" s="54" t="s">
        <v>2987</v>
      </c>
      <c r="V438" s="123" t="s">
        <v>2988</v>
      </c>
      <c r="W438" s="123" t="s">
        <v>2989</v>
      </c>
      <c r="X438" s="123" t="s">
        <v>2990</v>
      </c>
      <c r="Y438" s="123" t="s">
        <v>206</v>
      </c>
      <c r="Z438" s="54"/>
      <c r="AA438" s="54"/>
      <c r="AB438" s="54">
        <v>3</v>
      </c>
      <c r="AC438" s="54" t="s">
        <v>63</v>
      </c>
      <c r="AD438" s="123" t="s">
        <v>1145</v>
      </c>
      <c r="AE438" s="54" t="s">
        <v>1938</v>
      </c>
      <c r="AF438" s="54" t="s">
        <v>231</v>
      </c>
      <c r="AG438" s="140">
        <v>41031</v>
      </c>
      <c r="AH438" s="65">
        <f>IF((AG438=""),"",MONTH(AG438))</f>
        <v>5</v>
      </c>
      <c r="AJ438" s="140">
        <v>41091</v>
      </c>
      <c r="AK438" s="65">
        <f t="shared" si="45"/>
        <v>7</v>
      </c>
      <c r="AL438" s="54" t="s">
        <v>66</v>
      </c>
      <c r="AM438" s="138"/>
      <c r="AN438" s="138"/>
      <c r="AO438" s="190"/>
      <c r="AP438" s="136" t="str">
        <f>IF((AO438=""),"",MONTH(AO438))</f>
        <v/>
      </c>
      <c r="AQ438" s="123"/>
      <c r="AR438" s="23"/>
      <c r="AS438" s="54" t="s">
        <v>107</v>
      </c>
      <c r="AT438" s="136"/>
      <c r="AU438" s="70">
        <f t="shared" si="49"/>
        <v>9</v>
      </c>
      <c r="AV438" s="70" t="s">
        <v>68</v>
      </c>
    </row>
    <row r="439" spans="1:48" ht="12.75" hidden="1" x14ac:dyDescent="0.2">
      <c r="A439" s="86">
        <v>20415</v>
      </c>
      <c r="B439" s="3" t="s">
        <v>1208</v>
      </c>
      <c r="C439" s="3" t="s">
        <v>160</v>
      </c>
      <c r="D439" s="86"/>
      <c r="E439" s="36" t="s">
        <v>94</v>
      </c>
      <c r="F439" s="48">
        <v>32314</v>
      </c>
      <c r="G439" s="36"/>
      <c r="H439" s="81" t="s">
        <v>1255</v>
      </c>
      <c r="I439" s="36"/>
      <c r="J439" s="48"/>
      <c r="K439" s="36"/>
      <c r="L439" s="36" t="s">
        <v>318</v>
      </c>
      <c r="M439" s="36" t="s">
        <v>320</v>
      </c>
      <c r="N439" s="36" t="s">
        <v>320</v>
      </c>
      <c r="O439" s="101"/>
      <c r="P439" s="159" t="s">
        <v>2991</v>
      </c>
      <c r="Q439" s="36"/>
      <c r="R439" s="36" t="s">
        <v>2992</v>
      </c>
      <c r="S439" s="36"/>
      <c r="T439" s="81"/>
      <c r="U439" s="81"/>
      <c r="V439" s="36"/>
      <c r="W439" s="36"/>
      <c r="X439" s="36"/>
      <c r="Y439" s="36" t="s">
        <v>284</v>
      </c>
      <c r="Z439" s="81"/>
      <c r="AA439" s="54"/>
      <c r="AB439" s="81" t="s">
        <v>285</v>
      </c>
      <c r="AC439" s="81" t="s">
        <v>236</v>
      </c>
      <c r="AD439" s="36" t="s">
        <v>230</v>
      </c>
      <c r="AE439" s="81"/>
      <c r="AF439" s="81" t="s">
        <v>231</v>
      </c>
      <c r="AG439" s="48"/>
      <c r="AH439" s="48"/>
      <c r="AI439" s="48"/>
      <c r="AJ439" s="48"/>
      <c r="AK439" s="134" t="str">
        <f t="shared" si="45"/>
        <v/>
      </c>
      <c r="AL439" s="54" t="s">
        <v>82</v>
      </c>
      <c r="AM439" s="54"/>
      <c r="AN439" s="54"/>
      <c r="AO439" s="190"/>
      <c r="AP439" s="136"/>
      <c r="AQ439" s="123"/>
      <c r="AR439" s="23"/>
      <c r="AS439" s="54"/>
      <c r="AT439" s="23"/>
      <c r="AU439" s="70">
        <f t="shared" si="49"/>
        <v>6</v>
      </c>
      <c r="AV439" s="70" t="s">
        <v>68</v>
      </c>
    </row>
    <row r="440" spans="1:48" s="136" customFormat="1" ht="25.5" hidden="1" x14ac:dyDescent="0.2">
      <c r="A440" s="86">
        <v>20416</v>
      </c>
      <c r="B440" s="3" t="s">
        <v>2700</v>
      </c>
      <c r="C440" s="3" t="s">
        <v>1012</v>
      </c>
      <c r="D440" s="86"/>
      <c r="E440" s="36" t="s">
        <v>94</v>
      </c>
      <c r="F440" s="48"/>
      <c r="G440" s="36"/>
      <c r="H440" s="81" t="s">
        <v>841</v>
      </c>
      <c r="I440" s="36" t="s">
        <v>2993</v>
      </c>
      <c r="J440" s="48">
        <v>39627</v>
      </c>
      <c r="K440" s="36" t="s">
        <v>231</v>
      </c>
      <c r="L440" s="36" t="s">
        <v>318</v>
      </c>
      <c r="M440" s="36" t="s">
        <v>2994</v>
      </c>
      <c r="N440" s="36" t="s">
        <v>368</v>
      </c>
      <c r="O440" s="101"/>
      <c r="P440" s="159" t="s">
        <v>2995</v>
      </c>
      <c r="Q440" s="36"/>
      <c r="R440" s="36" t="s">
        <v>2996</v>
      </c>
      <c r="S440" s="36"/>
      <c r="T440" s="81"/>
      <c r="U440" s="81" t="s">
        <v>2997</v>
      </c>
      <c r="V440" s="36"/>
      <c r="W440" s="36"/>
      <c r="X440" s="36"/>
      <c r="Y440" s="36" t="s">
        <v>284</v>
      </c>
      <c r="Z440" s="81"/>
      <c r="AA440" s="54"/>
      <c r="AB440" s="81" t="s">
        <v>285</v>
      </c>
      <c r="AC440" s="81" t="s">
        <v>236</v>
      </c>
      <c r="AD440" s="36" t="s">
        <v>230</v>
      </c>
      <c r="AE440" s="81" t="s">
        <v>839</v>
      </c>
      <c r="AF440" s="81" t="s">
        <v>231</v>
      </c>
      <c r="AG440" s="48"/>
      <c r="AH440" s="48"/>
      <c r="AI440" s="48"/>
      <c r="AJ440" s="48">
        <v>41090</v>
      </c>
      <c r="AK440" s="134">
        <f t="shared" si="45"/>
        <v>6</v>
      </c>
      <c r="AL440" s="54" t="s">
        <v>82</v>
      </c>
      <c r="AM440" s="54"/>
      <c r="AN440" s="54"/>
      <c r="AO440" s="190"/>
      <c r="AQ440" s="123"/>
      <c r="AR440" s="23"/>
      <c r="AS440" s="54"/>
      <c r="AT440" s="65"/>
      <c r="AU440" s="70" t="str">
        <f t="shared" si="49"/>
        <v/>
      </c>
      <c r="AV440" s="70" t="s">
        <v>68</v>
      </c>
    </row>
    <row r="441" spans="1:48" ht="12.75" hidden="1" x14ac:dyDescent="0.2">
      <c r="A441" s="86">
        <v>20417</v>
      </c>
      <c r="B441" s="3" t="s">
        <v>2998</v>
      </c>
      <c r="C441" s="3" t="s">
        <v>685</v>
      </c>
      <c r="D441" s="86"/>
      <c r="E441" s="36" t="s">
        <v>94</v>
      </c>
      <c r="F441" s="48">
        <v>32436</v>
      </c>
      <c r="G441" s="36"/>
      <c r="H441" s="81" t="s">
        <v>1139</v>
      </c>
      <c r="I441" s="36"/>
      <c r="J441" s="48"/>
      <c r="K441" s="36"/>
      <c r="L441" s="36" t="s">
        <v>318</v>
      </c>
      <c r="M441" s="36" t="s">
        <v>320</v>
      </c>
      <c r="N441" s="36" t="s">
        <v>320</v>
      </c>
      <c r="O441" s="101"/>
      <c r="P441" s="159" t="s">
        <v>2999</v>
      </c>
      <c r="Q441" s="36"/>
      <c r="R441" s="36" t="s">
        <v>3000</v>
      </c>
      <c r="S441" s="36"/>
      <c r="T441" s="81"/>
      <c r="U441" s="81"/>
      <c r="V441" s="36"/>
      <c r="W441" s="36"/>
      <c r="X441" s="36"/>
      <c r="Y441" s="36" t="s">
        <v>284</v>
      </c>
      <c r="Z441" s="81"/>
      <c r="AA441" s="54"/>
      <c r="AB441" s="81" t="s">
        <v>285</v>
      </c>
      <c r="AC441" s="81" t="s">
        <v>236</v>
      </c>
      <c r="AD441" s="36" t="s">
        <v>230</v>
      </c>
      <c r="AE441" s="81" t="s">
        <v>839</v>
      </c>
      <c r="AF441" s="81" t="s">
        <v>231</v>
      </c>
      <c r="AG441" s="48"/>
      <c r="AH441" s="48"/>
      <c r="AI441" s="48"/>
      <c r="AJ441" s="48">
        <v>41090</v>
      </c>
      <c r="AK441" s="134">
        <f t="shared" si="45"/>
        <v>6</v>
      </c>
      <c r="AL441" s="54" t="s">
        <v>82</v>
      </c>
      <c r="AM441" s="54"/>
      <c r="AN441" s="54"/>
      <c r="AO441" s="190">
        <v>41153</v>
      </c>
      <c r="AP441" s="136">
        <f t="shared" ref="AP441:AP446" si="50">IF((AO441=""),"",MONTH(AO441))</f>
        <v>9</v>
      </c>
      <c r="AQ441" s="123"/>
      <c r="AR441" s="23"/>
      <c r="AS441" s="54"/>
      <c r="AT441" s="23"/>
      <c r="AU441" s="70">
        <f t="shared" si="49"/>
        <v>10</v>
      </c>
      <c r="AV441" s="70" t="s">
        <v>68</v>
      </c>
    </row>
    <row r="442" spans="1:48" ht="38.25" hidden="1" x14ac:dyDescent="0.2">
      <c r="A442" s="87">
        <v>20418</v>
      </c>
      <c r="B442" s="80" t="s">
        <v>3001</v>
      </c>
      <c r="C442" s="80" t="s">
        <v>256</v>
      </c>
      <c r="D442" s="87"/>
      <c r="E442" s="123" t="s">
        <v>94</v>
      </c>
      <c r="F442" s="140">
        <v>32678</v>
      </c>
      <c r="G442" s="123"/>
      <c r="H442" s="54" t="s">
        <v>3002</v>
      </c>
      <c r="I442" s="123" t="s">
        <v>3003</v>
      </c>
      <c r="J442" s="140">
        <v>39092</v>
      </c>
      <c r="K442" s="123" t="s">
        <v>3004</v>
      </c>
      <c r="L442" s="123" t="s">
        <v>341</v>
      </c>
      <c r="M442" s="123" t="s">
        <v>3005</v>
      </c>
      <c r="N442" s="123" t="s">
        <v>368</v>
      </c>
      <c r="O442" s="106"/>
      <c r="P442" s="54" t="s">
        <v>3006</v>
      </c>
      <c r="Q442" s="123"/>
      <c r="R442" s="123" t="s">
        <v>3007</v>
      </c>
      <c r="S442" s="123"/>
      <c r="T442" s="54" t="s">
        <v>3008</v>
      </c>
      <c r="U442" s="54" t="s">
        <v>3009</v>
      </c>
      <c r="V442" s="123"/>
      <c r="W442" s="123"/>
      <c r="X442" s="123"/>
      <c r="Y442" s="123" t="s">
        <v>865</v>
      </c>
      <c r="Z442" s="54"/>
      <c r="AA442" s="54"/>
      <c r="AB442" s="54" t="s">
        <v>285</v>
      </c>
      <c r="AC442" s="54" t="s">
        <v>236</v>
      </c>
      <c r="AD442" s="123" t="s">
        <v>866</v>
      </c>
      <c r="AE442" s="54" t="s">
        <v>867</v>
      </c>
      <c r="AF442" s="54" t="s">
        <v>231</v>
      </c>
      <c r="AG442" s="140">
        <v>41033</v>
      </c>
      <c r="AH442" s="65">
        <f>IF((AG442=""),"",MONTH(AG442))</f>
        <v>5</v>
      </c>
      <c r="AI442" s="65"/>
      <c r="AJ442" s="140">
        <v>41090</v>
      </c>
      <c r="AK442" s="65">
        <f t="shared" si="45"/>
        <v>6</v>
      </c>
      <c r="AL442" s="54" t="s">
        <v>66</v>
      </c>
      <c r="AM442" s="138"/>
      <c r="AN442" s="138"/>
      <c r="AO442" s="190"/>
      <c r="AP442" s="136" t="str">
        <f t="shared" si="50"/>
        <v/>
      </c>
      <c r="AQ442" s="123"/>
      <c r="AR442" s="23"/>
      <c r="AS442" s="54" t="s">
        <v>347</v>
      </c>
      <c r="AT442" s="136"/>
      <c r="AU442" s="70">
        <f t="shared" si="49"/>
        <v>6</v>
      </c>
      <c r="AV442" s="70" t="s">
        <v>68</v>
      </c>
    </row>
    <row r="443" spans="1:48" ht="25.5" hidden="1" x14ac:dyDescent="0.2">
      <c r="A443" s="87">
        <v>20419</v>
      </c>
      <c r="B443" s="80" t="s">
        <v>3010</v>
      </c>
      <c r="C443" s="80" t="s">
        <v>1570</v>
      </c>
      <c r="D443" s="87"/>
      <c r="E443" s="123" t="s">
        <v>51</v>
      </c>
      <c r="F443" s="140">
        <v>32229</v>
      </c>
      <c r="G443" s="123" t="s">
        <v>132</v>
      </c>
      <c r="H443" s="54" t="s">
        <v>133</v>
      </c>
      <c r="I443" s="123" t="s">
        <v>3011</v>
      </c>
      <c r="J443" s="140">
        <v>37700</v>
      </c>
      <c r="K443" s="123" t="s">
        <v>161</v>
      </c>
      <c r="L443" s="123" t="s">
        <v>123</v>
      </c>
      <c r="M443" s="123" t="s">
        <v>275</v>
      </c>
      <c r="N443" s="123" t="s">
        <v>760</v>
      </c>
      <c r="O443" s="106"/>
      <c r="P443" s="54" t="s">
        <v>3012</v>
      </c>
      <c r="Q443" s="123"/>
      <c r="R443" s="123" t="s">
        <v>3013</v>
      </c>
      <c r="S443" s="123"/>
      <c r="T443" s="54" t="s">
        <v>3014</v>
      </c>
      <c r="U443" s="54" t="s">
        <v>3015</v>
      </c>
      <c r="V443" s="123"/>
      <c r="W443" s="123"/>
      <c r="X443" s="123"/>
      <c r="Y443" s="123" t="s">
        <v>360</v>
      </c>
      <c r="Z443" s="54"/>
      <c r="AA443" s="54"/>
      <c r="AB443" s="54" t="s">
        <v>361</v>
      </c>
      <c r="AC443" s="54" t="s">
        <v>362</v>
      </c>
      <c r="AD443" s="123" t="s">
        <v>207</v>
      </c>
      <c r="AE443" s="54" t="s">
        <v>1174</v>
      </c>
      <c r="AF443" s="54" t="s">
        <v>65</v>
      </c>
      <c r="AG443" s="140">
        <v>41031</v>
      </c>
      <c r="AH443" s="65">
        <f>IF((AG443=""),"",MONTH(AG443))</f>
        <v>5</v>
      </c>
      <c r="AI443" s="65"/>
      <c r="AJ443" s="140">
        <v>41091</v>
      </c>
      <c r="AK443" s="65">
        <f t="shared" si="45"/>
        <v>7</v>
      </c>
      <c r="AL443" s="54" t="s">
        <v>66</v>
      </c>
      <c r="AM443" s="138"/>
      <c r="AN443" s="138"/>
      <c r="AO443" s="190"/>
      <c r="AP443" s="136" t="str">
        <f t="shared" si="50"/>
        <v/>
      </c>
      <c r="AQ443" s="123"/>
      <c r="AR443" s="23"/>
      <c r="AS443" s="54" t="s">
        <v>107</v>
      </c>
      <c r="AT443" s="136"/>
      <c r="AU443" s="70">
        <f t="shared" si="49"/>
        <v>3</v>
      </c>
      <c r="AV443" s="70" t="s">
        <v>68</v>
      </c>
    </row>
    <row r="444" spans="1:48" ht="38.25" hidden="1" x14ac:dyDescent="0.2">
      <c r="A444" s="86">
        <v>20420</v>
      </c>
      <c r="B444" s="3" t="s">
        <v>1306</v>
      </c>
      <c r="C444" s="3" t="s">
        <v>3016</v>
      </c>
      <c r="D444" s="86"/>
      <c r="E444" s="36" t="s">
        <v>94</v>
      </c>
      <c r="F444" s="48">
        <v>32864</v>
      </c>
      <c r="G444" s="36" t="s">
        <v>52</v>
      </c>
      <c r="H444" s="81" t="s">
        <v>53</v>
      </c>
      <c r="I444" s="36" t="s">
        <v>3017</v>
      </c>
      <c r="J444" s="48">
        <v>40814</v>
      </c>
      <c r="K444" s="36" t="s">
        <v>52</v>
      </c>
      <c r="L444" s="36" t="s">
        <v>123</v>
      </c>
      <c r="M444" s="36" t="s">
        <v>217</v>
      </c>
      <c r="N444" s="36" t="s">
        <v>2681</v>
      </c>
      <c r="O444" s="101"/>
      <c r="P444" s="81" t="s">
        <v>3018</v>
      </c>
      <c r="Q444" s="36" t="s">
        <v>3019</v>
      </c>
      <c r="R444" s="36" t="s">
        <v>3020</v>
      </c>
      <c r="S444" s="36"/>
      <c r="T444" s="81" t="s">
        <v>3021</v>
      </c>
      <c r="U444" s="81" t="s">
        <v>3022</v>
      </c>
      <c r="V444" s="36"/>
      <c r="W444" s="36"/>
      <c r="X444" s="36"/>
      <c r="Y444" s="36" t="s">
        <v>284</v>
      </c>
      <c r="Z444" s="81"/>
      <c r="AA444" s="54"/>
      <c r="AB444" s="81" t="s">
        <v>285</v>
      </c>
      <c r="AC444" s="81" t="s">
        <v>236</v>
      </c>
      <c r="AD444" s="36" t="s">
        <v>1166</v>
      </c>
      <c r="AE444" s="81" t="s">
        <v>1167</v>
      </c>
      <c r="AF444" s="81" t="s">
        <v>65</v>
      </c>
      <c r="AG444" s="48">
        <v>41036</v>
      </c>
      <c r="AH444" s="134">
        <f>IF((AG444=""),"",MONTH(AG444))</f>
        <v>5</v>
      </c>
      <c r="AI444" s="134"/>
      <c r="AJ444" s="48">
        <v>41091</v>
      </c>
      <c r="AK444" s="134">
        <f t="shared" si="45"/>
        <v>7</v>
      </c>
      <c r="AL444" s="94" t="s">
        <v>3023</v>
      </c>
      <c r="AM444" s="78"/>
      <c r="AN444" s="78"/>
      <c r="AO444" s="190">
        <v>41379</v>
      </c>
      <c r="AP444" s="136">
        <f t="shared" si="50"/>
        <v>4</v>
      </c>
      <c r="AQ444" s="127"/>
      <c r="AR444" s="23"/>
      <c r="AS444" s="54" t="s">
        <v>67</v>
      </c>
      <c r="AT444" s="136"/>
      <c r="AU444" s="70">
        <f t="shared" si="49"/>
        <v>12</v>
      </c>
      <c r="AV444" s="70" t="s">
        <v>68</v>
      </c>
    </row>
    <row r="445" spans="1:48" ht="19.5" hidden="1" customHeight="1" x14ac:dyDescent="0.2">
      <c r="A445" s="87">
        <v>20421</v>
      </c>
      <c r="B445" s="80" t="s">
        <v>3024</v>
      </c>
      <c r="C445" s="80" t="s">
        <v>607</v>
      </c>
      <c r="D445" s="87"/>
      <c r="E445" s="123" t="s">
        <v>94</v>
      </c>
      <c r="F445" s="140">
        <v>32629</v>
      </c>
      <c r="G445" s="123"/>
      <c r="H445" s="54" t="s">
        <v>3025</v>
      </c>
      <c r="I445" s="123" t="s">
        <v>3026</v>
      </c>
      <c r="J445" s="140">
        <v>37804</v>
      </c>
      <c r="K445" s="123" t="s">
        <v>52</v>
      </c>
      <c r="L445" s="123" t="s">
        <v>123</v>
      </c>
      <c r="M445" s="123" t="s">
        <v>111</v>
      </c>
      <c r="N445" s="123" t="s">
        <v>368</v>
      </c>
      <c r="O445" s="106">
        <v>2012</v>
      </c>
      <c r="P445" s="54" t="s">
        <v>3027</v>
      </c>
      <c r="Q445" s="123"/>
      <c r="R445" s="123" t="s">
        <v>3028</v>
      </c>
      <c r="S445" s="123"/>
      <c r="T445" s="54" t="s">
        <v>3029</v>
      </c>
      <c r="U445" s="54" t="s">
        <v>3029</v>
      </c>
      <c r="V445" s="123" t="s">
        <v>3030</v>
      </c>
      <c r="W445" s="123" t="s">
        <v>745</v>
      </c>
      <c r="X445" s="123"/>
      <c r="Y445" s="123" t="s">
        <v>312</v>
      </c>
      <c r="Z445" s="54"/>
      <c r="AA445" s="54"/>
      <c r="AB445" s="54" t="s">
        <v>285</v>
      </c>
      <c r="AC445" s="54" t="s">
        <v>236</v>
      </c>
      <c r="AD445" s="123" t="s">
        <v>207</v>
      </c>
      <c r="AE445" s="54" t="s">
        <v>1128</v>
      </c>
      <c r="AF445" s="54" t="s">
        <v>65</v>
      </c>
      <c r="AG445" s="140">
        <v>41031</v>
      </c>
      <c r="AH445" s="65">
        <f>IF((AG445=""),"",MONTH(AG445))</f>
        <v>5</v>
      </c>
      <c r="AI445" s="65"/>
      <c r="AJ445" s="140">
        <v>41061</v>
      </c>
      <c r="AK445" s="65">
        <f t="shared" si="45"/>
        <v>6</v>
      </c>
      <c r="AL445" s="54" t="s">
        <v>66</v>
      </c>
      <c r="AM445" s="138">
        <v>41487</v>
      </c>
      <c r="AN445" s="138">
        <v>41568</v>
      </c>
      <c r="AO445" s="190"/>
      <c r="AP445" s="136" t="str">
        <f t="shared" si="50"/>
        <v/>
      </c>
      <c r="AQ445" s="123"/>
      <c r="AR445" s="23"/>
      <c r="AS445" s="54" t="s">
        <v>347</v>
      </c>
      <c r="AT445" s="136"/>
      <c r="AU445" s="70">
        <f t="shared" si="49"/>
        <v>5</v>
      </c>
      <c r="AV445" s="70" t="s">
        <v>68</v>
      </c>
    </row>
    <row r="446" spans="1:48" ht="38.25" hidden="1" x14ac:dyDescent="0.2">
      <c r="A446" s="86">
        <v>20422</v>
      </c>
      <c r="B446" s="3" t="s">
        <v>3031</v>
      </c>
      <c r="C446" s="3" t="s">
        <v>535</v>
      </c>
      <c r="D446" s="86"/>
      <c r="E446" s="36" t="s">
        <v>94</v>
      </c>
      <c r="F446" s="48"/>
      <c r="G446" s="36"/>
      <c r="H446" s="81" t="s">
        <v>52</v>
      </c>
      <c r="I446" s="36" t="s">
        <v>3032</v>
      </c>
      <c r="J446" s="48">
        <v>38630</v>
      </c>
      <c r="K446" s="36" t="s">
        <v>52</v>
      </c>
      <c r="L446" s="36" t="s">
        <v>318</v>
      </c>
      <c r="M446" s="36" t="s">
        <v>2833</v>
      </c>
      <c r="N446" s="36" t="s">
        <v>2772</v>
      </c>
      <c r="O446" s="101"/>
      <c r="P446" s="159" t="s">
        <v>3033</v>
      </c>
      <c r="Q446" s="36"/>
      <c r="R446" s="36" t="s">
        <v>3034</v>
      </c>
      <c r="S446" s="36"/>
      <c r="T446" s="81"/>
      <c r="U446" s="81" t="s">
        <v>3035</v>
      </c>
      <c r="V446" s="36"/>
      <c r="W446" s="36"/>
      <c r="X446" s="36"/>
      <c r="Y446" s="36" t="s">
        <v>284</v>
      </c>
      <c r="Z446" s="81"/>
      <c r="AA446" s="54"/>
      <c r="AB446" s="81" t="s">
        <v>285</v>
      </c>
      <c r="AC446" s="81" t="s">
        <v>236</v>
      </c>
      <c r="AD446" s="36" t="s">
        <v>207</v>
      </c>
      <c r="AE446" s="81" t="s">
        <v>1128</v>
      </c>
      <c r="AF446" s="81" t="s">
        <v>65</v>
      </c>
      <c r="AG446" s="48"/>
      <c r="AH446" s="48"/>
      <c r="AI446" s="48"/>
      <c r="AJ446" s="48">
        <v>41090</v>
      </c>
      <c r="AK446" s="134">
        <f t="shared" si="45"/>
        <v>6</v>
      </c>
      <c r="AL446" s="54" t="s">
        <v>82</v>
      </c>
      <c r="AM446" s="54"/>
      <c r="AN446" s="54"/>
      <c r="AO446" s="190"/>
      <c r="AP446" s="136" t="str">
        <f t="shared" si="50"/>
        <v/>
      </c>
      <c r="AQ446" s="123"/>
      <c r="AR446" s="23"/>
      <c r="AS446" s="54" t="s">
        <v>347</v>
      </c>
      <c r="AT446" s="184"/>
      <c r="AU446" s="70" t="str">
        <f t="shared" si="49"/>
        <v/>
      </c>
      <c r="AV446" s="70" t="s">
        <v>68</v>
      </c>
    </row>
    <row r="447" spans="1:48" ht="12.75" hidden="1" x14ac:dyDescent="0.2">
      <c r="A447" s="86">
        <v>20423</v>
      </c>
      <c r="B447" s="3" t="s">
        <v>596</v>
      </c>
      <c r="C447" s="3" t="s">
        <v>618</v>
      </c>
      <c r="D447" s="86"/>
      <c r="E447" s="36" t="s">
        <v>94</v>
      </c>
      <c r="F447" s="48">
        <v>31724</v>
      </c>
      <c r="G447" s="36"/>
      <c r="H447" s="81" t="s">
        <v>365</v>
      </c>
      <c r="I447" s="36" t="s">
        <v>3036</v>
      </c>
      <c r="J447" s="48">
        <v>38052</v>
      </c>
      <c r="K447" s="36" t="s">
        <v>365</v>
      </c>
      <c r="L447" s="36" t="s">
        <v>318</v>
      </c>
      <c r="M447" s="36" t="s">
        <v>3037</v>
      </c>
      <c r="N447" s="36" t="s">
        <v>3038</v>
      </c>
      <c r="O447" s="101"/>
      <c r="P447" s="159" t="s">
        <v>3039</v>
      </c>
      <c r="Q447" s="36"/>
      <c r="R447" s="36" t="s">
        <v>3040</v>
      </c>
      <c r="S447" s="36"/>
      <c r="T447" s="81"/>
      <c r="U447" s="81" t="s">
        <v>3041</v>
      </c>
      <c r="V447" s="36"/>
      <c r="W447" s="36"/>
      <c r="X447" s="36"/>
      <c r="Y447" s="36" t="s">
        <v>284</v>
      </c>
      <c r="Z447" s="81"/>
      <c r="AA447" s="54"/>
      <c r="AB447" s="81" t="s">
        <v>285</v>
      </c>
      <c r="AC447" s="81" t="s">
        <v>236</v>
      </c>
      <c r="AD447" s="36" t="s">
        <v>207</v>
      </c>
      <c r="AE447" s="81" t="s">
        <v>585</v>
      </c>
      <c r="AF447" s="81" t="s">
        <v>65</v>
      </c>
      <c r="AG447" s="48"/>
      <c r="AH447" s="48"/>
      <c r="AI447" s="48"/>
      <c r="AJ447" s="48">
        <v>41106</v>
      </c>
      <c r="AK447" s="134">
        <f t="shared" si="45"/>
        <v>7</v>
      </c>
      <c r="AL447" s="54" t="s">
        <v>82</v>
      </c>
      <c r="AM447" s="54"/>
      <c r="AN447" s="54"/>
      <c r="AO447" s="190"/>
      <c r="AP447" s="136"/>
      <c r="AQ447" s="123"/>
      <c r="AR447" s="23"/>
      <c r="AS447" s="54" t="s">
        <v>347</v>
      </c>
      <c r="AT447" s="194"/>
      <c r="AU447" s="70">
        <f t="shared" si="49"/>
        <v>11</v>
      </c>
      <c r="AV447" s="70" t="s">
        <v>68</v>
      </c>
    </row>
    <row r="448" spans="1:48" ht="38.25" hidden="1" x14ac:dyDescent="0.2">
      <c r="A448" s="87">
        <v>20424</v>
      </c>
      <c r="B448" s="80" t="s">
        <v>3042</v>
      </c>
      <c r="C448" s="80" t="s">
        <v>3043</v>
      </c>
      <c r="D448" s="87"/>
      <c r="E448" s="123" t="s">
        <v>94</v>
      </c>
      <c r="F448" s="140">
        <v>30698</v>
      </c>
      <c r="G448" s="123" t="s">
        <v>132</v>
      </c>
      <c r="H448" s="54" t="s">
        <v>3044</v>
      </c>
      <c r="I448" s="123" t="s">
        <v>3045</v>
      </c>
      <c r="J448" s="140">
        <v>32452</v>
      </c>
      <c r="K448" s="123" t="s">
        <v>132</v>
      </c>
      <c r="L448" s="123" t="s">
        <v>352</v>
      </c>
      <c r="M448" s="123" t="s">
        <v>498</v>
      </c>
      <c r="N448" s="123" t="s">
        <v>760</v>
      </c>
      <c r="O448" s="106"/>
      <c r="P448" s="54" t="s">
        <v>3046</v>
      </c>
      <c r="Q448" s="123"/>
      <c r="R448" s="123" t="s">
        <v>3047</v>
      </c>
      <c r="S448" s="123"/>
      <c r="T448" s="54" t="s">
        <v>3048</v>
      </c>
      <c r="U448" s="54" t="s">
        <v>3049</v>
      </c>
      <c r="V448" s="123" t="s">
        <v>3050</v>
      </c>
      <c r="W448" s="123" t="s">
        <v>2989</v>
      </c>
      <c r="X448" s="123"/>
      <c r="Y448" s="123" t="s">
        <v>865</v>
      </c>
      <c r="Z448" s="54"/>
      <c r="AA448" s="54"/>
      <c r="AB448" s="54" t="s">
        <v>285</v>
      </c>
      <c r="AC448" s="54" t="s">
        <v>236</v>
      </c>
      <c r="AD448" s="123" t="s">
        <v>207</v>
      </c>
      <c r="AE448" s="54" t="s">
        <v>585</v>
      </c>
      <c r="AF448" s="54" t="s">
        <v>65</v>
      </c>
      <c r="AG448" s="140">
        <v>41045</v>
      </c>
      <c r="AH448" s="65">
        <f>IF((AG448=""),"",MONTH(AG448))</f>
        <v>5</v>
      </c>
      <c r="AI448" s="65"/>
      <c r="AJ448" s="140">
        <v>41365</v>
      </c>
      <c r="AK448" s="65">
        <f t="shared" si="45"/>
        <v>4</v>
      </c>
      <c r="AL448" s="54" t="s">
        <v>66</v>
      </c>
      <c r="AM448" s="138"/>
      <c r="AN448" s="138"/>
      <c r="AO448" s="190"/>
      <c r="AP448" s="136"/>
      <c r="AQ448" s="123"/>
      <c r="AR448" s="23"/>
      <c r="AS448" s="54" t="s">
        <v>347</v>
      </c>
      <c r="AT448" s="136"/>
      <c r="AU448" s="70">
        <f t="shared" si="49"/>
        <v>1</v>
      </c>
      <c r="AV448" s="70" t="s">
        <v>68</v>
      </c>
    </row>
    <row r="449" spans="1:48" ht="25.5" x14ac:dyDescent="0.2">
      <c r="A449" s="87">
        <v>20425</v>
      </c>
      <c r="B449" s="80" t="s">
        <v>2640</v>
      </c>
      <c r="C449" s="80" t="s">
        <v>70</v>
      </c>
      <c r="D449" s="87"/>
      <c r="E449" s="123" t="s">
        <v>94</v>
      </c>
      <c r="F449" s="140">
        <v>31417</v>
      </c>
      <c r="G449" s="123" t="s">
        <v>52</v>
      </c>
      <c r="H449" s="54" t="s">
        <v>53</v>
      </c>
      <c r="I449" s="123" t="s">
        <v>3051</v>
      </c>
      <c r="J449" s="140">
        <v>37329</v>
      </c>
      <c r="K449" s="123" t="s">
        <v>52</v>
      </c>
      <c r="L449" s="123" t="s">
        <v>123</v>
      </c>
      <c r="M449" s="123" t="s">
        <v>217</v>
      </c>
      <c r="N449" s="123" t="s">
        <v>3052</v>
      </c>
      <c r="O449" s="106"/>
      <c r="P449" s="54" t="s">
        <v>3053</v>
      </c>
      <c r="Q449" s="123"/>
      <c r="R449" s="123" t="s">
        <v>3054</v>
      </c>
      <c r="S449" s="123"/>
      <c r="T449" s="54" t="s">
        <v>3055</v>
      </c>
      <c r="U449" s="54" t="s">
        <v>3055</v>
      </c>
      <c r="V449" s="123"/>
      <c r="W449" s="123"/>
      <c r="X449" s="123"/>
      <c r="Y449" s="123" t="s">
        <v>972</v>
      </c>
      <c r="Z449" s="54"/>
      <c r="AA449" s="54"/>
      <c r="AB449" s="54" t="s">
        <v>285</v>
      </c>
      <c r="AC449" s="54" t="s">
        <v>236</v>
      </c>
      <c r="AD449" s="123" t="s">
        <v>404</v>
      </c>
      <c r="AE449" s="54" t="s">
        <v>700</v>
      </c>
      <c r="AF449" s="54" t="s">
        <v>65</v>
      </c>
      <c r="AG449" s="140">
        <v>41032</v>
      </c>
      <c r="AH449" s="65">
        <f>IF((AG449=""),"",MONTH(AG449))</f>
        <v>5</v>
      </c>
      <c r="AI449" s="65"/>
      <c r="AJ449" s="140">
        <v>41091</v>
      </c>
      <c r="AK449" s="65">
        <f t="shared" si="45"/>
        <v>7</v>
      </c>
      <c r="AL449" s="54" t="s">
        <v>105</v>
      </c>
      <c r="AM449" s="138">
        <v>41505</v>
      </c>
      <c r="AN449" s="138"/>
      <c r="AO449" s="190"/>
      <c r="AP449" s="136" t="str">
        <f>IF((AO449=""),"",MONTH(AO449))</f>
        <v/>
      </c>
      <c r="AQ449" s="123"/>
      <c r="AR449" s="23"/>
      <c r="AS449" s="54" t="s">
        <v>347</v>
      </c>
      <c r="AT449" s="136"/>
      <c r="AU449" s="70">
        <f t="shared" si="49"/>
        <v>1</v>
      </c>
      <c r="AV449" s="70" t="s">
        <v>68</v>
      </c>
    </row>
    <row r="450" spans="1:48" ht="25.5" hidden="1" x14ac:dyDescent="0.2">
      <c r="A450" s="87">
        <v>20426</v>
      </c>
      <c r="B450" s="80" t="s">
        <v>3056</v>
      </c>
      <c r="C450" s="80" t="s">
        <v>364</v>
      </c>
      <c r="D450" s="87"/>
      <c r="E450" s="123" t="s">
        <v>94</v>
      </c>
      <c r="F450" s="140">
        <v>30977</v>
      </c>
      <c r="G450" s="123" t="s">
        <v>52</v>
      </c>
      <c r="H450" s="54" t="s">
        <v>53</v>
      </c>
      <c r="I450" s="123" t="s">
        <v>3057</v>
      </c>
      <c r="J450" s="140">
        <v>39249</v>
      </c>
      <c r="K450" s="123" t="s">
        <v>52</v>
      </c>
      <c r="L450" s="123" t="s">
        <v>123</v>
      </c>
      <c r="M450" s="123" t="s">
        <v>111</v>
      </c>
      <c r="N450" s="123" t="s">
        <v>3058</v>
      </c>
      <c r="O450" s="106"/>
      <c r="P450" s="54" t="s">
        <v>3059</v>
      </c>
      <c r="Q450" s="123"/>
      <c r="R450" s="123" t="s">
        <v>3060</v>
      </c>
      <c r="S450" s="123"/>
      <c r="T450" s="54" t="s">
        <v>3061</v>
      </c>
      <c r="U450" s="54" t="s">
        <v>3062</v>
      </c>
      <c r="V450" s="123"/>
      <c r="W450" s="123"/>
      <c r="X450" s="123"/>
      <c r="Y450" s="123" t="s">
        <v>180</v>
      </c>
      <c r="Z450" s="54"/>
      <c r="AA450" s="54"/>
      <c r="AB450" s="54" t="s">
        <v>103</v>
      </c>
      <c r="AC450" s="54" t="s">
        <v>63</v>
      </c>
      <c r="AD450" s="123" t="s">
        <v>917</v>
      </c>
      <c r="AE450" s="54"/>
      <c r="AF450" s="54" t="s">
        <v>65</v>
      </c>
      <c r="AG450" s="140">
        <v>41022</v>
      </c>
      <c r="AH450" s="65">
        <f>IF((AG450=""),"",MONTH(AG450))</f>
        <v>4</v>
      </c>
      <c r="AI450" s="65"/>
      <c r="AJ450" s="140">
        <v>41083</v>
      </c>
      <c r="AK450" s="65">
        <f t="shared" si="45"/>
        <v>6</v>
      </c>
      <c r="AL450" s="54" t="s">
        <v>66</v>
      </c>
      <c r="AM450" s="138">
        <v>41338</v>
      </c>
      <c r="AN450" s="138">
        <v>41456</v>
      </c>
      <c r="AO450" s="190"/>
      <c r="AP450" s="136" t="str">
        <f>IF((AO450=""),"",MONTH(AO450))</f>
        <v/>
      </c>
      <c r="AQ450" s="123"/>
      <c r="AR450" s="23"/>
      <c r="AS450" s="54" t="s">
        <v>107</v>
      </c>
      <c r="AT450" s="136"/>
      <c r="AU450" s="70">
        <f t="shared" si="49"/>
        <v>10</v>
      </c>
      <c r="AV450" s="70" t="s">
        <v>68</v>
      </c>
    </row>
    <row r="451" spans="1:48" ht="25.5" hidden="1" x14ac:dyDescent="0.2">
      <c r="A451" s="86">
        <v>20427</v>
      </c>
      <c r="B451" s="3" t="s">
        <v>3063</v>
      </c>
      <c r="C451" s="3" t="s">
        <v>685</v>
      </c>
      <c r="D451" s="86"/>
      <c r="E451" s="36" t="s">
        <v>94</v>
      </c>
      <c r="F451" s="48">
        <v>32559</v>
      </c>
      <c r="G451" s="36"/>
      <c r="H451" s="81" t="s">
        <v>161</v>
      </c>
      <c r="I451" s="36" t="s">
        <v>3064</v>
      </c>
      <c r="J451" s="48">
        <v>38587</v>
      </c>
      <c r="K451" s="36" t="s">
        <v>161</v>
      </c>
      <c r="L451" s="36" t="s">
        <v>318</v>
      </c>
      <c r="M451" s="36" t="s">
        <v>3065</v>
      </c>
      <c r="N451" s="36" t="s">
        <v>3066</v>
      </c>
      <c r="O451" s="101"/>
      <c r="P451" s="159" t="s">
        <v>3067</v>
      </c>
      <c r="Q451" s="36"/>
      <c r="R451" s="36" t="s">
        <v>3068</v>
      </c>
      <c r="S451" s="36"/>
      <c r="T451" s="81"/>
      <c r="U451" s="81" t="s">
        <v>3069</v>
      </c>
      <c r="V451" s="36"/>
      <c r="W451" s="36"/>
      <c r="X451" s="36"/>
      <c r="Y451" s="36" t="s">
        <v>284</v>
      </c>
      <c r="Z451" s="81"/>
      <c r="AA451" s="54"/>
      <c r="AB451" s="81" t="s">
        <v>285</v>
      </c>
      <c r="AC451" s="81" t="s">
        <v>236</v>
      </c>
      <c r="AD451" s="36"/>
      <c r="AE451" s="81"/>
      <c r="AF451" s="81" t="s">
        <v>65</v>
      </c>
      <c r="AG451" s="48"/>
      <c r="AH451" s="48"/>
      <c r="AI451" s="48"/>
      <c r="AJ451" s="48">
        <v>41090</v>
      </c>
      <c r="AK451" s="134">
        <f t="shared" ref="AK451:AK514" si="51">IF((AJ451=""),"",MONTH(AJ451))</f>
        <v>6</v>
      </c>
      <c r="AL451" s="54" t="s">
        <v>82</v>
      </c>
      <c r="AM451" s="54"/>
      <c r="AN451" s="54"/>
      <c r="AO451" s="190"/>
      <c r="AP451" s="136" t="str">
        <f>IF((AO451=""),"",MONTH(AO451))</f>
        <v/>
      </c>
      <c r="AQ451" s="123"/>
      <c r="AR451" s="23"/>
      <c r="AS451" s="54"/>
      <c r="AT451" s="184"/>
      <c r="AU451" s="70">
        <f t="shared" si="49"/>
        <v>2</v>
      </c>
      <c r="AV451" s="70" t="s">
        <v>68</v>
      </c>
    </row>
    <row r="452" spans="1:48" s="136" customFormat="1" ht="25.5" x14ac:dyDescent="0.2">
      <c r="A452" s="87">
        <v>20428</v>
      </c>
      <c r="B452" s="80" t="s">
        <v>3070</v>
      </c>
      <c r="C452" s="80" t="s">
        <v>1272</v>
      </c>
      <c r="D452" s="87"/>
      <c r="E452" s="123" t="s">
        <v>94</v>
      </c>
      <c r="F452" s="140">
        <v>30845</v>
      </c>
      <c r="G452" s="123" t="s">
        <v>52</v>
      </c>
      <c r="H452" s="54" t="s">
        <v>53</v>
      </c>
      <c r="I452" s="123" t="s">
        <v>3071</v>
      </c>
      <c r="J452" s="140">
        <v>36373</v>
      </c>
      <c r="K452" s="123" t="s">
        <v>52</v>
      </c>
      <c r="L452" s="123" t="s">
        <v>341</v>
      </c>
      <c r="M452" s="123" t="s">
        <v>795</v>
      </c>
      <c r="N452" s="123" t="s">
        <v>760</v>
      </c>
      <c r="O452" s="106"/>
      <c r="P452" s="54" t="s">
        <v>3072</v>
      </c>
      <c r="Q452" s="123" t="s">
        <v>3073</v>
      </c>
      <c r="R452" s="123" t="s">
        <v>3074</v>
      </c>
      <c r="S452" s="123"/>
      <c r="T452" s="54" t="s">
        <v>3075</v>
      </c>
      <c r="U452" s="54" t="s">
        <v>3076</v>
      </c>
      <c r="V452" s="123"/>
      <c r="W452" s="123"/>
      <c r="X452" s="123"/>
      <c r="Y452" s="123" t="s">
        <v>1182</v>
      </c>
      <c r="Z452" s="54"/>
      <c r="AA452" s="54"/>
      <c r="AB452" s="54" t="s">
        <v>361</v>
      </c>
      <c r="AC452" s="54" t="s">
        <v>362</v>
      </c>
      <c r="AD452" s="123" t="s">
        <v>404</v>
      </c>
      <c r="AE452" s="54" t="s">
        <v>700</v>
      </c>
      <c r="AF452" s="54" t="s">
        <v>65</v>
      </c>
      <c r="AG452" s="140">
        <v>41032</v>
      </c>
      <c r="AH452" s="65">
        <f>IF((AG452=""),"",MONTH(AG452))</f>
        <v>5</v>
      </c>
      <c r="AI452" s="65"/>
      <c r="AJ452" s="140">
        <v>41091</v>
      </c>
      <c r="AK452" s="65">
        <f t="shared" si="51"/>
        <v>7</v>
      </c>
      <c r="AL452" s="54" t="s">
        <v>66</v>
      </c>
      <c r="AM452" s="138"/>
      <c r="AN452" s="138"/>
      <c r="AO452" s="190"/>
      <c r="AP452" s="136" t="str">
        <f>IF((AO452=""),"",MONTH(AO452))</f>
        <v/>
      </c>
      <c r="AQ452" s="123"/>
      <c r="AR452" s="23"/>
      <c r="AS452" s="54" t="s">
        <v>347</v>
      </c>
      <c r="AT452" s="194"/>
      <c r="AU452" s="70">
        <f t="shared" si="49"/>
        <v>6</v>
      </c>
      <c r="AV452" s="70" t="s">
        <v>68</v>
      </c>
    </row>
    <row r="453" spans="1:48" ht="38.25" hidden="1" x14ac:dyDescent="0.2">
      <c r="A453" s="86">
        <v>20429</v>
      </c>
      <c r="B453" s="3" t="s">
        <v>3077</v>
      </c>
      <c r="C453" s="3" t="s">
        <v>535</v>
      </c>
      <c r="D453" s="86"/>
      <c r="E453" s="36" t="s">
        <v>94</v>
      </c>
      <c r="F453" s="48">
        <v>27304</v>
      </c>
      <c r="G453" s="36"/>
      <c r="H453" s="81" t="s">
        <v>3078</v>
      </c>
      <c r="I453" s="36" t="s">
        <v>3079</v>
      </c>
      <c r="J453" s="48">
        <v>39949</v>
      </c>
      <c r="K453" s="36" t="s">
        <v>3080</v>
      </c>
      <c r="L453" s="36" t="s">
        <v>123</v>
      </c>
      <c r="M453" s="36" t="s">
        <v>96</v>
      </c>
      <c r="N453" s="36" t="s">
        <v>307</v>
      </c>
      <c r="O453" s="101"/>
      <c r="P453" s="81" t="s">
        <v>3081</v>
      </c>
      <c r="Q453" s="36"/>
      <c r="R453" s="36" t="s">
        <v>3082</v>
      </c>
      <c r="S453" s="36"/>
      <c r="T453" s="81" t="s">
        <v>3083</v>
      </c>
      <c r="U453" s="81" t="s">
        <v>3083</v>
      </c>
      <c r="V453" s="36" t="s">
        <v>3084</v>
      </c>
      <c r="W453" s="36" t="s">
        <v>2989</v>
      </c>
      <c r="X453" s="36"/>
      <c r="Y453" s="36" t="s">
        <v>374</v>
      </c>
      <c r="Z453" s="81"/>
      <c r="AA453" s="54"/>
      <c r="AB453" s="81">
        <v>3</v>
      </c>
      <c r="AC453" s="81" t="s">
        <v>63</v>
      </c>
      <c r="AD453" s="36" t="s">
        <v>198</v>
      </c>
      <c r="AE453" s="81" t="s">
        <v>313</v>
      </c>
      <c r="AF453" s="81" t="s">
        <v>65</v>
      </c>
      <c r="AG453" s="48">
        <v>41070</v>
      </c>
      <c r="AH453" s="134">
        <f>IF((AG453=""),"",MONTH(AG453))</f>
        <v>6</v>
      </c>
      <c r="AI453" s="134"/>
      <c r="AJ453" s="48">
        <v>41100</v>
      </c>
      <c r="AK453" s="134">
        <f t="shared" si="51"/>
        <v>7</v>
      </c>
      <c r="AL453" s="54" t="s">
        <v>82</v>
      </c>
      <c r="AM453" s="138"/>
      <c r="AN453" s="138"/>
      <c r="AO453" s="190">
        <v>41384</v>
      </c>
      <c r="AP453" s="136">
        <f>IF((AO453=""),"",MONTH(AO453))</f>
        <v>4</v>
      </c>
      <c r="AQ453" s="123"/>
      <c r="AR453" s="23"/>
      <c r="AS453" s="54"/>
      <c r="AT453" s="136"/>
      <c r="AU453" s="70">
        <f t="shared" si="49"/>
        <v>10</v>
      </c>
      <c r="AV453" s="70" t="s">
        <v>68</v>
      </c>
    </row>
    <row r="454" spans="1:48" ht="25.5" hidden="1" x14ac:dyDescent="0.2">
      <c r="A454" s="86">
        <v>20430</v>
      </c>
      <c r="B454" s="3" t="s">
        <v>3085</v>
      </c>
      <c r="C454" s="3" t="s">
        <v>1075</v>
      </c>
      <c r="D454" s="86"/>
      <c r="E454" s="36" t="s">
        <v>94</v>
      </c>
      <c r="F454" s="48">
        <v>32569</v>
      </c>
      <c r="G454" s="36" t="s">
        <v>365</v>
      </c>
      <c r="H454" s="81" t="s">
        <v>3086</v>
      </c>
      <c r="I454" s="36" t="s">
        <v>3087</v>
      </c>
      <c r="J454" s="48">
        <v>38262</v>
      </c>
      <c r="K454" s="36" t="s">
        <v>365</v>
      </c>
      <c r="L454" s="36" t="s">
        <v>123</v>
      </c>
      <c r="M454" s="36" t="s">
        <v>3088</v>
      </c>
      <c r="N454" s="36" t="s">
        <v>3089</v>
      </c>
      <c r="O454" s="101"/>
      <c r="P454" s="81" t="s">
        <v>3090</v>
      </c>
      <c r="Q454" s="36"/>
      <c r="R454" s="36" t="s">
        <v>3091</v>
      </c>
      <c r="S454" s="36"/>
      <c r="T454" s="81" t="s">
        <v>3092</v>
      </c>
      <c r="U454" s="81" t="s">
        <v>3093</v>
      </c>
      <c r="V454" s="36"/>
      <c r="W454" s="36"/>
      <c r="X454" s="36"/>
      <c r="Y454" s="36" t="s">
        <v>312</v>
      </c>
      <c r="Z454" s="81"/>
      <c r="AA454" s="54"/>
      <c r="AB454" s="81" t="s">
        <v>285</v>
      </c>
      <c r="AC454" s="81" t="s">
        <v>236</v>
      </c>
      <c r="AD454" s="36" t="s">
        <v>207</v>
      </c>
      <c r="AE454" s="81" t="s">
        <v>1136</v>
      </c>
      <c r="AF454" s="81" t="s">
        <v>65</v>
      </c>
      <c r="AG454" s="48">
        <v>41078</v>
      </c>
      <c r="AH454" s="134">
        <f>IF((AG454=""),"",MONTH(AG454))</f>
        <v>6</v>
      </c>
      <c r="AI454" s="134"/>
      <c r="AJ454" s="48">
        <v>41139</v>
      </c>
      <c r="AK454" s="134">
        <f t="shared" si="51"/>
        <v>8</v>
      </c>
      <c r="AL454" s="81" t="s">
        <v>82</v>
      </c>
      <c r="AM454" s="25"/>
      <c r="AN454" s="25"/>
      <c r="AO454" s="48"/>
      <c r="AP454" s="134"/>
      <c r="AQ454" s="36"/>
      <c r="AR454" s="116"/>
      <c r="AS454" s="81" t="s">
        <v>347</v>
      </c>
      <c r="AT454" s="134"/>
      <c r="AU454" s="172">
        <f t="shared" si="49"/>
        <v>3</v>
      </c>
      <c r="AV454" s="172" t="s">
        <v>68</v>
      </c>
    </row>
    <row r="455" spans="1:48" ht="12.75" hidden="1" x14ac:dyDescent="0.2">
      <c r="A455" s="86">
        <v>20431</v>
      </c>
      <c r="B455" s="3" t="s">
        <v>3094</v>
      </c>
      <c r="C455" s="3" t="s">
        <v>823</v>
      </c>
      <c r="D455" s="86"/>
      <c r="E455" s="36" t="s">
        <v>94</v>
      </c>
      <c r="F455" s="48">
        <v>31928</v>
      </c>
      <c r="G455" s="36"/>
      <c r="H455" s="81" t="s">
        <v>52</v>
      </c>
      <c r="I455" s="36" t="s">
        <v>3095</v>
      </c>
      <c r="J455" s="48">
        <v>37027</v>
      </c>
      <c r="K455" s="36" t="s">
        <v>52</v>
      </c>
      <c r="L455" s="36" t="s">
        <v>318</v>
      </c>
      <c r="M455" s="36" t="s">
        <v>320</v>
      </c>
      <c r="N455" s="36" t="s">
        <v>320</v>
      </c>
      <c r="O455" s="101"/>
      <c r="P455" s="159" t="s">
        <v>3096</v>
      </c>
      <c r="Q455" s="36"/>
      <c r="R455" s="36"/>
      <c r="S455" s="36"/>
      <c r="T455" s="81"/>
      <c r="U455" s="81"/>
      <c r="V455" s="36"/>
      <c r="W455" s="36"/>
      <c r="X455" s="36"/>
      <c r="Y455" s="36" t="s">
        <v>284</v>
      </c>
      <c r="Z455" s="81"/>
      <c r="AA455" s="54"/>
      <c r="AB455" s="81" t="s">
        <v>285</v>
      </c>
      <c r="AC455" s="81" t="s">
        <v>236</v>
      </c>
      <c r="AD455" s="36" t="s">
        <v>629</v>
      </c>
      <c r="AE455" s="81"/>
      <c r="AF455" s="81" t="s">
        <v>65</v>
      </c>
      <c r="AG455" s="48"/>
      <c r="AH455" s="48"/>
      <c r="AI455" s="48"/>
      <c r="AJ455" s="48"/>
      <c r="AK455" s="134" t="str">
        <f t="shared" si="51"/>
        <v/>
      </c>
      <c r="AL455" s="54" t="s">
        <v>82</v>
      </c>
      <c r="AM455" s="54"/>
      <c r="AN455" s="54"/>
      <c r="AO455" s="190"/>
      <c r="AP455" s="136"/>
      <c r="AQ455" s="123"/>
      <c r="AR455" s="23"/>
      <c r="AS455" s="54"/>
      <c r="AT455" s="23"/>
      <c r="AU455" s="70">
        <f t="shared" si="49"/>
        <v>5</v>
      </c>
      <c r="AV455" s="70" t="s">
        <v>68</v>
      </c>
    </row>
    <row r="456" spans="1:48" ht="25.5" hidden="1" x14ac:dyDescent="0.2">
      <c r="A456" s="87">
        <v>20432</v>
      </c>
      <c r="B456" s="80" t="s">
        <v>3097</v>
      </c>
      <c r="C456" s="80" t="s">
        <v>573</v>
      </c>
      <c r="D456" s="87"/>
      <c r="E456" s="123" t="s">
        <v>51</v>
      </c>
      <c r="F456" s="140">
        <v>31242</v>
      </c>
      <c r="G456" s="123"/>
      <c r="H456" s="54" t="s">
        <v>3098</v>
      </c>
      <c r="I456" s="123" t="s">
        <v>3099</v>
      </c>
      <c r="J456" s="140">
        <v>36860</v>
      </c>
      <c r="K456" s="123" t="s">
        <v>884</v>
      </c>
      <c r="L456" s="123" t="s">
        <v>341</v>
      </c>
      <c r="M456" s="123" t="s">
        <v>1106</v>
      </c>
      <c r="N456" s="123" t="s">
        <v>1927</v>
      </c>
      <c r="O456" s="106"/>
      <c r="P456" s="54" t="s">
        <v>3100</v>
      </c>
      <c r="Q456" s="123"/>
      <c r="R456" s="123" t="s">
        <v>3101</v>
      </c>
      <c r="S456" s="123"/>
      <c r="T456" s="54" t="s">
        <v>3102</v>
      </c>
      <c r="U456" s="54" t="s">
        <v>3103</v>
      </c>
      <c r="V456" s="123" t="s">
        <v>3104</v>
      </c>
      <c r="W456" s="123"/>
      <c r="X456" s="123" t="s">
        <v>3105</v>
      </c>
      <c r="Y456" s="123" t="s">
        <v>312</v>
      </c>
      <c r="Z456" s="54"/>
      <c r="AA456" s="54"/>
      <c r="AB456" s="54" t="s">
        <v>285</v>
      </c>
      <c r="AC456" s="54" t="s">
        <v>236</v>
      </c>
      <c r="AD456" s="123" t="s">
        <v>1145</v>
      </c>
      <c r="AE456" s="54" t="s">
        <v>1938</v>
      </c>
      <c r="AF456" s="54" t="s">
        <v>231</v>
      </c>
      <c r="AG456" s="140">
        <v>41052</v>
      </c>
      <c r="AH456" s="65">
        <f>IF((AG456=""),"",MONTH(AG456))</f>
        <v>5</v>
      </c>
      <c r="AI456" s="65"/>
      <c r="AJ456" s="140">
        <v>41122</v>
      </c>
      <c r="AK456" s="65">
        <f t="shared" si="51"/>
        <v>8</v>
      </c>
      <c r="AL456" s="54" t="s">
        <v>66</v>
      </c>
      <c r="AM456" s="138"/>
      <c r="AN456" s="138"/>
      <c r="AO456" s="190"/>
      <c r="AP456" s="136" t="str">
        <f>IF((AO456=""),"",MONTH(AO456))</f>
        <v/>
      </c>
      <c r="AQ456" s="123"/>
      <c r="AR456" s="23"/>
      <c r="AS456" s="54" t="s">
        <v>107</v>
      </c>
      <c r="AT456" s="136"/>
      <c r="AU456" s="70">
        <f t="shared" si="49"/>
        <v>7</v>
      </c>
      <c r="AV456" s="70" t="s">
        <v>68</v>
      </c>
    </row>
    <row r="457" spans="1:48" ht="51" hidden="1" x14ac:dyDescent="0.2">
      <c r="A457" s="86">
        <v>20433</v>
      </c>
      <c r="B457" s="3" t="s">
        <v>255</v>
      </c>
      <c r="C457" s="3" t="s">
        <v>3106</v>
      </c>
      <c r="D457" s="86"/>
      <c r="E457" s="36" t="s">
        <v>94</v>
      </c>
      <c r="F457" s="48">
        <v>30232</v>
      </c>
      <c r="G457" s="36"/>
      <c r="H457" s="81" t="s">
        <v>303</v>
      </c>
      <c r="I457" s="36" t="s">
        <v>3107</v>
      </c>
      <c r="J457" s="48" t="s">
        <v>6353</v>
      </c>
      <c r="K457" s="36" t="s">
        <v>231</v>
      </c>
      <c r="L457" s="36" t="s">
        <v>86</v>
      </c>
      <c r="M457" s="36" t="s">
        <v>3108</v>
      </c>
      <c r="N457" s="36" t="s">
        <v>3109</v>
      </c>
      <c r="O457" s="101"/>
      <c r="P457" s="159" t="s">
        <v>3110</v>
      </c>
      <c r="Q457" s="36"/>
      <c r="R457" s="36" t="s">
        <v>3111</v>
      </c>
      <c r="S457" s="36"/>
      <c r="T457" s="81"/>
      <c r="U457" s="81" t="s">
        <v>3112</v>
      </c>
      <c r="V457" s="36"/>
      <c r="W457" s="36"/>
      <c r="X457" s="36"/>
      <c r="Y457" s="36" t="s">
        <v>374</v>
      </c>
      <c r="Z457" s="81"/>
      <c r="AA457" s="54"/>
      <c r="AB457" s="81">
        <v>3</v>
      </c>
      <c r="AC457" s="81" t="s">
        <v>63</v>
      </c>
      <c r="AD457" s="36" t="s">
        <v>230</v>
      </c>
      <c r="AE457" s="81" t="s">
        <v>2158</v>
      </c>
      <c r="AF457" s="81" t="s">
        <v>231</v>
      </c>
      <c r="AG457" s="48"/>
      <c r="AH457" s="48"/>
      <c r="AI457" s="48"/>
      <c r="AJ457" s="48">
        <v>41153</v>
      </c>
      <c r="AK457" s="134">
        <f t="shared" si="51"/>
        <v>9</v>
      </c>
      <c r="AL457" s="54" t="s">
        <v>82</v>
      </c>
      <c r="AM457" s="54"/>
      <c r="AN457" s="54"/>
      <c r="AO457" s="190"/>
      <c r="AP457" s="136"/>
      <c r="AQ457" s="123"/>
      <c r="AR457" s="23"/>
      <c r="AS457" s="54"/>
      <c r="AT457" s="23"/>
      <c r="AU457" s="70">
        <f t="shared" si="49"/>
        <v>10</v>
      </c>
      <c r="AV457" s="70" t="s">
        <v>68</v>
      </c>
    </row>
    <row r="458" spans="1:48" ht="38.25" hidden="1" x14ac:dyDescent="0.2">
      <c r="A458" s="87">
        <v>20434</v>
      </c>
      <c r="B458" s="80" t="s">
        <v>3113</v>
      </c>
      <c r="C458" s="80" t="s">
        <v>920</v>
      </c>
      <c r="D458" s="87"/>
      <c r="E458" s="123" t="s">
        <v>94</v>
      </c>
      <c r="F458" s="140">
        <v>32178</v>
      </c>
      <c r="G458" s="123" t="s">
        <v>161</v>
      </c>
      <c r="H458" s="54" t="s">
        <v>3114</v>
      </c>
      <c r="I458" s="123" t="s">
        <v>3115</v>
      </c>
      <c r="J458" s="140">
        <v>39658</v>
      </c>
      <c r="K458" s="123" t="s">
        <v>161</v>
      </c>
      <c r="L458" s="123" t="s">
        <v>123</v>
      </c>
      <c r="M458" s="123" t="s">
        <v>1048</v>
      </c>
      <c r="N458" s="123" t="s">
        <v>458</v>
      </c>
      <c r="O458" s="106">
        <v>2010</v>
      </c>
      <c r="P458" s="54" t="s">
        <v>3116</v>
      </c>
      <c r="Q458" s="123" t="s">
        <v>3117</v>
      </c>
      <c r="R458" s="123" t="s">
        <v>3118</v>
      </c>
      <c r="S458" s="123"/>
      <c r="T458" s="54" t="s">
        <v>3119</v>
      </c>
      <c r="U458" s="54" t="s">
        <v>3120</v>
      </c>
      <c r="V458" s="123" t="s">
        <v>3121</v>
      </c>
      <c r="W458" s="123" t="s">
        <v>2989</v>
      </c>
      <c r="X458" s="123" t="s">
        <v>3122</v>
      </c>
      <c r="Y458" s="123" t="s">
        <v>312</v>
      </c>
      <c r="Z458" s="54"/>
      <c r="AA458" s="54"/>
      <c r="AB458" s="54" t="s">
        <v>285</v>
      </c>
      <c r="AC458" s="54" t="s">
        <v>236</v>
      </c>
      <c r="AD458" s="123" t="s">
        <v>198</v>
      </c>
      <c r="AE458" s="54" t="s">
        <v>313</v>
      </c>
      <c r="AF458" s="54" t="s">
        <v>65</v>
      </c>
      <c r="AG458" s="140">
        <v>41086</v>
      </c>
      <c r="AH458" s="65">
        <f>IF((AG458=""),"",MONTH(AG458))</f>
        <v>6</v>
      </c>
      <c r="AI458" s="65"/>
      <c r="AJ458" s="140">
        <v>41171</v>
      </c>
      <c r="AK458" s="65">
        <f t="shared" si="51"/>
        <v>9</v>
      </c>
      <c r="AL458" s="54" t="s">
        <v>66</v>
      </c>
      <c r="AM458" s="138">
        <v>41523</v>
      </c>
      <c r="AN458" s="29">
        <v>41702</v>
      </c>
      <c r="AO458" s="190"/>
      <c r="AP458" s="136" t="str">
        <f>IF((AO458=""),"",MONTH(AO458))</f>
        <v/>
      </c>
      <c r="AQ458" s="123"/>
      <c r="AR458" s="23"/>
      <c r="AS458" s="54" t="s">
        <v>107</v>
      </c>
      <c r="AT458" s="136"/>
      <c r="AU458" s="70">
        <f t="shared" si="49"/>
        <v>2</v>
      </c>
      <c r="AV458" s="70" t="s">
        <v>68</v>
      </c>
    </row>
    <row r="459" spans="1:48" ht="38.25" hidden="1" x14ac:dyDescent="0.2">
      <c r="A459" s="86">
        <v>20435</v>
      </c>
      <c r="B459" s="3" t="s">
        <v>3123</v>
      </c>
      <c r="C459" s="3" t="s">
        <v>1130</v>
      </c>
      <c r="D459" s="86"/>
      <c r="E459" s="36" t="s">
        <v>94</v>
      </c>
      <c r="F459" s="48">
        <v>28990</v>
      </c>
      <c r="G459" s="36"/>
      <c r="H459" s="81" t="s">
        <v>350</v>
      </c>
      <c r="I459" s="36" t="s">
        <v>3124</v>
      </c>
      <c r="J459" s="48">
        <v>40471</v>
      </c>
      <c r="K459" s="36" t="s">
        <v>52</v>
      </c>
      <c r="L459" s="36" t="s">
        <v>86</v>
      </c>
      <c r="M459" s="36" t="s">
        <v>3125</v>
      </c>
      <c r="N459" s="36"/>
      <c r="O459" s="101"/>
      <c r="P459" s="81" t="s">
        <v>3126</v>
      </c>
      <c r="Q459" s="36"/>
      <c r="R459" s="36" t="s">
        <v>3127</v>
      </c>
      <c r="S459" s="36"/>
      <c r="T459" s="81" t="s">
        <v>3128</v>
      </c>
      <c r="U459" s="81" t="s">
        <v>3129</v>
      </c>
      <c r="V459" s="36"/>
      <c r="W459" s="36" t="s">
        <v>3130</v>
      </c>
      <c r="X459" s="36" t="s">
        <v>3131</v>
      </c>
      <c r="Y459" s="36" t="s">
        <v>102</v>
      </c>
      <c r="Z459" s="81"/>
      <c r="AA459" s="54"/>
      <c r="AB459" s="81" t="s">
        <v>103</v>
      </c>
      <c r="AC459" s="81" t="s">
        <v>63</v>
      </c>
      <c r="AD459" s="36" t="s">
        <v>181</v>
      </c>
      <c r="AE459" s="81"/>
      <c r="AF459" s="81" t="s">
        <v>65</v>
      </c>
      <c r="AG459" s="48">
        <v>41091</v>
      </c>
      <c r="AH459" s="134">
        <f>IF((AG459=""),"",MONTH(AG459))</f>
        <v>7</v>
      </c>
      <c r="AI459" s="134"/>
      <c r="AJ459" s="48">
        <v>41091</v>
      </c>
      <c r="AK459" s="134">
        <f t="shared" si="51"/>
        <v>7</v>
      </c>
      <c r="AL459" s="94" t="s">
        <v>82</v>
      </c>
      <c r="AM459" s="78"/>
      <c r="AN459" s="78"/>
      <c r="AO459" s="190">
        <v>41384</v>
      </c>
      <c r="AP459" s="136">
        <f>IF((AO459=""),"",MONTH(AO459))</f>
        <v>4</v>
      </c>
      <c r="AQ459" s="127"/>
      <c r="AR459" s="23"/>
      <c r="AS459" s="94"/>
      <c r="AT459" s="136"/>
      <c r="AU459" s="70">
        <f t="shared" si="49"/>
        <v>5</v>
      </c>
      <c r="AV459" s="70" t="s">
        <v>68</v>
      </c>
    </row>
    <row r="460" spans="1:48" ht="19.5" hidden="1" customHeight="1" x14ac:dyDescent="0.2">
      <c r="A460" s="86">
        <v>20436</v>
      </c>
      <c r="B460" s="3" t="s">
        <v>2656</v>
      </c>
      <c r="C460" s="3" t="s">
        <v>2793</v>
      </c>
      <c r="D460" s="86"/>
      <c r="E460" s="36" t="s">
        <v>51</v>
      </c>
      <c r="F460" s="48">
        <v>32528</v>
      </c>
      <c r="G460" s="36"/>
      <c r="H460" s="81" t="s">
        <v>365</v>
      </c>
      <c r="I460" s="36" t="s">
        <v>3132</v>
      </c>
      <c r="J460" s="48">
        <v>39102</v>
      </c>
      <c r="K460" s="36" t="s">
        <v>365</v>
      </c>
      <c r="L460" s="36" t="s">
        <v>318</v>
      </c>
      <c r="M460" s="36" t="s">
        <v>3133</v>
      </c>
      <c r="N460" s="36" t="s">
        <v>3134</v>
      </c>
      <c r="O460" s="101"/>
      <c r="P460" s="159" t="s">
        <v>3135</v>
      </c>
      <c r="Q460" s="36"/>
      <c r="R460" s="36" t="s">
        <v>3136</v>
      </c>
      <c r="S460" s="36"/>
      <c r="T460" s="81"/>
      <c r="U460" s="81" t="s">
        <v>3137</v>
      </c>
      <c r="V460" s="36"/>
      <c r="W460" s="36"/>
      <c r="X460" s="36"/>
      <c r="Y460" s="36"/>
      <c r="Z460" s="81"/>
      <c r="AA460" s="54"/>
      <c r="AB460" s="81" t="s">
        <v>285</v>
      </c>
      <c r="AC460" s="81" t="s">
        <v>236</v>
      </c>
      <c r="AD460" s="36" t="s">
        <v>1067</v>
      </c>
      <c r="AE460" s="81" t="s">
        <v>1068</v>
      </c>
      <c r="AF460" s="81" t="s">
        <v>65</v>
      </c>
      <c r="AG460" s="48"/>
      <c r="AH460" s="48"/>
      <c r="AI460" s="48"/>
      <c r="AJ460" s="48">
        <v>41091</v>
      </c>
      <c r="AK460" s="134">
        <f t="shared" si="51"/>
        <v>7</v>
      </c>
      <c r="AL460" s="54" t="s">
        <v>82</v>
      </c>
      <c r="AM460" s="54"/>
      <c r="AN460" s="54"/>
      <c r="AO460" s="190"/>
      <c r="AP460" s="136"/>
      <c r="AQ460" s="123"/>
      <c r="AR460" s="23"/>
      <c r="AS460" s="54"/>
      <c r="AT460" s="184"/>
      <c r="AU460" s="70">
        <f t="shared" si="49"/>
        <v>1</v>
      </c>
      <c r="AV460" s="70" t="s">
        <v>68</v>
      </c>
    </row>
    <row r="461" spans="1:48" ht="19.5" hidden="1" customHeight="1" x14ac:dyDescent="0.2">
      <c r="A461" s="86">
        <v>20437</v>
      </c>
      <c r="B461" s="3" t="s">
        <v>964</v>
      </c>
      <c r="C461" s="3" t="s">
        <v>160</v>
      </c>
      <c r="D461" s="86"/>
      <c r="E461" s="36" t="s">
        <v>51</v>
      </c>
      <c r="F461" s="48">
        <v>32663</v>
      </c>
      <c r="G461" s="36"/>
      <c r="H461" s="81" t="s">
        <v>52</v>
      </c>
      <c r="I461" s="36" t="s">
        <v>3138</v>
      </c>
      <c r="J461" s="48">
        <v>37783</v>
      </c>
      <c r="K461" s="36" t="s">
        <v>52</v>
      </c>
      <c r="L461" s="36"/>
      <c r="M461" s="36" t="s">
        <v>3139</v>
      </c>
      <c r="N461" s="36" t="s">
        <v>3140</v>
      </c>
      <c r="O461" s="101"/>
      <c r="P461" s="159" t="s">
        <v>3141</v>
      </c>
      <c r="Q461" s="36"/>
      <c r="R461" s="36" t="s">
        <v>3142</v>
      </c>
      <c r="S461" s="36"/>
      <c r="T461" s="81"/>
      <c r="U461" s="81" t="s">
        <v>3143</v>
      </c>
      <c r="V461" s="36"/>
      <c r="W461" s="36"/>
      <c r="X461" s="36"/>
      <c r="Y461" s="36"/>
      <c r="Z461" s="81"/>
      <c r="AA461" s="54"/>
      <c r="AB461" s="81" t="s">
        <v>285</v>
      </c>
      <c r="AC461" s="81" t="s">
        <v>236</v>
      </c>
      <c r="AD461" s="36" t="s">
        <v>1166</v>
      </c>
      <c r="AE461" s="81"/>
      <c r="AF461" s="81" t="s">
        <v>65</v>
      </c>
      <c r="AG461" s="48"/>
      <c r="AH461" s="48"/>
      <c r="AI461" s="48"/>
      <c r="AJ461" s="48">
        <v>41162</v>
      </c>
      <c r="AK461" s="134">
        <f t="shared" si="51"/>
        <v>9</v>
      </c>
      <c r="AL461" s="54" t="s">
        <v>82</v>
      </c>
      <c r="AM461" s="54"/>
      <c r="AN461" s="54"/>
      <c r="AO461" s="190"/>
      <c r="AP461" s="136"/>
      <c r="AQ461" s="123"/>
      <c r="AR461" s="23"/>
      <c r="AS461" s="54" t="s">
        <v>67</v>
      </c>
      <c r="AT461" s="194"/>
      <c r="AU461" s="70">
        <f t="shared" si="49"/>
        <v>6</v>
      </c>
      <c r="AV461" s="70" t="s">
        <v>68</v>
      </c>
    </row>
    <row r="462" spans="1:48" ht="38.25" hidden="1" x14ac:dyDescent="0.2">
      <c r="A462" s="87">
        <v>20438</v>
      </c>
      <c r="B462" s="80" t="s">
        <v>1260</v>
      </c>
      <c r="C462" s="80" t="s">
        <v>94</v>
      </c>
      <c r="D462" s="87"/>
      <c r="E462" s="123" t="s">
        <v>94</v>
      </c>
      <c r="F462" s="140">
        <v>29373</v>
      </c>
      <c r="G462" s="123" t="s">
        <v>52</v>
      </c>
      <c r="H462" s="54" t="s">
        <v>3144</v>
      </c>
      <c r="I462" s="123" t="s">
        <v>3145</v>
      </c>
      <c r="J462" s="140">
        <v>39262</v>
      </c>
      <c r="K462" s="123" t="s">
        <v>52</v>
      </c>
      <c r="L462" s="123" t="s">
        <v>86</v>
      </c>
      <c r="M462" s="123" t="s">
        <v>382</v>
      </c>
      <c r="N462" s="123" t="s">
        <v>458</v>
      </c>
      <c r="O462" s="106"/>
      <c r="P462" s="54" t="s">
        <v>3146</v>
      </c>
      <c r="Q462" s="123"/>
      <c r="R462" s="123" t="s">
        <v>3147</v>
      </c>
      <c r="S462" s="123"/>
      <c r="T462" s="54" t="s">
        <v>3148</v>
      </c>
      <c r="U462" s="54" t="s">
        <v>3148</v>
      </c>
      <c r="V462" s="123" t="s">
        <v>3149</v>
      </c>
      <c r="W462" s="123" t="s">
        <v>3130</v>
      </c>
      <c r="X462" s="123" t="s">
        <v>3150</v>
      </c>
      <c r="Y462" s="123" t="s">
        <v>360</v>
      </c>
      <c r="Z462" s="54"/>
      <c r="AA462" s="54"/>
      <c r="AB462" s="54" t="s">
        <v>361</v>
      </c>
      <c r="AC462" s="54" t="s">
        <v>362</v>
      </c>
      <c r="AD462" s="123" t="s">
        <v>375</v>
      </c>
      <c r="AE462" s="54" t="s">
        <v>2099</v>
      </c>
      <c r="AF462" s="54" t="s">
        <v>65</v>
      </c>
      <c r="AG462" s="140">
        <v>41080</v>
      </c>
      <c r="AH462" s="65">
        <f>IF((AG462=""),"",MONTH(AG462))</f>
        <v>6</v>
      </c>
      <c r="AI462" s="65"/>
      <c r="AJ462" s="140">
        <v>41153</v>
      </c>
      <c r="AK462" s="65">
        <f t="shared" si="51"/>
        <v>9</v>
      </c>
      <c r="AL462" s="54" t="s">
        <v>66</v>
      </c>
      <c r="AM462" s="138"/>
      <c r="AN462" s="138"/>
      <c r="AO462" s="190"/>
      <c r="AP462" s="136" t="str">
        <f>IF((AO462=""),"",MONTH(AO462))</f>
        <v/>
      </c>
      <c r="AQ462" s="123"/>
      <c r="AR462" s="23"/>
      <c r="AS462" s="54" t="s">
        <v>107</v>
      </c>
      <c r="AT462" s="136"/>
      <c r="AU462" s="70">
        <f t="shared" si="49"/>
        <v>6</v>
      </c>
      <c r="AV462" s="70" t="s">
        <v>68</v>
      </c>
    </row>
    <row r="463" spans="1:48" ht="38.25" hidden="1" x14ac:dyDescent="0.2">
      <c r="A463" s="86">
        <v>20439</v>
      </c>
      <c r="B463" s="3" t="s">
        <v>3151</v>
      </c>
      <c r="C463" s="3" t="s">
        <v>833</v>
      </c>
      <c r="D463" s="86"/>
      <c r="E463" s="36" t="s">
        <v>94</v>
      </c>
      <c r="F463" s="48">
        <v>31906</v>
      </c>
      <c r="G463" s="36"/>
      <c r="H463" s="81" t="s">
        <v>3152</v>
      </c>
      <c r="I463" s="36" t="s">
        <v>3153</v>
      </c>
      <c r="J463" s="48">
        <v>38148</v>
      </c>
      <c r="K463" s="36" t="s">
        <v>231</v>
      </c>
      <c r="L463" s="36" t="s">
        <v>123</v>
      </c>
      <c r="M463" s="36" t="s">
        <v>3154</v>
      </c>
      <c r="N463" s="36" t="s">
        <v>368</v>
      </c>
      <c r="O463" s="101"/>
      <c r="P463" s="81" t="s">
        <v>3155</v>
      </c>
      <c r="Q463" s="36"/>
      <c r="R463" s="36" t="s">
        <v>3156</v>
      </c>
      <c r="S463" s="36"/>
      <c r="T463" s="81" t="s">
        <v>3157</v>
      </c>
      <c r="U463" s="81" t="s">
        <v>3157</v>
      </c>
      <c r="V463" s="36"/>
      <c r="W463" s="36"/>
      <c r="X463" s="36"/>
      <c r="Y463" s="36" t="s">
        <v>284</v>
      </c>
      <c r="Z463" s="81"/>
      <c r="AA463" s="54"/>
      <c r="AB463" s="81" t="s">
        <v>285</v>
      </c>
      <c r="AC463" s="81" t="s">
        <v>236</v>
      </c>
      <c r="AD463" s="36" t="s">
        <v>1183</v>
      </c>
      <c r="AE463" s="81" t="s">
        <v>1219</v>
      </c>
      <c r="AF463" s="81" t="s">
        <v>231</v>
      </c>
      <c r="AG463" s="48">
        <v>41121</v>
      </c>
      <c r="AH463" s="134">
        <f>IF((AG463=""),"",MONTH(AG463))</f>
        <v>7</v>
      </c>
      <c r="AI463" s="134"/>
      <c r="AJ463" s="48">
        <v>41153</v>
      </c>
      <c r="AK463" s="134">
        <f t="shared" si="51"/>
        <v>9</v>
      </c>
      <c r="AL463" s="94" t="s">
        <v>82</v>
      </c>
      <c r="AM463" s="78"/>
      <c r="AN463" s="78"/>
      <c r="AO463" s="190">
        <v>41362</v>
      </c>
      <c r="AP463" s="136">
        <f>IF((AO463=""),"",MONTH(AO463))</f>
        <v>3</v>
      </c>
      <c r="AQ463" s="127"/>
      <c r="AR463" s="23"/>
      <c r="AS463" s="54" t="s">
        <v>107</v>
      </c>
      <c r="AT463" s="136"/>
      <c r="AU463" s="70">
        <f t="shared" si="49"/>
        <v>5</v>
      </c>
      <c r="AV463" s="70" t="s">
        <v>68</v>
      </c>
    </row>
    <row r="464" spans="1:48" ht="51" hidden="1" x14ac:dyDescent="0.2">
      <c r="A464" s="87">
        <v>20440</v>
      </c>
      <c r="B464" s="80" t="s">
        <v>3158</v>
      </c>
      <c r="C464" s="80" t="s">
        <v>424</v>
      </c>
      <c r="D464" s="87"/>
      <c r="E464" s="123" t="s">
        <v>94</v>
      </c>
      <c r="F464" s="140">
        <v>32006</v>
      </c>
      <c r="G464" s="123"/>
      <c r="H464" s="54" t="s">
        <v>3159</v>
      </c>
      <c r="I464" s="123" t="s">
        <v>3160</v>
      </c>
      <c r="J464" s="140">
        <v>39611</v>
      </c>
      <c r="K464" s="123" t="s">
        <v>52</v>
      </c>
      <c r="L464" s="123" t="s">
        <v>123</v>
      </c>
      <c r="M464" s="123" t="s">
        <v>1355</v>
      </c>
      <c r="N464" s="123" t="s">
        <v>458</v>
      </c>
      <c r="O464" s="106"/>
      <c r="P464" s="54" t="s">
        <v>3161</v>
      </c>
      <c r="Q464" s="123"/>
      <c r="R464" s="123" t="s">
        <v>3162</v>
      </c>
      <c r="S464" s="123"/>
      <c r="T464" s="54" t="s">
        <v>3163</v>
      </c>
      <c r="U464" s="54" t="s">
        <v>3164</v>
      </c>
      <c r="V464" s="123"/>
      <c r="W464" s="123"/>
      <c r="X464" s="123"/>
      <c r="Y464" s="123" t="s">
        <v>312</v>
      </c>
      <c r="Z464" s="54"/>
      <c r="AA464" s="54"/>
      <c r="AB464" s="54" t="s">
        <v>285</v>
      </c>
      <c r="AC464" s="54" t="s">
        <v>236</v>
      </c>
      <c r="AD464" s="123" t="s">
        <v>375</v>
      </c>
      <c r="AE464" s="54" t="s">
        <v>792</v>
      </c>
      <c r="AF464" s="54" t="s">
        <v>65</v>
      </c>
      <c r="AG464" s="140">
        <v>41131</v>
      </c>
      <c r="AH464" s="65">
        <f>IF((AG464=""),"",MONTH(AG464))</f>
        <v>8</v>
      </c>
      <c r="AI464" s="65"/>
      <c r="AJ464" s="140">
        <v>41131</v>
      </c>
      <c r="AK464" s="65">
        <f t="shared" si="51"/>
        <v>8</v>
      </c>
      <c r="AL464" s="54" t="s">
        <v>66</v>
      </c>
      <c r="AM464" s="138"/>
      <c r="AN464" s="138"/>
      <c r="AO464" s="190"/>
      <c r="AP464" s="136" t="str">
        <f>IF((AO464=""),"",MONTH(AO464))</f>
        <v/>
      </c>
      <c r="AQ464" s="123"/>
      <c r="AR464" s="23"/>
      <c r="AS464" s="54" t="s">
        <v>107</v>
      </c>
      <c r="AT464" s="136"/>
      <c r="AU464" s="70">
        <f t="shared" si="49"/>
        <v>8</v>
      </c>
      <c r="AV464" s="70" t="s">
        <v>68</v>
      </c>
    </row>
    <row r="465" spans="1:48" ht="25.5" hidden="1" x14ac:dyDescent="0.2">
      <c r="A465" s="86">
        <v>20441</v>
      </c>
      <c r="B465" s="3" t="s">
        <v>3165</v>
      </c>
      <c r="C465" s="3" t="s">
        <v>1736</v>
      </c>
      <c r="D465" s="86"/>
      <c r="E465" s="36" t="s">
        <v>51</v>
      </c>
      <c r="F465" s="48">
        <v>32674</v>
      </c>
      <c r="G465" s="36"/>
      <c r="H465" s="81" t="s">
        <v>303</v>
      </c>
      <c r="I465" s="36" t="s">
        <v>3166</v>
      </c>
      <c r="J465" s="48">
        <v>38552</v>
      </c>
      <c r="K465" s="36" t="s">
        <v>303</v>
      </c>
      <c r="L465" s="36" t="s">
        <v>318</v>
      </c>
      <c r="M465" s="36" t="s">
        <v>3167</v>
      </c>
      <c r="N465" s="36" t="s">
        <v>3168</v>
      </c>
      <c r="O465" s="101"/>
      <c r="P465" s="159" t="s">
        <v>3169</v>
      </c>
      <c r="Q465" s="36"/>
      <c r="R465" s="36"/>
      <c r="S465" s="36"/>
      <c r="T465" s="81"/>
      <c r="U465" s="81"/>
      <c r="V465" s="36"/>
      <c r="W465" s="36"/>
      <c r="X465" s="36"/>
      <c r="Y465" s="36" t="s">
        <v>284</v>
      </c>
      <c r="Z465" s="81"/>
      <c r="AA465" s="54"/>
      <c r="AB465" s="81" t="s">
        <v>285</v>
      </c>
      <c r="AC465" s="81" t="s">
        <v>236</v>
      </c>
      <c r="AD465" s="36" t="s">
        <v>230</v>
      </c>
      <c r="AE465" s="81" t="s">
        <v>2256</v>
      </c>
      <c r="AF465" s="81" t="s">
        <v>231</v>
      </c>
      <c r="AG465" s="48"/>
      <c r="AH465" s="48"/>
      <c r="AI465" s="48"/>
      <c r="AJ465" s="48">
        <v>41162</v>
      </c>
      <c r="AK465" s="134">
        <f t="shared" si="51"/>
        <v>9</v>
      </c>
      <c r="AL465" s="54" t="s">
        <v>82</v>
      </c>
      <c r="AM465" s="54"/>
      <c r="AN465" s="54"/>
      <c r="AO465" s="190"/>
      <c r="AP465" s="136"/>
      <c r="AQ465" s="123"/>
      <c r="AR465" s="23"/>
      <c r="AS465" s="54"/>
      <c r="AT465" s="23"/>
      <c r="AU465" s="70">
        <f t="shared" si="49"/>
        <v>6</v>
      </c>
      <c r="AV465" s="70" t="s">
        <v>68</v>
      </c>
    </row>
    <row r="466" spans="1:48" ht="25.5" x14ac:dyDescent="0.2">
      <c r="A466" s="87">
        <v>20442</v>
      </c>
      <c r="B466" s="80" t="s">
        <v>691</v>
      </c>
      <c r="C466" s="80" t="s">
        <v>3170</v>
      </c>
      <c r="D466" s="87"/>
      <c r="E466" s="123" t="s">
        <v>94</v>
      </c>
      <c r="F466" s="140">
        <v>29942</v>
      </c>
      <c r="G466" s="123" t="s">
        <v>1186</v>
      </c>
      <c r="H466" s="54" t="s">
        <v>3171</v>
      </c>
      <c r="I466" s="123" t="s">
        <v>3172</v>
      </c>
      <c r="J466" s="140">
        <v>40885</v>
      </c>
      <c r="K466" s="123" t="s">
        <v>52</v>
      </c>
      <c r="L466" s="123" t="s">
        <v>123</v>
      </c>
      <c r="M466" s="123" t="s">
        <v>543</v>
      </c>
      <c r="N466" s="123" t="s">
        <v>544</v>
      </c>
      <c r="O466" s="106"/>
      <c r="P466" s="54" t="s">
        <v>3173</v>
      </c>
      <c r="Q466" s="123" t="s">
        <v>3174</v>
      </c>
      <c r="R466" s="123" t="s">
        <v>3175</v>
      </c>
      <c r="S466" s="123"/>
      <c r="T466" s="54" t="s">
        <v>3176</v>
      </c>
      <c r="U466" s="54" t="s">
        <v>3176</v>
      </c>
      <c r="V466" s="123" t="s">
        <v>3177</v>
      </c>
      <c r="W466" s="123" t="s">
        <v>2989</v>
      </c>
      <c r="X466" s="123" t="s">
        <v>3178</v>
      </c>
      <c r="Y466" s="123" t="s">
        <v>972</v>
      </c>
      <c r="Z466" s="54"/>
      <c r="AA466" s="54"/>
      <c r="AB466" s="54" t="s">
        <v>285</v>
      </c>
      <c r="AC466" s="54" t="s">
        <v>236</v>
      </c>
      <c r="AD466" s="123" t="s">
        <v>512</v>
      </c>
      <c r="AE466" s="54" t="s">
        <v>973</v>
      </c>
      <c r="AF466" s="54" t="s">
        <v>65</v>
      </c>
      <c r="AG466" s="140">
        <v>41134</v>
      </c>
      <c r="AH466" s="65">
        <f>IF((AG466=""),"",MONTH(AG466))</f>
        <v>8</v>
      </c>
      <c r="AI466" s="65"/>
      <c r="AJ466" s="140">
        <v>41164</v>
      </c>
      <c r="AK466" s="65">
        <f t="shared" si="51"/>
        <v>9</v>
      </c>
      <c r="AL466" s="54" t="s">
        <v>105</v>
      </c>
      <c r="AM466" s="138">
        <v>41609</v>
      </c>
      <c r="AN466" s="138"/>
      <c r="AO466" s="190"/>
      <c r="AP466" s="136" t="str">
        <f>IF((AO466=""),"",MONTH(AO466))</f>
        <v/>
      </c>
      <c r="AQ466" s="123"/>
      <c r="AR466" s="23"/>
      <c r="AS466" s="54" t="s">
        <v>347</v>
      </c>
      <c r="AT466" s="136"/>
      <c r="AU466" s="70">
        <f t="shared" si="49"/>
        <v>12</v>
      </c>
      <c r="AV466" s="70" t="s">
        <v>68</v>
      </c>
    </row>
    <row r="467" spans="1:48" ht="12.75" hidden="1" x14ac:dyDescent="0.2">
      <c r="A467" s="86">
        <v>20443</v>
      </c>
      <c r="B467" s="3" t="s">
        <v>701</v>
      </c>
      <c r="C467" s="3" t="s">
        <v>250</v>
      </c>
      <c r="D467" s="86"/>
      <c r="E467" s="36" t="s">
        <v>94</v>
      </c>
      <c r="F467" s="48">
        <v>33003</v>
      </c>
      <c r="G467" s="36"/>
      <c r="H467" s="81" t="s">
        <v>412</v>
      </c>
      <c r="I467" s="36" t="s">
        <v>3179</v>
      </c>
      <c r="J467" s="48">
        <v>38868</v>
      </c>
      <c r="K467" s="36" t="s">
        <v>412</v>
      </c>
      <c r="L467" s="36" t="s">
        <v>318</v>
      </c>
      <c r="M467" s="36" t="s">
        <v>111</v>
      </c>
      <c r="N467" s="36" t="s">
        <v>1582</v>
      </c>
      <c r="O467" s="101"/>
      <c r="P467" s="159" t="s">
        <v>3180</v>
      </c>
      <c r="Q467" s="36"/>
      <c r="R467" s="36"/>
      <c r="S467" s="36"/>
      <c r="T467" s="81"/>
      <c r="U467" s="81"/>
      <c r="V467" s="36"/>
      <c r="W467" s="36"/>
      <c r="X467" s="36"/>
      <c r="Y467" s="36" t="s">
        <v>284</v>
      </c>
      <c r="Z467" s="81"/>
      <c r="AA467" s="54"/>
      <c r="AB467" s="81" t="s">
        <v>285</v>
      </c>
      <c r="AC467" s="81" t="s">
        <v>236</v>
      </c>
      <c r="AD467" s="36" t="s">
        <v>1166</v>
      </c>
      <c r="AE467" s="81"/>
      <c r="AF467" s="81" t="s">
        <v>65</v>
      </c>
      <c r="AG467" s="48"/>
      <c r="AH467" s="48"/>
      <c r="AI467" s="48"/>
      <c r="AJ467" s="48">
        <v>41153</v>
      </c>
      <c r="AK467" s="134">
        <f t="shared" si="51"/>
        <v>9</v>
      </c>
      <c r="AL467" s="54" t="s">
        <v>82</v>
      </c>
      <c r="AM467" s="54"/>
      <c r="AN467" s="54"/>
      <c r="AO467" s="190"/>
      <c r="AP467" s="136"/>
      <c r="AQ467" s="123"/>
      <c r="AR467" s="23"/>
      <c r="AS467" s="54" t="s">
        <v>67</v>
      </c>
      <c r="AT467" s="184"/>
      <c r="AU467" s="70">
        <f t="shared" si="49"/>
        <v>5</v>
      </c>
      <c r="AV467" s="70" t="s">
        <v>68</v>
      </c>
    </row>
    <row r="468" spans="1:48" ht="12.75" hidden="1" x14ac:dyDescent="0.2">
      <c r="A468" s="86">
        <v>20444</v>
      </c>
      <c r="B468" s="3" t="s">
        <v>3181</v>
      </c>
      <c r="C468" s="3" t="s">
        <v>160</v>
      </c>
      <c r="D468" s="86"/>
      <c r="E468" s="36" t="s">
        <v>51</v>
      </c>
      <c r="F468" s="48"/>
      <c r="G468" s="36"/>
      <c r="H468" s="81"/>
      <c r="I468" s="36"/>
      <c r="J468" s="48"/>
      <c r="K468" s="36"/>
      <c r="L468" s="36"/>
      <c r="M468" s="36" t="s">
        <v>320</v>
      </c>
      <c r="N468" s="36" t="s">
        <v>320</v>
      </c>
      <c r="O468" s="101"/>
      <c r="P468" s="159" t="s">
        <v>3182</v>
      </c>
      <c r="Q468" s="36"/>
      <c r="R468" s="36"/>
      <c r="S468" s="36"/>
      <c r="T468" s="81"/>
      <c r="U468" s="81"/>
      <c r="V468" s="36"/>
      <c r="W468" s="36"/>
      <c r="X468" s="36"/>
      <c r="Y468" s="36" t="s">
        <v>102</v>
      </c>
      <c r="Z468" s="81"/>
      <c r="AA468" s="54"/>
      <c r="AB468" s="81" t="s">
        <v>103</v>
      </c>
      <c r="AC468" s="81" t="s">
        <v>63</v>
      </c>
      <c r="AD468" s="36" t="s">
        <v>3183</v>
      </c>
      <c r="AE468" s="81"/>
      <c r="AF468" s="81" t="s">
        <v>231</v>
      </c>
      <c r="AG468" s="48"/>
      <c r="AH468" s="48"/>
      <c r="AI468" s="48"/>
      <c r="AJ468" s="48">
        <v>41106</v>
      </c>
      <c r="AK468" s="134">
        <f t="shared" si="51"/>
        <v>7</v>
      </c>
      <c r="AL468" s="54" t="s">
        <v>82</v>
      </c>
      <c r="AM468" s="54"/>
      <c r="AN468" s="54"/>
      <c r="AO468" s="190"/>
      <c r="AP468" s="136"/>
      <c r="AQ468" s="123"/>
      <c r="AR468" s="23"/>
      <c r="AS468" s="54"/>
      <c r="AT468" s="194"/>
      <c r="AU468" s="70" t="str">
        <f t="shared" si="49"/>
        <v/>
      </c>
      <c r="AV468" s="70" t="s">
        <v>68</v>
      </c>
    </row>
    <row r="469" spans="1:48" ht="51" hidden="1" x14ac:dyDescent="0.2">
      <c r="A469" s="87">
        <v>20445</v>
      </c>
      <c r="B469" s="80" t="s">
        <v>3184</v>
      </c>
      <c r="C469" s="80" t="s">
        <v>84</v>
      </c>
      <c r="D469" s="87"/>
      <c r="E469" s="123" t="s">
        <v>51</v>
      </c>
      <c r="F469" s="140">
        <v>32520</v>
      </c>
      <c r="G469" s="123" t="s">
        <v>52</v>
      </c>
      <c r="H469" s="54" t="s">
        <v>3144</v>
      </c>
      <c r="I469" s="123" t="s">
        <v>3185</v>
      </c>
      <c r="J469" s="140">
        <v>39291</v>
      </c>
      <c r="K469" s="123" t="s">
        <v>52</v>
      </c>
      <c r="L469" s="123" t="s">
        <v>123</v>
      </c>
      <c r="M469" s="123" t="s">
        <v>1501</v>
      </c>
      <c r="N469" s="123" t="s">
        <v>469</v>
      </c>
      <c r="O469" s="106"/>
      <c r="P469" s="54" t="s">
        <v>3186</v>
      </c>
      <c r="Q469" s="123" t="s">
        <v>3187</v>
      </c>
      <c r="R469" s="123" t="s">
        <v>3188</v>
      </c>
      <c r="S469" s="123"/>
      <c r="T469" s="54" t="s">
        <v>3189</v>
      </c>
      <c r="U469" s="54" t="s">
        <v>3189</v>
      </c>
      <c r="V469" s="123" t="s">
        <v>3190</v>
      </c>
      <c r="W469" s="123" t="s">
        <v>3191</v>
      </c>
      <c r="X469" s="123" t="s">
        <v>3192</v>
      </c>
      <c r="Y469" s="123" t="s">
        <v>1524</v>
      </c>
      <c r="Z469" s="54"/>
      <c r="AA469" s="54"/>
      <c r="AB469" s="54" t="s">
        <v>285</v>
      </c>
      <c r="AC469" s="54" t="s">
        <v>236</v>
      </c>
      <c r="AD469" s="123" t="s">
        <v>375</v>
      </c>
      <c r="AE469" s="54" t="s">
        <v>1525</v>
      </c>
      <c r="AF469" s="54" t="s">
        <v>65</v>
      </c>
      <c r="AG469" s="140"/>
      <c r="AH469" s="65" t="str">
        <f>IF((AG469=""),"",MONTH(AG469))</f>
        <v/>
      </c>
      <c r="AI469" s="65"/>
      <c r="AJ469" s="140">
        <v>41136</v>
      </c>
      <c r="AK469" s="65">
        <f t="shared" si="51"/>
        <v>8</v>
      </c>
      <c r="AL469" s="54" t="s">
        <v>66</v>
      </c>
      <c r="AM469" s="138"/>
      <c r="AN469" s="138"/>
      <c r="AO469" s="190"/>
      <c r="AP469" s="136" t="str">
        <f>IF((AO469=""),"",MONTH(AO469))</f>
        <v/>
      </c>
      <c r="AQ469" s="123"/>
      <c r="AR469" s="23"/>
      <c r="AS469" s="54" t="s">
        <v>107</v>
      </c>
      <c r="AT469" s="136"/>
      <c r="AU469" s="70">
        <f t="shared" si="49"/>
        <v>1</v>
      </c>
      <c r="AV469" s="70" t="s">
        <v>68</v>
      </c>
    </row>
    <row r="470" spans="1:48" ht="12.75" hidden="1" x14ac:dyDescent="0.2">
      <c r="A470" s="87">
        <v>20446</v>
      </c>
      <c r="B470" s="80" t="s">
        <v>3193</v>
      </c>
      <c r="C470" s="80" t="s">
        <v>685</v>
      </c>
      <c r="D470" s="87"/>
      <c r="E470" s="123" t="s">
        <v>94</v>
      </c>
      <c r="F470" s="140">
        <v>32275</v>
      </c>
      <c r="G470" s="123"/>
      <c r="H470" s="54" t="s">
        <v>0</v>
      </c>
      <c r="I470" s="123"/>
      <c r="J470" s="140"/>
      <c r="K470" s="123"/>
      <c r="L470" s="123" t="s">
        <v>123</v>
      </c>
      <c r="M470" s="123"/>
      <c r="N470" s="123"/>
      <c r="O470" s="106"/>
      <c r="P470" s="54" t="s">
        <v>3194</v>
      </c>
      <c r="Q470" s="123"/>
      <c r="R470" s="123" t="s">
        <v>3195</v>
      </c>
      <c r="S470" s="123"/>
      <c r="T470" s="54" t="s">
        <v>0</v>
      </c>
      <c r="U470" s="54" t="s">
        <v>0</v>
      </c>
      <c r="V470" s="123"/>
      <c r="W470" s="123"/>
      <c r="X470" s="123"/>
      <c r="Y470" s="123" t="s">
        <v>865</v>
      </c>
      <c r="Z470" s="54"/>
      <c r="AA470" s="54"/>
      <c r="AB470" s="54" t="s">
        <v>285</v>
      </c>
      <c r="AC470" s="54" t="s">
        <v>236</v>
      </c>
      <c r="AD470" s="123" t="s">
        <v>207</v>
      </c>
      <c r="AE470" s="54" t="s">
        <v>585</v>
      </c>
      <c r="AF470" s="54" t="s">
        <v>65</v>
      </c>
      <c r="AG470" s="140">
        <v>41142</v>
      </c>
      <c r="AH470" s="65">
        <f>IF((AG470=""),"",MONTH(AG470))</f>
        <v>8</v>
      </c>
      <c r="AI470" s="65"/>
      <c r="AJ470" s="140">
        <v>41365</v>
      </c>
      <c r="AK470" s="65">
        <f t="shared" si="51"/>
        <v>4</v>
      </c>
      <c r="AL470" s="54" t="s">
        <v>66</v>
      </c>
      <c r="AM470" s="138"/>
      <c r="AN470" s="138"/>
      <c r="AO470" s="190"/>
      <c r="AP470" s="136"/>
      <c r="AQ470" s="123"/>
      <c r="AR470" s="23"/>
      <c r="AS470" s="54" t="s">
        <v>347</v>
      </c>
      <c r="AT470" s="136"/>
      <c r="AU470" s="70">
        <f t="shared" si="49"/>
        <v>5</v>
      </c>
      <c r="AV470" s="70" t="s">
        <v>68</v>
      </c>
    </row>
    <row r="471" spans="1:48" ht="12.75" hidden="1" x14ac:dyDescent="0.2">
      <c r="A471" s="86">
        <v>20447</v>
      </c>
      <c r="B471" s="3" t="s">
        <v>3196</v>
      </c>
      <c r="C471" s="3" t="s">
        <v>1031</v>
      </c>
      <c r="D471" s="86"/>
      <c r="E471" s="36" t="s">
        <v>94</v>
      </c>
      <c r="F471" s="48"/>
      <c r="G471" s="36"/>
      <c r="H471" s="81"/>
      <c r="I471" s="36"/>
      <c r="J471" s="48"/>
      <c r="K471" s="36"/>
      <c r="L471" s="36"/>
      <c r="M471" s="36" t="s">
        <v>320</v>
      </c>
      <c r="N471" s="36" t="s">
        <v>320</v>
      </c>
      <c r="O471" s="101"/>
      <c r="P471" s="159" t="s">
        <v>3197</v>
      </c>
      <c r="Q471" s="36"/>
      <c r="R471" s="36"/>
      <c r="S471" s="36"/>
      <c r="T471" s="81"/>
      <c r="U471" s="81"/>
      <c r="V471" s="36"/>
      <c r="W471" s="36"/>
      <c r="X471" s="36"/>
      <c r="Y471" s="36" t="s">
        <v>284</v>
      </c>
      <c r="Z471" s="81"/>
      <c r="AA471" s="54"/>
      <c r="AB471" s="81" t="s">
        <v>285</v>
      </c>
      <c r="AC471" s="81" t="s">
        <v>236</v>
      </c>
      <c r="AD471" s="36" t="s">
        <v>207</v>
      </c>
      <c r="AE471" s="81" t="s">
        <v>585</v>
      </c>
      <c r="AF471" s="81" t="s">
        <v>65</v>
      </c>
      <c r="AG471" s="48"/>
      <c r="AH471" s="48"/>
      <c r="AI471" s="48"/>
      <c r="AJ471" s="48"/>
      <c r="AK471" s="134" t="str">
        <f t="shared" si="51"/>
        <v/>
      </c>
      <c r="AL471" s="54" t="s">
        <v>82</v>
      </c>
      <c r="AM471" s="54"/>
      <c r="AN471" s="54"/>
      <c r="AO471" s="190"/>
      <c r="AP471" s="136"/>
      <c r="AQ471" s="123"/>
      <c r="AR471" s="23"/>
      <c r="AS471" s="54" t="s">
        <v>347</v>
      </c>
      <c r="AT471" s="184"/>
      <c r="AU471" s="70" t="str">
        <f t="shared" si="49"/>
        <v/>
      </c>
      <c r="AV471" s="70" t="s">
        <v>68</v>
      </c>
    </row>
    <row r="472" spans="1:48" ht="25.5" hidden="1" x14ac:dyDescent="0.2">
      <c r="A472" s="86">
        <v>20448</v>
      </c>
      <c r="B472" s="3" t="s">
        <v>982</v>
      </c>
      <c r="C472" s="3" t="s">
        <v>3198</v>
      </c>
      <c r="D472" s="86"/>
      <c r="E472" s="36" t="s">
        <v>94</v>
      </c>
      <c r="F472" s="48">
        <v>32441</v>
      </c>
      <c r="G472" s="36"/>
      <c r="H472" s="81" t="s">
        <v>171</v>
      </c>
      <c r="I472" s="36" t="s">
        <v>3199</v>
      </c>
      <c r="J472" s="48">
        <v>38764</v>
      </c>
      <c r="K472" s="36" t="s">
        <v>171</v>
      </c>
      <c r="L472" s="36" t="s">
        <v>318</v>
      </c>
      <c r="M472" s="36" t="s">
        <v>320</v>
      </c>
      <c r="N472" s="36" t="s">
        <v>3200</v>
      </c>
      <c r="O472" s="101"/>
      <c r="P472" s="159" t="s">
        <v>3201</v>
      </c>
      <c r="Q472" s="36"/>
      <c r="R472" s="36"/>
      <c r="S472" s="36"/>
      <c r="T472" s="81"/>
      <c r="U472" s="81" t="s">
        <v>3202</v>
      </c>
      <c r="V472" s="36"/>
      <c r="W472" s="36"/>
      <c r="X472" s="36"/>
      <c r="Y472" s="36" t="s">
        <v>284</v>
      </c>
      <c r="Z472" s="81"/>
      <c r="AA472" s="54"/>
      <c r="AB472" s="81" t="s">
        <v>285</v>
      </c>
      <c r="AC472" s="81" t="s">
        <v>236</v>
      </c>
      <c r="AD472" s="36" t="s">
        <v>207</v>
      </c>
      <c r="AE472" s="81" t="s">
        <v>585</v>
      </c>
      <c r="AF472" s="81" t="s">
        <v>65</v>
      </c>
      <c r="AG472" s="48"/>
      <c r="AH472" s="48"/>
      <c r="AI472" s="48"/>
      <c r="AJ472" s="48"/>
      <c r="AK472" s="134" t="str">
        <f t="shared" si="51"/>
        <v/>
      </c>
      <c r="AL472" s="54" t="s">
        <v>82</v>
      </c>
      <c r="AM472" s="54"/>
      <c r="AN472" s="54"/>
      <c r="AO472" s="190"/>
      <c r="AP472" s="136"/>
      <c r="AQ472" s="123"/>
      <c r="AR472" s="23"/>
      <c r="AS472" s="54" t="s">
        <v>347</v>
      </c>
      <c r="AT472" s="194"/>
      <c r="AU472" s="70">
        <f t="shared" si="49"/>
        <v>10</v>
      </c>
      <c r="AV472" s="70" t="s">
        <v>68</v>
      </c>
    </row>
    <row r="473" spans="1:48" ht="19.5" hidden="1" customHeight="1" x14ac:dyDescent="0.2">
      <c r="A473" s="87">
        <v>20449</v>
      </c>
      <c r="B473" s="80" t="s">
        <v>3203</v>
      </c>
      <c r="C473" s="80" t="s">
        <v>232</v>
      </c>
      <c r="D473" s="87"/>
      <c r="E473" s="123" t="s">
        <v>94</v>
      </c>
      <c r="F473" s="140">
        <v>30741</v>
      </c>
      <c r="G473" s="123" t="s">
        <v>954</v>
      </c>
      <c r="H473" s="54" t="s">
        <v>3204</v>
      </c>
      <c r="I473" s="123" t="s">
        <v>3205</v>
      </c>
      <c r="J473" s="140">
        <v>38596</v>
      </c>
      <c r="K473" s="123" t="s">
        <v>954</v>
      </c>
      <c r="L473" s="123" t="s">
        <v>341</v>
      </c>
      <c r="M473" s="123" t="s">
        <v>2628</v>
      </c>
      <c r="N473" s="123" t="s">
        <v>760</v>
      </c>
      <c r="O473" s="106"/>
      <c r="P473" s="54" t="s">
        <v>3206</v>
      </c>
      <c r="Q473" s="123"/>
      <c r="R473" s="123" t="s">
        <v>3207</v>
      </c>
      <c r="S473" s="123"/>
      <c r="T473" s="54" t="s">
        <v>3208</v>
      </c>
      <c r="U473" s="54" t="s">
        <v>3208</v>
      </c>
      <c r="V473" s="123" t="s">
        <v>3209</v>
      </c>
      <c r="W473" s="123" t="s">
        <v>283</v>
      </c>
      <c r="X473" s="123" t="s">
        <v>3210</v>
      </c>
      <c r="Y473" s="123" t="s">
        <v>865</v>
      </c>
      <c r="Z473" s="54"/>
      <c r="AA473" s="54"/>
      <c r="AB473" s="54" t="s">
        <v>285</v>
      </c>
      <c r="AC473" s="54" t="s">
        <v>236</v>
      </c>
      <c r="AD473" s="123" t="s">
        <v>207</v>
      </c>
      <c r="AE473" s="54" t="s">
        <v>585</v>
      </c>
      <c r="AF473" s="54" t="s">
        <v>65</v>
      </c>
      <c r="AG473" s="140">
        <v>41142</v>
      </c>
      <c r="AH473" s="65">
        <f>IF((AG473=""),"",MONTH(AG473))</f>
        <v>8</v>
      </c>
      <c r="AI473" s="65"/>
      <c r="AJ473" s="140">
        <v>41365</v>
      </c>
      <c r="AK473" s="65">
        <f t="shared" si="51"/>
        <v>4</v>
      </c>
      <c r="AL473" s="54" t="s">
        <v>66</v>
      </c>
      <c r="AM473" s="138"/>
      <c r="AN473" s="138"/>
      <c r="AO473" s="190"/>
      <c r="AP473" s="136"/>
      <c r="AQ473" s="123"/>
      <c r="AR473" s="23"/>
      <c r="AS473" s="54" t="s">
        <v>347</v>
      </c>
      <c r="AT473" s="136"/>
      <c r="AU473" s="70">
        <f t="shared" si="49"/>
        <v>2</v>
      </c>
      <c r="AV473" s="70" t="s">
        <v>68</v>
      </c>
    </row>
    <row r="474" spans="1:48" ht="25.5" hidden="1" x14ac:dyDescent="0.2">
      <c r="A474" s="86">
        <v>20450</v>
      </c>
      <c r="B474" s="3" t="s">
        <v>3211</v>
      </c>
      <c r="C474" s="3" t="s">
        <v>1440</v>
      </c>
      <c r="D474" s="86"/>
      <c r="E474" s="36" t="s">
        <v>94</v>
      </c>
      <c r="F474" s="48">
        <v>33148</v>
      </c>
      <c r="G474" s="36"/>
      <c r="H474" s="81" t="s">
        <v>171</v>
      </c>
      <c r="I474" s="36" t="s">
        <v>3212</v>
      </c>
      <c r="J474" s="48">
        <v>39507</v>
      </c>
      <c r="K474" s="36" t="s">
        <v>171</v>
      </c>
      <c r="L474" s="36"/>
      <c r="M474" s="36" t="s">
        <v>320</v>
      </c>
      <c r="N474" s="36" t="s">
        <v>320</v>
      </c>
      <c r="O474" s="101"/>
      <c r="P474" s="159" t="s">
        <v>3213</v>
      </c>
      <c r="Q474" s="36"/>
      <c r="R474" s="36" t="s">
        <v>3214</v>
      </c>
      <c r="S474" s="36"/>
      <c r="T474" s="81"/>
      <c r="U474" s="81" t="s">
        <v>3215</v>
      </c>
      <c r="V474" s="36"/>
      <c r="W474" s="36"/>
      <c r="X474" s="36"/>
      <c r="Y474" s="36" t="s">
        <v>284</v>
      </c>
      <c r="Z474" s="81"/>
      <c r="AA474" s="54"/>
      <c r="AB474" s="81" t="s">
        <v>285</v>
      </c>
      <c r="AC474" s="81" t="s">
        <v>236</v>
      </c>
      <c r="AD474" s="36" t="s">
        <v>1166</v>
      </c>
      <c r="AE474" s="81"/>
      <c r="AF474" s="81" t="s">
        <v>65</v>
      </c>
      <c r="AG474" s="48"/>
      <c r="AH474" s="48"/>
      <c r="AI474" s="48"/>
      <c r="AJ474" s="48"/>
      <c r="AK474" s="134" t="str">
        <f t="shared" si="51"/>
        <v/>
      </c>
      <c r="AL474" s="54" t="s">
        <v>82</v>
      </c>
      <c r="AM474" s="54"/>
      <c r="AN474" s="54"/>
      <c r="AO474" s="190">
        <v>41216</v>
      </c>
      <c r="AP474" s="136">
        <f>IF((AO474=""),"",MONTH(AO474))</f>
        <v>11</v>
      </c>
      <c r="AQ474" s="123"/>
      <c r="AR474" s="23"/>
      <c r="AS474" s="54" t="s">
        <v>67</v>
      </c>
      <c r="AT474" s="184"/>
      <c r="AU474" s="70">
        <f t="shared" si="49"/>
        <v>10</v>
      </c>
      <c r="AV474" s="70" t="s">
        <v>68</v>
      </c>
    </row>
    <row r="475" spans="1:48" ht="25.5" hidden="1" x14ac:dyDescent="0.2">
      <c r="A475" s="86">
        <v>20451</v>
      </c>
      <c r="B475" s="3" t="s">
        <v>3216</v>
      </c>
      <c r="C475" s="3" t="s">
        <v>618</v>
      </c>
      <c r="D475" s="86"/>
      <c r="E475" s="36" t="s">
        <v>94</v>
      </c>
      <c r="F475" s="48">
        <v>32765</v>
      </c>
      <c r="G475" s="36"/>
      <c r="H475" s="81" t="s">
        <v>52</v>
      </c>
      <c r="I475" s="36" t="s">
        <v>3217</v>
      </c>
      <c r="J475" s="48">
        <v>39904</v>
      </c>
      <c r="K475" s="36" t="s">
        <v>52</v>
      </c>
      <c r="L475" s="36" t="s">
        <v>318</v>
      </c>
      <c r="M475" s="36" t="s">
        <v>3218</v>
      </c>
      <c r="N475" s="36" t="s">
        <v>3219</v>
      </c>
      <c r="O475" s="101"/>
      <c r="P475" s="159" t="s">
        <v>3220</v>
      </c>
      <c r="Q475" s="36"/>
      <c r="R475" s="36" t="s">
        <v>3221</v>
      </c>
      <c r="S475" s="36"/>
      <c r="T475" s="81"/>
      <c r="U475" s="81" t="s">
        <v>3222</v>
      </c>
      <c r="V475" s="36"/>
      <c r="W475" s="36"/>
      <c r="X475" s="36"/>
      <c r="Y475" s="36" t="s">
        <v>284</v>
      </c>
      <c r="Z475" s="81"/>
      <c r="AA475" s="54"/>
      <c r="AB475" s="81" t="s">
        <v>285</v>
      </c>
      <c r="AC475" s="81" t="s">
        <v>236</v>
      </c>
      <c r="AD475" s="36" t="s">
        <v>207</v>
      </c>
      <c r="AE475" s="81" t="s">
        <v>2106</v>
      </c>
      <c r="AF475" s="81" t="s">
        <v>65</v>
      </c>
      <c r="AG475" s="48"/>
      <c r="AH475" s="48"/>
      <c r="AI475" s="48"/>
      <c r="AJ475" s="48"/>
      <c r="AK475" s="134" t="str">
        <f t="shared" si="51"/>
        <v/>
      </c>
      <c r="AL475" s="54" t="s">
        <v>82</v>
      </c>
      <c r="AM475" s="54"/>
      <c r="AN475" s="54"/>
      <c r="AO475" s="190"/>
      <c r="AP475" s="136"/>
      <c r="AQ475" s="123"/>
      <c r="AR475" s="23"/>
      <c r="AS475" s="54"/>
      <c r="AT475" s="158"/>
      <c r="AU475" s="70">
        <f t="shared" si="49"/>
        <v>9</v>
      </c>
      <c r="AV475" s="70" t="s">
        <v>68</v>
      </c>
    </row>
    <row r="476" spans="1:48" ht="25.5" hidden="1" x14ac:dyDescent="0.2">
      <c r="A476" s="86">
        <v>20452</v>
      </c>
      <c r="B476" s="3" t="s">
        <v>3223</v>
      </c>
      <c r="C476" s="3" t="s">
        <v>1951</v>
      </c>
      <c r="D476" s="86"/>
      <c r="E476" s="36" t="s">
        <v>94</v>
      </c>
      <c r="F476" s="48">
        <v>32524</v>
      </c>
      <c r="G476" s="36"/>
      <c r="H476" s="81" t="s">
        <v>171</v>
      </c>
      <c r="I476" s="36" t="s">
        <v>3224</v>
      </c>
      <c r="J476" s="48">
        <v>38601</v>
      </c>
      <c r="K476" s="36" t="s">
        <v>52</v>
      </c>
      <c r="L476" s="36" t="s">
        <v>318</v>
      </c>
      <c r="M476" s="36" t="s">
        <v>217</v>
      </c>
      <c r="N476" s="36" t="s">
        <v>3225</v>
      </c>
      <c r="O476" s="101"/>
      <c r="P476" s="159" t="s">
        <v>3226</v>
      </c>
      <c r="Q476" s="36"/>
      <c r="R476" s="36" t="s">
        <v>3227</v>
      </c>
      <c r="S476" s="36"/>
      <c r="T476" s="81"/>
      <c r="U476" s="81" t="s">
        <v>3228</v>
      </c>
      <c r="V476" s="36"/>
      <c r="W476" s="36"/>
      <c r="X476" s="36"/>
      <c r="Y476" s="36" t="s">
        <v>284</v>
      </c>
      <c r="Z476" s="81"/>
      <c r="AA476" s="54"/>
      <c r="AB476" s="81" t="s">
        <v>285</v>
      </c>
      <c r="AC476" s="81" t="s">
        <v>236</v>
      </c>
      <c r="AD476" s="36" t="s">
        <v>207</v>
      </c>
      <c r="AE476" s="81" t="s">
        <v>2106</v>
      </c>
      <c r="AF476" s="81" t="s">
        <v>65</v>
      </c>
      <c r="AG476" s="48"/>
      <c r="AH476" s="48"/>
      <c r="AI476" s="48"/>
      <c r="AJ476" s="48"/>
      <c r="AK476" s="134" t="str">
        <f t="shared" si="51"/>
        <v/>
      </c>
      <c r="AL476" s="54" t="s">
        <v>82</v>
      </c>
      <c r="AM476" s="54"/>
      <c r="AN476" s="54"/>
      <c r="AO476" s="190"/>
      <c r="AP476" s="136"/>
      <c r="AQ476" s="123"/>
      <c r="AR476" s="23"/>
      <c r="AS476" s="54"/>
      <c r="AT476" s="194"/>
      <c r="AU476" s="70">
        <f t="shared" si="49"/>
        <v>1</v>
      </c>
      <c r="AV476" s="70" t="s">
        <v>68</v>
      </c>
    </row>
    <row r="477" spans="1:48" ht="25.5" hidden="1" x14ac:dyDescent="0.2">
      <c r="A477" s="87">
        <v>20453</v>
      </c>
      <c r="B477" s="80" t="s">
        <v>596</v>
      </c>
      <c r="C477" s="80" t="s">
        <v>93</v>
      </c>
      <c r="D477" s="87"/>
      <c r="E477" s="123" t="s">
        <v>94</v>
      </c>
      <c r="F477" s="140">
        <v>27314</v>
      </c>
      <c r="G477" s="123" t="s">
        <v>120</v>
      </c>
      <c r="H477" s="54" t="s">
        <v>120</v>
      </c>
      <c r="I477" s="123" t="s">
        <v>3229</v>
      </c>
      <c r="J477" s="140">
        <v>38834</v>
      </c>
      <c r="K477" s="123" t="s">
        <v>52</v>
      </c>
      <c r="L477" s="123" t="s">
        <v>123</v>
      </c>
      <c r="M477" s="123" t="s">
        <v>3230</v>
      </c>
      <c r="N477" s="123" t="s">
        <v>694</v>
      </c>
      <c r="O477" s="106">
        <v>2003</v>
      </c>
      <c r="P477" s="54" t="s">
        <v>3231</v>
      </c>
      <c r="Q477" s="123"/>
      <c r="R477" s="123" t="s">
        <v>3232</v>
      </c>
      <c r="S477" s="123"/>
      <c r="T477" s="54" t="s">
        <v>3233</v>
      </c>
      <c r="U477" s="54" t="s">
        <v>3233</v>
      </c>
      <c r="V477" s="123"/>
      <c r="W477" s="123"/>
      <c r="X477" s="123"/>
      <c r="Y477" s="123" t="s">
        <v>865</v>
      </c>
      <c r="Z477" s="54"/>
      <c r="AA477" s="54"/>
      <c r="AB477" s="54" t="s">
        <v>285</v>
      </c>
      <c r="AC477" s="54" t="s">
        <v>236</v>
      </c>
      <c r="AD477" s="123" t="s">
        <v>207</v>
      </c>
      <c r="AE477" s="54" t="s">
        <v>585</v>
      </c>
      <c r="AF477" s="54" t="s">
        <v>65</v>
      </c>
      <c r="AG477" s="140">
        <v>41151</v>
      </c>
      <c r="AH477" s="65">
        <f>IF((AG477=""),"",MONTH(AG477))</f>
        <v>8</v>
      </c>
      <c r="AI477" s="65"/>
      <c r="AJ477" s="140">
        <v>41212</v>
      </c>
      <c r="AK477" s="65">
        <f t="shared" si="51"/>
        <v>10</v>
      </c>
      <c r="AL477" s="54" t="s">
        <v>66</v>
      </c>
      <c r="AM477" s="138"/>
      <c r="AN477" s="138"/>
      <c r="AO477" s="190"/>
      <c r="AP477" s="136"/>
      <c r="AQ477" s="123"/>
      <c r="AR477" s="23"/>
      <c r="AS477" s="54" t="s">
        <v>347</v>
      </c>
      <c r="AT477" s="136"/>
      <c r="AU477" s="70">
        <f t="shared" si="49"/>
        <v>10</v>
      </c>
      <c r="AV477" s="70" t="s">
        <v>68</v>
      </c>
    </row>
    <row r="478" spans="1:48" ht="19.5" hidden="1" customHeight="1" x14ac:dyDescent="0.2">
      <c r="A478" s="87">
        <v>20454</v>
      </c>
      <c r="B478" s="80" t="s">
        <v>395</v>
      </c>
      <c r="C478" s="80" t="s">
        <v>638</v>
      </c>
      <c r="D478" s="87"/>
      <c r="E478" s="123" t="s">
        <v>94</v>
      </c>
      <c r="F478" s="140">
        <v>32624</v>
      </c>
      <c r="G478" s="123" t="s">
        <v>954</v>
      </c>
      <c r="H478" s="54" t="s">
        <v>3204</v>
      </c>
      <c r="I478" s="123" t="s">
        <v>3234</v>
      </c>
      <c r="J478" s="140">
        <v>39126</v>
      </c>
      <c r="K478" s="123" t="s">
        <v>954</v>
      </c>
      <c r="L478" s="123" t="s">
        <v>123</v>
      </c>
      <c r="M478" s="123" t="s">
        <v>3235</v>
      </c>
      <c r="N478" s="123" t="s">
        <v>3236</v>
      </c>
      <c r="O478" s="106">
        <v>2011</v>
      </c>
      <c r="P478" s="54" t="s">
        <v>3237</v>
      </c>
      <c r="Q478" s="123"/>
      <c r="R478" s="123" t="s">
        <v>3238</v>
      </c>
      <c r="S478" s="123"/>
      <c r="T478" s="54" t="s">
        <v>3239</v>
      </c>
      <c r="U478" s="54" t="s">
        <v>3240</v>
      </c>
      <c r="V478" s="123"/>
      <c r="W478" s="123"/>
      <c r="X478" s="123"/>
      <c r="Y478" s="123" t="s">
        <v>312</v>
      </c>
      <c r="Z478" s="54"/>
      <c r="AA478" s="54"/>
      <c r="AB478" s="54" t="s">
        <v>285</v>
      </c>
      <c r="AC478" s="54" t="s">
        <v>236</v>
      </c>
      <c r="AD478" s="123" t="s">
        <v>158</v>
      </c>
      <c r="AE478" s="54"/>
      <c r="AF478" s="54" t="s">
        <v>65</v>
      </c>
      <c r="AG478" s="140">
        <v>41151</v>
      </c>
      <c r="AH478" s="65">
        <f>IF((AG478=""),"",MONTH(AG478))</f>
        <v>8</v>
      </c>
      <c r="AI478" s="65"/>
      <c r="AJ478" s="140">
        <v>41212</v>
      </c>
      <c r="AK478" s="65">
        <f t="shared" si="51"/>
        <v>10</v>
      </c>
      <c r="AL478" s="54" t="s">
        <v>66</v>
      </c>
      <c r="AM478" s="138"/>
      <c r="AN478" s="138"/>
      <c r="AO478" s="190"/>
      <c r="AP478" s="136"/>
      <c r="AQ478" s="123"/>
      <c r="AR478" s="23"/>
      <c r="AS478" s="54" t="s">
        <v>347</v>
      </c>
      <c r="AT478" s="136"/>
      <c r="AU478" s="70">
        <f t="shared" si="49"/>
        <v>4</v>
      </c>
      <c r="AV478" s="70" t="s">
        <v>68</v>
      </c>
    </row>
    <row r="479" spans="1:48" ht="19.5" hidden="1" customHeight="1" x14ac:dyDescent="0.2">
      <c r="A479" s="86">
        <v>20455</v>
      </c>
      <c r="B479" s="3" t="s">
        <v>3241</v>
      </c>
      <c r="C479" s="3" t="s">
        <v>823</v>
      </c>
      <c r="D479" s="86"/>
      <c r="E479" s="36" t="s">
        <v>94</v>
      </c>
      <c r="F479" s="48"/>
      <c r="G479" s="36"/>
      <c r="H479" s="81" t="s">
        <v>132</v>
      </c>
      <c r="I479" s="36" t="s">
        <v>3242</v>
      </c>
      <c r="J479" s="48">
        <v>38421</v>
      </c>
      <c r="K479" s="36" t="s">
        <v>132</v>
      </c>
      <c r="L479" s="36" t="s">
        <v>318</v>
      </c>
      <c r="M479" s="36" t="s">
        <v>3243</v>
      </c>
      <c r="N479" s="36" t="s">
        <v>3244</v>
      </c>
      <c r="O479" s="101"/>
      <c r="P479" s="159" t="s">
        <v>3245</v>
      </c>
      <c r="Q479" s="36"/>
      <c r="R479" s="36" t="s">
        <v>3246</v>
      </c>
      <c r="S479" s="36"/>
      <c r="T479" s="81"/>
      <c r="U479" s="81" t="s">
        <v>3247</v>
      </c>
      <c r="V479" s="36"/>
      <c r="W479" s="36"/>
      <c r="X479" s="36"/>
      <c r="Y479" s="36" t="s">
        <v>284</v>
      </c>
      <c r="Z479" s="81"/>
      <c r="AA479" s="54"/>
      <c r="AB479" s="81" t="s">
        <v>285</v>
      </c>
      <c r="AC479" s="81" t="s">
        <v>236</v>
      </c>
      <c r="AD479" s="36" t="s">
        <v>181</v>
      </c>
      <c r="AE479" s="81"/>
      <c r="AF479" s="81" t="s">
        <v>65</v>
      </c>
      <c r="AG479" s="48"/>
      <c r="AH479" s="48"/>
      <c r="AI479" s="48"/>
      <c r="AJ479" s="48"/>
      <c r="AK479" s="134" t="str">
        <f t="shared" si="51"/>
        <v/>
      </c>
      <c r="AL479" s="54" t="s">
        <v>82</v>
      </c>
      <c r="AM479" s="54"/>
      <c r="AN479" s="54"/>
      <c r="AO479" s="190"/>
      <c r="AP479" s="136"/>
      <c r="AQ479" s="123"/>
      <c r="AR479" s="23"/>
      <c r="AS479" s="54"/>
      <c r="AT479" s="23"/>
      <c r="AU479" s="70" t="str">
        <f t="shared" si="49"/>
        <v/>
      </c>
      <c r="AV479" s="70" t="s">
        <v>68</v>
      </c>
    </row>
    <row r="480" spans="1:48" ht="19.5" hidden="1" customHeight="1" x14ac:dyDescent="0.2">
      <c r="A480" s="86">
        <v>20456</v>
      </c>
      <c r="B480" s="3" t="s">
        <v>3248</v>
      </c>
      <c r="C480" s="3" t="s">
        <v>685</v>
      </c>
      <c r="D480" s="86"/>
      <c r="E480" s="36" t="s">
        <v>94</v>
      </c>
      <c r="F480" s="48"/>
      <c r="G480" s="36"/>
      <c r="H480" s="81" t="s">
        <v>0</v>
      </c>
      <c r="I480" s="36"/>
      <c r="J480" s="48"/>
      <c r="K480" s="36"/>
      <c r="L480" s="36" t="s">
        <v>123</v>
      </c>
      <c r="M480" s="36"/>
      <c r="N480" s="36"/>
      <c r="O480" s="101"/>
      <c r="P480" s="81"/>
      <c r="Q480" s="36"/>
      <c r="R480" s="36"/>
      <c r="S480" s="36"/>
      <c r="T480" s="81" t="s">
        <v>0</v>
      </c>
      <c r="U480" s="81" t="s">
        <v>0</v>
      </c>
      <c r="V480" s="36"/>
      <c r="W480" s="36"/>
      <c r="X480" s="36"/>
      <c r="Y480" s="36" t="s">
        <v>284</v>
      </c>
      <c r="Z480" s="81"/>
      <c r="AA480" s="54"/>
      <c r="AB480" s="81" t="s">
        <v>285</v>
      </c>
      <c r="AC480" s="81" t="s">
        <v>236</v>
      </c>
      <c r="AD480" s="36" t="s">
        <v>207</v>
      </c>
      <c r="AE480" s="81"/>
      <c r="AF480" s="81" t="s">
        <v>65</v>
      </c>
      <c r="AG480" s="48">
        <v>41164</v>
      </c>
      <c r="AH480" s="134">
        <f>IF((AG480=""),"",MONTH(AG480))</f>
        <v>9</v>
      </c>
      <c r="AI480" s="134"/>
      <c r="AJ480" s="48">
        <v>41365</v>
      </c>
      <c r="AK480" s="134">
        <f t="shared" si="51"/>
        <v>4</v>
      </c>
      <c r="AL480" s="94" t="s">
        <v>82</v>
      </c>
      <c r="AM480" s="78"/>
      <c r="AN480" s="78"/>
      <c r="AO480" s="190">
        <v>41241</v>
      </c>
      <c r="AP480" s="136">
        <f>IF((AO480=""),"",MONTH(AO480))</f>
        <v>11</v>
      </c>
      <c r="AQ480" s="127"/>
      <c r="AR480" s="23"/>
      <c r="AS480" s="94"/>
      <c r="AT480" s="136"/>
      <c r="AU480" s="70" t="str">
        <f t="shared" si="49"/>
        <v/>
      </c>
      <c r="AV480" s="70" t="s">
        <v>68</v>
      </c>
    </row>
    <row r="481" spans="1:48" ht="19.5" hidden="1" customHeight="1" x14ac:dyDescent="0.2">
      <c r="A481" s="86">
        <v>20457</v>
      </c>
      <c r="B481" s="3" t="s">
        <v>208</v>
      </c>
      <c r="C481" s="3" t="s">
        <v>3249</v>
      </c>
      <c r="D481" s="86"/>
      <c r="E481" s="36" t="s">
        <v>94</v>
      </c>
      <c r="F481" s="48">
        <v>33129</v>
      </c>
      <c r="G481" s="36"/>
      <c r="H481" s="81" t="s">
        <v>3250</v>
      </c>
      <c r="I481" s="36" t="s">
        <v>3251</v>
      </c>
      <c r="J481" s="48">
        <v>40752</v>
      </c>
      <c r="K481" s="36" t="s">
        <v>1103</v>
      </c>
      <c r="L481" s="36" t="s">
        <v>123</v>
      </c>
      <c r="M481" s="36" t="s">
        <v>2764</v>
      </c>
      <c r="N481" s="36" t="s">
        <v>307</v>
      </c>
      <c r="O481" s="101"/>
      <c r="P481" s="81" t="s">
        <v>3252</v>
      </c>
      <c r="Q481" s="36"/>
      <c r="R481" s="36" t="s">
        <v>3253</v>
      </c>
      <c r="S481" s="36"/>
      <c r="T481" s="81" t="s">
        <v>3254</v>
      </c>
      <c r="U481" s="81" t="s">
        <v>3255</v>
      </c>
      <c r="V481" s="36"/>
      <c r="W481" s="36"/>
      <c r="X481" s="36"/>
      <c r="Y481" s="36" t="s">
        <v>616</v>
      </c>
      <c r="Z481" s="81"/>
      <c r="AA481" s="54"/>
      <c r="AB481" s="81" t="s">
        <v>285</v>
      </c>
      <c r="AC481" s="81" t="s">
        <v>236</v>
      </c>
      <c r="AD481" s="36" t="s">
        <v>866</v>
      </c>
      <c r="AE481" s="81" t="s">
        <v>867</v>
      </c>
      <c r="AF481" s="81" t="s">
        <v>231</v>
      </c>
      <c r="AG481" s="48">
        <v>41164</v>
      </c>
      <c r="AH481" s="134">
        <f>IF((AG481=""),"",MONTH(AG481))</f>
        <v>9</v>
      </c>
      <c r="AI481" s="134"/>
      <c r="AJ481" s="48">
        <v>41275</v>
      </c>
      <c r="AK481" s="134">
        <f t="shared" si="51"/>
        <v>1</v>
      </c>
      <c r="AL481" s="54" t="s">
        <v>82</v>
      </c>
      <c r="AM481" s="138"/>
      <c r="AN481" s="138"/>
      <c r="AO481" s="190">
        <v>41545</v>
      </c>
      <c r="AP481" s="136">
        <f>IF((AO481=""),"",MONTH(AO481))</f>
        <v>9</v>
      </c>
      <c r="AQ481" s="123"/>
      <c r="AR481" s="23"/>
      <c r="AS481" s="54" t="s">
        <v>347</v>
      </c>
      <c r="AT481" s="136"/>
      <c r="AU481" s="70">
        <f t="shared" si="49"/>
        <v>9</v>
      </c>
      <c r="AV481" s="70" t="s">
        <v>68</v>
      </c>
    </row>
    <row r="482" spans="1:48" ht="19.5" hidden="1" customHeight="1" x14ac:dyDescent="0.2">
      <c r="A482" s="87">
        <v>20458</v>
      </c>
      <c r="B482" s="80" t="s">
        <v>3256</v>
      </c>
      <c r="C482" s="80" t="s">
        <v>576</v>
      </c>
      <c r="D482" s="87"/>
      <c r="E482" s="123" t="s">
        <v>94</v>
      </c>
      <c r="F482" s="140">
        <v>32477</v>
      </c>
      <c r="G482" s="123"/>
      <c r="H482" s="54" t="s">
        <v>1550</v>
      </c>
      <c r="I482" s="123" t="s">
        <v>3257</v>
      </c>
      <c r="J482" s="140">
        <v>38148</v>
      </c>
      <c r="K482" s="123" t="s">
        <v>3258</v>
      </c>
      <c r="L482" s="123" t="s">
        <v>123</v>
      </c>
      <c r="M482" s="123" t="s">
        <v>3259</v>
      </c>
      <c r="N482" s="123" t="s">
        <v>2620</v>
      </c>
      <c r="O482" s="106"/>
      <c r="P482" s="54" t="s">
        <v>3260</v>
      </c>
      <c r="Q482" s="123"/>
      <c r="R482" s="123" t="s">
        <v>3261</v>
      </c>
      <c r="S482" s="123"/>
      <c r="T482" s="54" t="s">
        <v>3262</v>
      </c>
      <c r="U482" s="54" t="s">
        <v>3263</v>
      </c>
      <c r="V482" s="123"/>
      <c r="W482" s="123"/>
      <c r="X482" s="123"/>
      <c r="Y482" s="123" t="s">
        <v>865</v>
      </c>
      <c r="Z482" s="54"/>
      <c r="AA482" s="54"/>
      <c r="AB482" s="54" t="s">
        <v>285</v>
      </c>
      <c r="AC482" s="54" t="s">
        <v>236</v>
      </c>
      <c r="AD482" s="123" t="s">
        <v>866</v>
      </c>
      <c r="AE482" s="54" t="s">
        <v>867</v>
      </c>
      <c r="AF482" s="54" t="s">
        <v>231</v>
      </c>
      <c r="AG482" s="140">
        <v>41164</v>
      </c>
      <c r="AH482" s="65">
        <f>IF((AG482=""),"",MONTH(AG482))</f>
        <v>9</v>
      </c>
      <c r="AI482" s="65"/>
      <c r="AJ482" s="140">
        <v>41275</v>
      </c>
      <c r="AK482" s="65">
        <f t="shared" si="51"/>
        <v>1</v>
      </c>
      <c r="AL482" s="54" t="s">
        <v>66</v>
      </c>
      <c r="AM482" s="138"/>
      <c r="AN482" s="138"/>
      <c r="AO482" s="190"/>
      <c r="AP482" s="136" t="str">
        <f>IF((AO482=""),"",MONTH(AO482))</f>
        <v/>
      </c>
      <c r="AQ482" s="123"/>
      <c r="AR482" s="23"/>
      <c r="AS482" s="54" t="s">
        <v>347</v>
      </c>
      <c r="AT482" s="136"/>
      <c r="AU482" s="70">
        <f t="shared" si="49"/>
        <v>11</v>
      </c>
      <c r="AV482" s="70" t="s">
        <v>68</v>
      </c>
    </row>
    <row r="483" spans="1:48" ht="19.5" hidden="1" customHeight="1" x14ac:dyDescent="0.2">
      <c r="A483" s="86">
        <v>20459</v>
      </c>
      <c r="B483" s="3" t="s">
        <v>3256</v>
      </c>
      <c r="C483" s="3" t="s">
        <v>486</v>
      </c>
      <c r="D483" s="86"/>
      <c r="E483" s="36" t="s">
        <v>51</v>
      </c>
      <c r="F483" s="48">
        <v>32551</v>
      </c>
      <c r="G483" s="36"/>
      <c r="H483" s="81" t="s">
        <v>1550</v>
      </c>
      <c r="I483" s="36" t="s">
        <v>3264</v>
      </c>
      <c r="J483" s="48">
        <v>38225</v>
      </c>
      <c r="K483" s="36" t="s">
        <v>884</v>
      </c>
      <c r="L483" s="36" t="s">
        <v>826</v>
      </c>
      <c r="M483" s="36" t="s">
        <v>3265</v>
      </c>
      <c r="N483" s="36" t="s">
        <v>3139</v>
      </c>
      <c r="O483" s="101"/>
      <c r="P483" s="159" t="s">
        <v>3266</v>
      </c>
      <c r="Q483" s="36"/>
      <c r="R483" s="36" t="s">
        <v>3267</v>
      </c>
      <c r="S483" s="36"/>
      <c r="T483" s="81"/>
      <c r="U483" s="81"/>
      <c r="V483" s="36"/>
      <c r="W483" s="36"/>
      <c r="X483" s="36"/>
      <c r="Y483" s="36" t="s">
        <v>284</v>
      </c>
      <c r="Z483" s="81"/>
      <c r="AA483" s="54"/>
      <c r="AB483" s="81" t="s">
        <v>285</v>
      </c>
      <c r="AC483" s="81" t="s">
        <v>236</v>
      </c>
      <c r="AD483" s="36" t="s">
        <v>3183</v>
      </c>
      <c r="AE483" s="81"/>
      <c r="AF483" s="81" t="s">
        <v>231</v>
      </c>
      <c r="AG483" s="48"/>
      <c r="AH483" s="48"/>
      <c r="AI483" s="48"/>
      <c r="AJ483" s="48"/>
      <c r="AK483" s="134" t="str">
        <f t="shared" si="51"/>
        <v/>
      </c>
      <c r="AL483" s="54" t="s">
        <v>82</v>
      </c>
      <c r="AM483" s="54"/>
      <c r="AN483" s="54"/>
      <c r="AO483" s="190">
        <v>41214</v>
      </c>
      <c r="AP483" s="136">
        <f>IF((AO483=""),"",MONTH(AO483))</f>
        <v>11</v>
      </c>
      <c r="AQ483" s="123"/>
      <c r="AR483" s="23"/>
      <c r="AS483" s="54"/>
      <c r="AT483" s="23"/>
      <c r="AU483" s="70">
        <f t="shared" si="49"/>
        <v>2</v>
      </c>
      <c r="AV483" s="70" t="s">
        <v>68</v>
      </c>
    </row>
    <row r="484" spans="1:48" ht="19.5" hidden="1" customHeight="1" x14ac:dyDescent="0.2">
      <c r="A484" s="86">
        <v>20460</v>
      </c>
      <c r="B484" s="3" t="s">
        <v>199</v>
      </c>
      <c r="C484" s="3" t="s">
        <v>706</v>
      </c>
      <c r="D484" s="86"/>
      <c r="E484" s="36" t="s">
        <v>94</v>
      </c>
      <c r="F484" s="48">
        <v>33194</v>
      </c>
      <c r="G484" s="36"/>
      <c r="H484" s="81" t="s">
        <v>3268</v>
      </c>
      <c r="I484" s="36" t="s">
        <v>3269</v>
      </c>
      <c r="J484" s="48">
        <v>41085</v>
      </c>
      <c r="K484" s="36" t="s">
        <v>895</v>
      </c>
      <c r="L484" s="36" t="s">
        <v>123</v>
      </c>
      <c r="M484" s="36" t="s">
        <v>3265</v>
      </c>
      <c r="N484" s="36" t="s">
        <v>2469</v>
      </c>
      <c r="O484" s="101"/>
      <c r="P484" s="81" t="s">
        <v>3270</v>
      </c>
      <c r="Q484" s="36"/>
      <c r="R484" s="36" t="s">
        <v>3271</v>
      </c>
      <c r="S484" s="36"/>
      <c r="T484" s="81" t="s">
        <v>3272</v>
      </c>
      <c r="U484" s="81" t="s">
        <v>3273</v>
      </c>
      <c r="V484" s="36"/>
      <c r="W484" s="36"/>
      <c r="X484" s="36"/>
      <c r="Y484" s="36" t="s">
        <v>284</v>
      </c>
      <c r="Z484" s="81"/>
      <c r="AA484" s="54"/>
      <c r="AB484" s="81" t="s">
        <v>285</v>
      </c>
      <c r="AC484" s="81" t="s">
        <v>236</v>
      </c>
      <c r="AD484" s="36" t="s">
        <v>866</v>
      </c>
      <c r="AE484" s="81"/>
      <c r="AF484" s="81" t="s">
        <v>231</v>
      </c>
      <c r="AG484" s="48">
        <v>41164</v>
      </c>
      <c r="AH484" s="134">
        <f>IF((AG484=""),"",MONTH(AG484))</f>
        <v>9</v>
      </c>
      <c r="AI484" s="134"/>
      <c r="AJ484" s="48"/>
      <c r="AK484" s="134" t="str">
        <f t="shared" si="51"/>
        <v/>
      </c>
      <c r="AL484" s="94" t="s">
        <v>82</v>
      </c>
      <c r="AM484" s="78" t="s">
        <v>3274</v>
      </c>
      <c r="AN484" s="78"/>
      <c r="AO484" s="190">
        <v>41309</v>
      </c>
      <c r="AP484" s="136">
        <f>IF((AO484=""),"",MONTH(AO484))</f>
        <v>2</v>
      </c>
      <c r="AQ484" s="127"/>
      <c r="AR484" s="23"/>
      <c r="AS484" s="94"/>
      <c r="AT484" s="136"/>
      <c r="AU484" s="70">
        <f t="shared" si="49"/>
        <v>11</v>
      </c>
      <c r="AV484" s="70" t="s">
        <v>68</v>
      </c>
    </row>
    <row r="485" spans="1:48" ht="19.5" hidden="1" customHeight="1" x14ac:dyDescent="0.2">
      <c r="A485" s="86">
        <v>20461</v>
      </c>
      <c r="B485" s="3" t="s">
        <v>3275</v>
      </c>
      <c r="C485" s="3" t="s">
        <v>920</v>
      </c>
      <c r="D485" s="86"/>
      <c r="E485" s="36" t="s">
        <v>94</v>
      </c>
      <c r="F485" s="48">
        <v>32872</v>
      </c>
      <c r="G485" s="36"/>
      <c r="H485" s="81" t="s">
        <v>52</v>
      </c>
      <c r="I485" s="36" t="s">
        <v>3276</v>
      </c>
      <c r="J485" s="48">
        <v>39867</v>
      </c>
      <c r="K485" s="36" t="s">
        <v>52</v>
      </c>
      <c r="L485" s="36" t="s">
        <v>318</v>
      </c>
      <c r="M485" s="36" t="s">
        <v>448</v>
      </c>
      <c r="N485" s="36" t="s">
        <v>3277</v>
      </c>
      <c r="O485" s="101"/>
      <c r="P485" s="159" t="s">
        <v>3278</v>
      </c>
      <c r="Q485" s="36"/>
      <c r="R485" s="36" t="s">
        <v>3279</v>
      </c>
      <c r="S485" s="36"/>
      <c r="T485" s="81"/>
      <c r="U485" s="81" t="s">
        <v>3280</v>
      </c>
      <c r="V485" s="36"/>
      <c r="W485" s="36"/>
      <c r="X485" s="36"/>
      <c r="Y485" s="36" t="s">
        <v>284</v>
      </c>
      <c r="Z485" s="81"/>
      <c r="AA485" s="54"/>
      <c r="AB485" s="81" t="s">
        <v>285</v>
      </c>
      <c r="AC485" s="81" t="s">
        <v>236</v>
      </c>
      <c r="AD485" s="36" t="s">
        <v>1166</v>
      </c>
      <c r="AE485" s="81"/>
      <c r="AF485" s="81" t="s">
        <v>65</v>
      </c>
      <c r="AG485" s="48"/>
      <c r="AH485" s="48"/>
      <c r="AI485" s="48"/>
      <c r="AJ485" s="48"/>
      <c r="AK485" s="134" t="str">
        <f t="shared" si="51"/>
        <v/>
      </c>
      <c r="AL485" s="54" t="s">
        <v>82</v>
      </c>
      <c r="AM485" s="54"/>
      <c r="AN485" s="65" t="str">
        <f>IF((AM485=""),"",MONTH(AM485))</f>
        <v/>
      </c>
      <c r="AO485" s="190"/>
      <c r="AP485" s="136"/>
      <c r="AQ485" s="123"/>
      <c r="AR485" s="23"/>
      <c r="AS485" s="54" t="s">
        <v>67</v>
      </c>
      <c r="AT485" s="23"/>
      <c r="AU485" s="70">
        <f t="shared" si="49"/>
        <v>12</v>
      </c>
      <c r="AV485" s="70" t="s">
        <v>68</v>
      </c>
    </row>
    <row r="486" spans="1:48" ht="19.5" hidden="1" customHeight="1" x14ac:dyDescent="0.2">
      <c r="A486" s="86">
        <v>20462</v>
      </c>
      <c r="B486" s="3" t="s">
        <v>265</v>
      </c>
      <c r="C486" s="3" t="s">
        <v>364</v>
      </c>
      <c r="D486" s="86"/>
      <c r="E486" s="36" t="s">
        <v>94</v>
      </c>
      <c r="F486" s="48">
        <v>30503</v>
      </c>
      <c r="G486" s="36" t="s">
        <v>303</v>
      </c>
      <c r="H486" s="81" t="s">
        <v>3281</v>
      </c>
      <c r="I486" s="36" t="s">
        <v>3282</v>
      </c>
      <c r="J486" s="48">
        <v>40600</v>
      </c>
      <c r="K486" s="36" t="s">
        <v>52</v>
      </c>
      <c r="L486" s="36" t="s">
        <v>123</v>
      </c>
      <c r="M486" s="36" t="s">
        <v>448</v>
      </c>
      <c r="N486" s="36" t="s">
        <v>368</v>
      </c>
      <c r="O486" s="101"/>
      <c r="P486" s="81" t="s">
        <v>3283</v>
      </c>
      <c r="Q486" s="36"/>
      <c r="R486" s="36" t="s">
        <v>3284</v>
      </c>
      <c r="S486" s="36"/>
      <c r="T486" s="81" t="s">
        <v>3285</v>
      </c>
      <c r="U486" s="81" t="s">
        <v>3285</v>
      </c>
      <c r="V486" s="36"/>
      <c r="W486" s="36"/>
      <c r="X486" s="36"/>
      <c r="Y486" s="36" t="s">
        <v>284</v>
      </c>
      <c r="Z486" s="81"/>
      <c r="AA486" s="54"/>
      <c r="AB486" s="81" t="s">
        <v>285</v>
      </c>
      <c r="AC486" s="81" t="s">
        <v>236</v>
      </c>
      <c r="AD486" s="36" t="s">
        <v>512</v>
      </c>
      <c r="AE486" s="81" t="s">
        <v>973</v>
      </c>
      <c r="AF486" s="81" t="s">
        <v>65</v>
      </c>
      <c r="AG486" s="48">
        <v>41169</v>
      </c>
      <c r="AH486" s="134">
        <f>IF((AG486=""),"",MONTH(AG486))</f>
        <v>9</v>
      </c>
      <c r="AI486" s="134"/>
      <c r="AJ486" s="48">
        <v>41198</v>
      </c>
      <c r="AK486" s="134">
        <f t="shared" si="51"/>
        <v>10</v>
      </c>
      <c r="AL486" s="54" t="s">
        <v>82</v>
      </c>
      <c r="AM486" s="138"/>
      <c r="AN486" s="138"/>
      <c r="AO486" s="190">
        <v>41426</v>
      </c>
      <c r="AP486" s="136">
        <f>IF((AO486=""),"",MONTH(AO486))</f>
        <v>6</v>
      </c>
      <c r="AQ486" s="123"/>
      <c r="AR486" s="23"/>
      <c r="AS486" s="54"/>
      <c r="AT486" s="136"/>
      <c r="AU486" s="70">
        <f t="shared" si="49"/>
        <v>7</v>
      </c>
      <c r="AV486" s="70" t="s">
        <v>68</v>
      </c>
    </row>
    <row r="487" spans="1:48" ht="19.5" hidden="1" customHeight="1" x14ac:dyDescent="0.2">
      <c r="A487" s="86">
        <v>20463</v>
      </c>
      <c r="B487" s="3" t="s">
        <v>3286</v>
      </c>
      <c r="C487" s="3" t="s">
        <v>3287</v>
      </c>
      <c r="D487" s="86"/>
      <c r="E487" s="36" t="s">
        <v>94</v>
      </c>
      <c r="F487" s="48">
        <v>33592</v>
      </c>
      <c r="G487" s="36"/>
      <c r="H487" s="81" t="s">
        <v>3288</v>
      </c>
      <c r="I487" s="36" t="s">
        <v>3289</v>
      </c>
      <c r="J487" s="48">
        <v>38457</v>
      </c>
      <c r="K487" s="36" t="s">
        <v>3290</v>
      </c>
      <c r="L487" s="36" t="s">
        <v>123</v>
      </c>
      <c r="M487" s="36"/>
      <c r="N487" s="36"/>
      <c r="O487" s="101"/>
      <c r="P487" s="81" t="s">
        <v>3291</v>
      </c>
      <c r="Q487" s="36"/>
      <c r="R487" s="36" t="s">
        <v>3292</v>
      </c>
      <c r="S487" s="36"/>
      <c r="T487" s="81" t="s">
        <v>3293</v>
      </c>
      <c r="U487" s="81" t="s">
        <v>3294</v>
      </c>
      <c r="V487" s="36"/>
      <c r="W487" s="36"/>
      <c r="X487" s="36"/>
      <c r="Y487" s="36" t="s">
        <v>284</v>
      </c>
      <c r="Z487" s="81"/>
      <c r="AA487" s="54"/>
      <c r="AB487" s="81" t="s">
        <v>285</v>
      </c>
      <c r="AC487" s="81" t="s">
        <v>236</v>
      </c>
      <c r="AD487" s="36" t="s">
        <v>181</v>
      </c>
      <c r="AE487" s="81"/>
      <c r="AF487" s="81" t="s">
        <v>65</v>
      </c>
      <c r="AG487" s="48"/>
      <c r="AH487" s="134" t="str">
        <f>IF((AG487=""),"",MONTH(AG487))</f>
        <v/>
      </c>
      <c r="AI487" s="134"/>
      <c r="AJ487" s="48">
        <v>41153</v>
      </c>
      <c r="AK487" s="134">
        <f t="shared" si="51"/>
        <v>9</v>
      </c>
      <c r="AL487" s="94" t="s">
        <v>82</v>
      </c>
      <c r="AM487" s="78"/>
      <c r="AN487" s="78"/>
      <c r="AO487" s="190">
        <v>41365</v>
      </c>
      <c r="AP487" s="136">
        <f>IF((AO487=""),"",MONTH(AO487))</f>
        <v>4</v>
      </c>
      <c r="AQ487" s="127"/>
      <c r="AR487" s="23"/>
      <c r="AS487" s="94"/>
      <c r="AT487" s="136"/>
      <c r="AU487" s="70">
        <f t="shared" si="49"/>
        <v>12</v>
      </c>
      <c r="AV487" s="70" t="s">
        <v>68</v>
      </c>
    </row>
    <row r="488" spans="1:48" ht="19.5" hidden="1" customHeight="1" x14ac:dyDescent="0.2">
      <c r="A488" s="87">
        <v>20464</v>
      </c>
      <c r="B488" s="80" t="s">
        <v>3295</v>
      </c>
      <c r="C488" s="80" t="s">
        <v>667</v>
      </c>
      <c r="D488" s="87"/>
      <c r="E488" s="123" t="s">
        <v>94</v>
      </c>
      <c r="F488" s="140">
        <v>31960</v>
      </c>
      <c r="G488" s="123" t="s">
        <v>3296</v>
      </c>
      <c r="H488" s="54" t="s">
        <v>3297</v>
      </c>
      <c r="I488" s="123" t="s">
        <v>3298</v>
      </c>
      <c r="J488" s="140">
        <v>37222</v>
      </c>
      <c r="K488" s="123" t="s">
        <v>52</v>
      </c>
      <c r="L488" s="123" t="s">
        <v>123</v>
      </c>
      <c r="M488" s="123" t="s">
        <v>1213</v>
      </c>
      <c r="N488" s="123" t="s">
        <v>2642</v>
      </c>
      <c r="O488" s="106"/>
      <c r="P488" s="54" t="s">
        <v>3299</v>
      </c>
      <c r="Q488" s="123"/>
      <c r="R488" s="123" t="s">
        <v>3300</v>
      </c>
      <c r="S488" s="123"/>
      <c r="T488" s="54" t="s">
        <v>3301</v>
      </c>
      <c r="U488" s="54" t="s">
        <v>3301</v>
      </c>
      <c r="V488" s="123" t="s">
        <v>3302</v>
      </c>
      <c r="W488" s="123" t="s">
        <v>283</v>
      </c>
      <c r="X488" s="123"/>
      <c r="Y488" s="123" t="s">
        <v>312</v>
      </c>
      <c r="Z488" s="54"/>
      <c r="AA488" s="54"/>
      <c r="AB488" s="54" t="s">
        <v>285</v>
      </c>
      <c r="AC488" s="54" t="s">
        <v>236</v>
      </c>
      <c r="AD488" s="123" t="s">
        <v>917</v>
      </c>
      <c r="AE488" s="54"/>
      <c r="AF488" s="54" t="s">
        <v>65</v>
      </c>
      <c r="AG488" s="140">
        <v>41162</v>
      </c>
      <c r="AH488" s="65">
        <f>IF((AG488=""),"",MONTH(AG488))</f>
        <v>9</v>
      </c>
      <c r="AI488" s="65"/>
      <c r="AJ488" s="140">
        <v>41162</v>
      </c>
      <c r="AK488" s="65">
        <f t="shared" si="51"/>
        <v>9</v>
      </c>
      <c r="AL488" s="54" t="s">
        <v>66</v>
      </c>
      <c r="AM488" s="138"/>
      <c r="AN488" s="138"/>
      <c r="AO488" s="190"/>
      <c r="AP488" s="136" t="str">
        <f>IF((AO488=""),"",MONTH(AO488))</f>
        <v/>
      </c>
      <c r="AQ488" s="123"/>
      <c r="AR488" s="23"/>
      <c r="AS488" s="54" t="s">
        <v>107</v>
      </c>
      <c r="AT488" s="136"/>
      <c r="AU488" s="70">
        <f t="shared" si="49"/>
        <v>7</v>
      </c>
      <c r="AV488" s="70" t="s">
        <v>68</v>
      </c>
    </row>
    <row r="489" spans="1:48" ht="19.5" hidden="1" customHeight="1" x14ac:dyDescent="0.2">
      <c r="A489" s="86">
        <v>20465</v>
      </c>
      <c r="B489" s="3" t="s">
        <v>3303</v>
      </c>
      <c r="C489" s="3" t="s">
        <v>685</v>
      </c>
      <c r="D489" s="86"/>
      <c r="E489" s="36" t="s">
        <v>94</v>
      </c>
      <c r="F489" s="48">
        <v>30441</v>
      </c>
      <c r="G489" s="36"/>
      <c r="H489" s="81" t="s">
        <v>3144</v>
      </c>
      <c r="I489" s="36" t="s">
        <v>3304</v>
      </c>
      <c r="J489" s="48">
        <v>40092</v>
      </c>
      <c r="K489" s="36" t="s">
        <v>52</v>
      </c>
      <c r="L489" s="36" t="s">
        <v>123</v>
      </c>
      <c r="M489" s="36" t="s">
        <v>1048</v>
      </c>
      <c r="N489" s="36" t="s">
        <v>368</v>
      </c>
      <c r="O489" s="101"/>
      <c r="P489" s="81" t="s">
        <v>3305</v>
      </c>
      <c r="Q489" s="36"/>
      <c r="R489" s="36" t="s">
        <v>3306</v>
      </c>
      <c r="S489" s="36"/>
      <c r="T489" s="81" t="s">
        <v>3307</v>
      </c>
      <c r="U489" s="81" t="s">
        <v>3308</v>
      </c>
      <c r="V489" s="36" t="s">
        <v>3309</v>
      </c>
      <c r="W489" s="36" t="s">
        <v>2989</v>
      </c>
      <c r="X489" s="36"/>
      <c r="Y489" s="36" t="s">
        <v>616</v>
      </c>
      <c r="Z489" s="81"/>
      <c r="AA489" s="54"/>
      <c r="AB489" s="81" t="s">
        <v>285</v>
      </c>
      <c r="AC489" s="81" t="s">
        <v>236</v>
      </c>
      <c r="AD489" s="36" t="s">
        <v>207</v>
      </c>
      <c r="AE489" s="81" t="s">
        <v>585</v>
      </c>
      <c r="AF489" s="81" t="s">
        <v>65</v>
      </c>
      <c r="AG489" s="48">
        <v>41171</v>
      </c>
      <c r="AH489" s="134">
        <f>IF((AG489=""),"",MONTH(AG489))</f>
        <v>9</v>
      </c>
      <c r="AI489" s="134"/>
      <c r="AJ489" s="48">
        <v>41365</v>
      </c>
      <c r="AK489" s="134">
        <f t="shared" si="51"/>
        <v>4</v>
      </c>
      <c r="AL489" s="54" t="s">
        <v>82</v>
      </c>
      <c r="AM489" s="138"/>
      <c r="AN489" s="138"/>
      <c r="AO489" s="190">
        <v>41401</v>
      </c>
      <c r="AP489" s="136">
        <f>IF((AO489=""),"",MONTH(AO489))</f>
        <v>5</v>
      </c>
      <c r="AQ489" s="123"/>
      <c r="AR489" s="23"/>
      <c r="AS489" s="54" t="s">
        <v>347</v>
      </c>
      <c r="AT489" s="136"/>
      <c r="AU489" s="70">
        <f t="shared" si="49"/>
        <v>5</v>
      </c>
      <c r="AV489" s="70" t="s">
        <v>68</v>
      </c>
    </row>
    <row r="490" spans="1:48" ht="19.5" hidden="1" customHeight="1" x14ac:dyDescent="0.2">
      <c r="A490" s="86">
        <v>20466</v>
      </c>
      <c r="B490" s="3" t="s">
        <v>1988</v>
      </c>
      <c r="C490" s="3" t="s">
        <v>266</v>
      </c>
      <c r="D490" s="86"/>
      <c r="E490" s="36" t="s">
        <v>94</v>
      </c>
      <c r="F490" s="48">
        <v>31203</v>
      </c>
      <c r="G490" s="36"/>
      <c r="H490" s="81" t="s">
        <v>52</v>
      </c>
      <c r="I490" s="36" t="s">
        <v>3310</v>
      </c>
      <c r="J490" s="48"/>
      <c r="K490" s="36" t="s">
        <v>52</v>
      </c>
      <c r="L490" s="36" t="s">
        <v>318</v>
      </c>
      <c r="M490" s="36" t="s">
        <v>3311</v>
      </c>
      <c r="N490" s="36" t="s">
        <v>1815</v>
      </c>
      <c r="O490" s="101"/>
      <c r="P490" s="159" t="s">
        <v>3312</v>
      </c>
      <c r="Q490" s="36"/>
      <c r="R490" s="36" t="s">
        <v>3313</v>
      </c>
      <c r="S490" s="36"/>
      <c r="T490" s="81" t="s">
        <v>6353</v>
      </c>
      <c r="U490" s="81" t="s">
        <v>3314</v>
      </c>
      <c r="V490" s="36"/>
      <c r="W490" s="36"/>
      <c r="X490" s="36"/>
      <c r="Y490" s="36" t="s">
        <v>284</v>
      </c>
      <c r="Z490" s="81"/>
      <c r="AA490" s="54"/>
      <c r="AB490" s="81" t="s">
        <v>285</v>
      </c>
      <c r="AC490" s="81" t="s">
        <v>236</v>
      </c>
      <c r="AD490" s="36" t="s">
        <v>207</v>
      </c>
      <c r="AE490" s="81" t="s">
        <v>585</v>
      </c>
      <c r="AF490" s="81" t="s">
        <v>65</v>
      </c>
      <c r="AG490" s="48"/>
      <c r="AH490" s="48"/>
      <c r="AI490" s="48"/>
      <c r="AJ490" s="48"/>
      <c r="AK490" s="134" t="str">
        <f t="shared" si="51"/>
        <v/>
      </c>
      <c r="AL490" s="54" t="s">
        <v>82</v>
      </c>
      <c r="AM490" s="54"/>
      <c r="AN490" s="54"/>
      <c r="AO490" s="190"/>
      <c r="AP490" s="136"/>
      <c r="AQ490" s="123"/>
      <c r="AR490" s="23"/>
      <c r="AS490" s="54" t="s">
        <v>347</v>
      </c>
      <c r="AT490" s="184"/>
      <c r="AU490" s="70">
        <f t="shared" si="49"/>
        <v>6</v>
      </c>
      <c r="AV490" s="70" t="s">
        <v>68</v>
      </c>
    </row>
    <row r="491" spans="1:48" ht="19.5" hidden="1" customHeight="1" x14ac:dyDescent="0.2">
      <c r="A491" s="86">
        <v>20467</v>
      </c>
      <c r="B491" s="3" t="s">
        <v>3315</v>
      </c>
      <c r="C491" s="3" t="s">
        <v>1017</v>
      </c>
      <c r="D491" s="86"/>
      <c r="E491" s="36" t="s">
        <v>94</v>
      </c>
      <c r="F491" s="48">
        <v>30562</v>
      </c>
      <c r="G491" s="36"/>
      <c r="H491" s="81" t="s">
        <v>303</v>
      </c>
      <c r="I491" s="36" t="s">
        <v>3316</v>
      </c>
      <c r="J491" s="48">
        <v>37341</v>
      </c>
      <c r="K491" s="36" t="s">
        <v>303</v>
      </c>
      <c r="L491" s="36" t="s">
        <v>318</v>
      </c>
      <c r="M491" s="36" t="s">
        <v>3317</v>
      </c>
      <c r="N491" s="36" t="s">
        <v>2524</v>
      </c>
      <c r="O491" s="101"/>
      <c r="P491" s="159" t="s">
        <v>3318</v>
      </c>
      <c r="Q491" s="36"/>
      <c r="R491" s="36" t="s">
        <v>3319</v>
      </c>
      <c r="S491" s="36"/>
      <c r="T491" s="81"/>
      <c r="U491" s="81" t="s">
        <v>3320</v>
      </c>
      <c r="V491" s="36"/>
      <c r="W491" s="36"/>
      <c r="X491" s="36"/>
      <c r="Y491" s="36" t="s">
        <v>284</v>
      </c>
      <c r="Z491" s="81"/>
      <c r="AA491" s="54"/>
      <c r="AB491" s="81" t="s">
        <v>285</v>
      </c>
      <c r="AC491" s="81" t="s">
        <v>236</v>
      </c>
      <c r="AD491" s="36" t="s">
        <v>629</v>
      </c>
      <c r="AE491" s="81" t="s">
        <v>2800</v>
      </c>
      <c r="AF491" s="81" t="s">
        <v>65</v>
      </c>
      <c r="AG491" s="48"/>
      <c r="AH491" s="48"/>
      <c r="AI491" s="48"/>
      <c r="AJ491" s="48"/>
      <c r="AK491" s="134" t="str">
        <f t="shared" si="51"/>
        <v/>
      </c>
      <c r="AL491" s="54" t="s">
        <v>82</v>
      </c>
      <c r="AM491" s="54"/>
      <c r="AN491" s="54"/>
      <c r="AO491" s="190"/>
      <c r="AP491" s="136"/>
      <c r="AQ491" s="123"/>
      <c r="AR491" s="23"/>
      <c r="AS491" s="54"/>
      <c r="AT491" s="194"/>
      <c r="AU491" s="70">
        <f t="shared" si="49"/>
        <v>9</v>
      </c>
      <c r="AV491" s="70" t="s">
        <v>68</v>
      </c>
    </row>
    <row r="492" spans="1:48" ht="19.5" hidden="1" customHeight="1" x14ac:dyDescent="0.2">
      <c r="A492" s="87">
        <v>20468</v>
      </c>
      <c r="B492" s="80" t="s">
        <v>3321</v>
      </c>
      <c r="C492" s="80" t="s">
        <v>70</v>
      </c>
      <c r="D492" s="87"/>
      <c r="E492" s="123" t="s">
        <v>94</v>
      </c>
      <c r="F492" s="140">
        <v>28786</v>
      </c>
      <c r="G492" s="123" t="s">
        <v>52</v>
      </c>
      <c r="H492" s="54" t="s">
        <v>3322</v>
      </c>
      <c r="I492" s="123" t="s">
        <v>3323</v>
      </c>
      <c r="J492" s="140">
        <v>39648</v>
      </c>
      <c r="K492" s="123" t="s">
        <v>52</v>
      </c>
      <c r="L492" s="123" t="s">
        <v>123</v>
      </c>
      <c r="M492" s="123" t="s">
        <v>382</v>
      </c>
      <c r="N492" s="123" t="s">
        <v>458</v>
      </c>
      <c r="O492" s="106"/>
      <c r="P492" s="54" t="s">
        <v>3324</v>
      </c>
      <c r="Q492" s="123"/>
      <c r="R492" s="123" t="s">
        <v>3325</v>
      </c>
      <c r="S492" s="123"/>
      <c r="T492" s="54" t="s">
        <v>3326</v>
      </c>
      <c r="U492" s="54" t="s">
        <v>3326</v>
      </c>
      <c r="V492" s="123"/>
      <c r="W492" s="123"/>
      <c r="X492" s="123"/>
      <c r="Y492" s="123" t="s">
        <v>312</v>
      </c>
      <c r="Z492" s="54"/>
      <c r="AA492" s="54"/>
      <c r="AB492" s="54" t="s">
        <v>285</v>
      </c>
      <c r="AC492" s="54" t="s">
        <v>236</v>
      </c>
      <c r="AD492" s="123" t="s">
        <v>1166</v>
      </c>
      <c r="AE492" s="54" t="s">
        <v>1167</v>
      </c>
      <c r="AF492" s="54" t="s">
        <v>65</v>
      </c>
      <c r="AG492" s="140">
        <v>41179</v>
      </c>
      <c r="AH492" s="65">
        <f>IF((AG492=""),"",MONTH(AG492))</f>
        <v>9</v>
      </c>
      <c r="AI492" s="65"/>
      <c r="AJ492" s="140">
        <v>41209</v>
      </c>
      <c r="AK492" s="65">
        <f t="shared" si="51"/>
        <v>10</v>
      </c>
      <c r="AL492" s="54" t="s">
        <v>66</v>
      </c>
      <c r="AM492" s="138"/>
      <c r="AN492" s="138"/>
      <c r="AO492" s="190"/>
      <c r="AP492" s="65" t="str">
        <f>IF((AO492=""),"",MONTH(AO492))</f>
        <v/>
      </c>
      <c r="AQ492" s="123"/>
      <c r="AR492" s="23"/>
      <c r="AS492" s="54" t="s">
        <v>67</v>
      </c>
      <c r="AT492" s="136"/>
      <c r="AU492" s="70">
        <f t="shared" si="49"/>
        <v>10</v>
      </c>
      <c r="AV492" s="70" t="s">
        <v>68</v>
      </c>
    </row>
    <row r="493" spans="1:48" ht="19.5" hidden="1" customHeight="1" x14ac:dyDescent="0.2">
      <c r="A493" s="86">
        <v>20469</v>
      </c>
      <c r="B493" s="3" t="s">
        <v>560</v>
      </c>
      <c r="C493" s="3" t="s">
        <v>109</v>
      </c>
      <c r="D493" s="86"/>
      <c r="E493" s="36" t="s">
        <v>94</v>
      </c>
      <c r="F493" s="48">
        <v>30627</v>
      </c>
      <c r="G493" s="36"/>
      <c r="H493" s="81" t="s">
        <v>161</v>
      </c>
      <c r="I493" s="36" t="s">
        <v>3327</v>
      </c>
      <c r="J493" s="48" t="s">
        <v>6353</v>
      </c>
      <c r="K493" s="36" t="s">
        <v>52</v>
      </c>
      <c r="L493" s="36" t="s">
        <v>318</v>
      </c>
      <c r="M493" s="36" t="s">
        <v>3328</v>
      </c>
      <c r="N493" s="36" t="s">
        <v>3329</v>
      </c>
      <c r="O493" s="101"/>
      <c r="P493" s="159" t="s">
        <v>3330</v>
      </c>
      <c r="Q493" s="36"/>
      <c r="R493" s="36" t="s">
        <v>3331</v>
      </c>
      <c r="S493" s="36"/>
      <c r="T493" s="81"/>
      <c r="U493" s="81" t="s">
        <v>3332</v>
      </c>
      <c r="V493" s="36"/>
      <c r="W493" s="36"/>
      <c r="X493" s="36"/>
      <c r="Y493" s="36" t="s">
        <v>284</v>
      </c>
      <c r="Z493" s="81"/>
      <c r="AA493" s="54"/>
      <c r="AB493" s="81" t="s">
        <v>285</v>
      </c>
      <c r="AC493" s="81" t="s">
        <v>236</v>
      </c>
      <c r="AD493" s="36" t="s">
        <v>629</v>
      </c>
      <c r="AE493" s="81" t="s">
        <v>2806</v>
      </c>
      <c r="AF493" s="81" t="s">
        <v>65</v>
      </c>
      <c r="AG493" s="48"/>
      <c r="AH493" s="48"/>
      <c r="AI493" s="48"/>
      <c r="AJ493" s="48"/>
      <c r="AK493" s="134" t="str">
        <f t="shared" si="51"/>
        <v/>
      </c>
      <c r="AL493" s="54" t="s">
        <v>82</v>
      </c>
      <c r="AM493" s="54"/>
      <c r="AN493" s="54"/>
      <c r="AO493" s="190">
        <v>41214</v>
      </c>
      <c r="AP493" s="136">
        <f>IF((AO493=""),"",MONTH(AO493))</f>
        <v>11</v>
      </c>
      <c r="AQ493" s="123"/>
      <c r="AR493" s="23"/>
      <c r="AS493" s="54"/>
      <c r="AT493" s="23"/>
      <c r="AU493" s="70">
        <f t="shared" si="49"/>
        <v>11</v>
      </c>
      <c r="AV493" s="70" t="s">
        <v>68</v>
      </c>
    </row>
    <row r="494" spans="1:48" ht="19.5" hidden="1" customHeight="1" x14ac:dyDescent="0.2">
      <c r="A494" s="87">
        <v>20470</v>
      </c>
      <c r="B494" s="80" t="s">
        <v>2845</v>
      </c>
      <c r="C494" s="80" t="s">
        <v>1461</v>
      </c>
      <c r="D494" s="87"/>
      <c r="E494" s="123" t="s">
        <v>94</v>
      </c>
      <c r="F494" s="140">
        <v>31804</v>
      </c>
      <c r="G494" s="123"/>
      <c r="H494" s="54" t="s">
        <v>3144</v>
      </c>
      <c r="I494" s="123" t="s">
        <v>3333</v>
      </c>
      <c r="J494" s="140">
        <v>38295</v>
      </c>
      <c r="K494" s="123" t="s">
        <v>3334</v>
      </c>
      <c r="L494" s="123" t="s">
        <v>123</v>
      </c>
      <c r="M494" s="123" t="s">
        <v>1386</v>
      </c>
      <c r="N494" s="123" t="s">
        <v>3335</v>
      </c>
      <c r="O494" s="106"/>
      <c r="P494" s="54" t="s">
        <v>3336</v>
      </c>
      <c r="Q494" s="123"/>
      <c r="R494" s="123" t="s">
        <v>3337</v>
      </c>
      <c r="S494" s="123"/>
      <c r="T494" s="54" t="s">
        <v>3338</v>
      </c>
      <c r="U494" s="54" t="s">
        <v>3339</v>
      </c>
      <c r="V494" s="123"/>
      <c r="W494" s="123"/>
      <c r="X494" s="123"/>
      <c r="Y494" s="123" t="s">
        <v>605</v>
      </c>
      <c r="Z494" s="54"/>
      <c r="AA494" s="54"/>
      <c r="AB494" s="54">
        <v>2</v>
      </c>
      <c r="AC494" s="54" t="s">
        <v>362</v>
      </c>
      <c r="AD494" s="123" t="s">
        <v>207</v>
      </c>
      <c r="AE494" s="54" t="s">
        <v>585</v>
      </c>
      <c r="AF494" s="54" t="s">
        <v>65</v>
      </c>
      <c r="AG494" s="140">
        <v>41192</v>
      </c>
      <c r="AH494" s="65">
        <f>IF((AG494=""),"",MONTH(AG494))</f>
        <v>10</v>
      </c>
      <c r="AI494" s="65"/>
      <c r="AJ494" s="140">
        <v>41218</v>
      </c>
      <c r="AK494" s="65">
        <f t="shared" si="51"/>
        <v>11</v>
      </c>
      <c r="AL494" s="54" t="s">
        <v>66</v>
      </c>
      <c r="AM494" s="138"/>
      <c r="AN494" s="138"/>
      <c r="AO494" s="190"/>
      <c r="AP494" s="136"/>
      <c r="AQ494" s="123"/>
      <c r="AR494" s="23"/>
      <c r="AS494" s="54" t="s">
        <v>347</v>
      </c>
      <c r="AT494" s="136"/>
      <c r="AU494" s="70">
        <f t="shared" si="49"/>
        <v>1</v>
      </c>
      <c r="AV494" s="70" t="s">
        <v>68</v>
      </c>
    </row>
    <row r="495" spans="1:48" ht="19.5" hidden="1" customHeight="1" x14ac:dyDescent="0.2">
      <c r="A495" s="86">
        <v>20471</v>
      </c>
      <c r="B495" s="3" t="s">
        <v>265</v>
      </c>
      <c r="C495" s="3" t="s">
        <v>618</v>
      </c>
      <c r="D495" s="86"/>
      <c r="E495" s="36" t="s">
        <v>94</v>
      </c>
      <c r="F495" s="48">
        <v>30036</v>
      </c>
      <c r="G495" s="36"/>
      <c r="H495" s="81" t="s">
        <v>3340</v>
      </c>
      <c r="I495" s="36" t="s">
        <v>3341</v>
      </c>
      <c r="J495" s="48">
        <v>36607</v>
      </c>
      <c r="K495" s="36" t="s">
        <v>71</v>
      </c>
      <c r="L495" s="36" t="s">
        <v>123</v>
      </c>
      <c r="M495" s="36" t="s">
        <v>3342</v>
      </c>
      <c r="N495" s="36" t="s">
        <v>3343</v>
      </c>
      <c r="O495" s="101"/>
      <c r="P495" s="81" t="s">
        <v>3344</v>
      </c>
      <c r="Q495" s="36"/>
      <c r="R495" s="36" t="s">
        <v>3345</v>
      </c>
      <c r="S495" s="36"/>
      <c r="T495" s="81" t="s">
        <v>3346</v>
      </c>
      <c r="U495" s="81" t="s">
        <v>3347</v>
      </c>
      <c r="V495" s="36"/>
      <c r="W495" s="36"/>
      <c r="X495" s="36"/>
      <c r="Y495" s="36" t="s">
        <v>284</v>
      </c>
      <c r="Z495" s="81"/>
      <c r="AA495" s="54"/>
      <c r="AB495" s="81" t="s">
        <v>285</v>
      </c>
      <c r="AC495" s="81" t="s">
        <v>236</v>
      </c>
      <c r="AD495" s="36" t="s">
        <v>207</v>
      </c>
      <c r="AE495" s="81" t="s">
        <v>585</v>
      </c>
      <c r="AF495" s="81" t="s">
        <v>65</v>
      </c>
      <c r="AG495" s="48">
        <v>41192</v>
      </c>
      <c r="AH495" s="134">
        <f>IF((AG495=""),"",MONTH(AG495))</f>
        <v>10</v>
      </c>
      <c r="AI495" s="134"/>
      <c r="AJ495" s="48"/>
      <c r="AK495" s="134" t="str">
        <f t="shared" si="51"/>
        <v/>
      </c>
      <c r="AL495" s="94" t="s">
        <v>82</v>
      </c>
      <c r="AM495" s="78"/>
      <c r="AN495" s="78"/>
      <c r="AO495" s="190">
        <v>41279</v>
      </c>
      <c r="AP495" s="136">
        <f>IF((AO495=""),"",MONTH(AO495))</f>
        <v>1</v>
      </c>
      <c r="AQ495" s="127"/>
      <c r="AR495" s="23"/>
      <c r="AS495" s="54" t="s">
        <v>347</v>
      </c>
      <c r="AT495" s="136"/>
      <c r="AU495" s="70">
        <f t="shared" si="49"/>
        <v>3</v>
      </c>
      <c r="AV495" s="70" t="s">
        <v>68</v>
      </c>
    </row>
    <row r="496" spans="1:48" ht="19.5" hidden="1" customHeight="1" x14ac:dyDescent="0.2">
      <c r="A496" s="87">
        <v>20472</v>
      </c>
      <c r="B496" s="80" t="s">
        <v>801</v>
      </c>
      <c r="C496" s="80" t="s">
        <v>823</v>
      </c>
      <c r="D496" s="87"/>
      <c r="E496" s="123" t="s">
        <v>94</v>
      </c>
      <c r="F496" s="140">
        <v>32080</v>
      </c>
      <c r="G496" s="123"/>
      <c r="H496" s="54" t="s">
        <v>3348</v>
      </c>
      <c r="I496" s="123" t="s">
        <v>3349</v>
      </c>
      <c r="J496" s="140">
        <v>38617</v>
      </c>
      <c r="K496" s="123" t="s">
        <v>303</v>
      </c>
      <c r="L496" s="123" t="s">
        <v>123</v>
      </c>
      <c r="M496" s="123" t="s">
        <v>217</v>
      </c>
      <c r="N496" s="123" t="s">
        <v>3052</v>
      </c>
      <c r="O496" s="106"/>
      <c r="P496" s="54" t="s">
        <v>3350</v>
      </c>
      <c r="Q496" s="123"/>
      <c r="R496" s="123" t="s">
        <v>3351</v>
      </c>
      <c r="S496" s="123"/>
      <c r="T496" s="54" t="s">
        <v>3352</v>
      </c>
      <c r="U496" s="54" t="s">
        <v>3353</v>
      </c>
      <c r="V496" s="123"/>
      <c r="W496" s="123"/>
      <c r="X496" s="123"/>
      <c r="Y496" s="123" t="s">
        <v>865</v>
      </c>
      <c r="Z496" s="54"/>
      <c r="AA496" s="54"/>
      <c r="AB496" s="54" t="s">
        <v>285</v>
      </c>
      <c r="AC496" s="54" t="s">
        <v>236</v>
      </c>
      <c r="AD496" s="123" t="s">
        <v>207</v>
      </c>
      <c r="AE496" s="54" t="s">
        <v>585</v>
      </c>
      <c r="AF496" s="54" t="s">
        <v>65</v>
      </c>
      <c r="AG496" s="140">
        <v>41192</v>
      </c>
      <c r="AH496" s="65">
        <f>IF((AG496=""),"",MONTH(AG496))</f>
        <v>10</v>
      </c>
      <c r="AI496" s="65"/>
      <c r="AJ496" s="140">
        <v>41253</v>
      </c>
      <c r="AK496" s="65">
        <f t="shared" si="51"/>
        <v>12</v>
      </c>
      <c r="AL496" s="54" t="s">
        <v>66</v>
      </c>
      <c r="AM496" s="138"/>
      <c r="AN496" s="138"/>
      <c r="AO496" s="190"/>
      <c r="AP496" s="136"/>
      <c r="AQ496" s="123"/>
      <c r="AR496" s="23"/>
      <c r="AS496" s="54" t="s">
        <v>347</v>
      </c>
      <c r="AT496" s="136"/>
      <c r="AU496" s="70">
        <f t="shared" si="49"/>
        <v>10</v>
      </c>
      <c r="AV496" s="70" t="s">
        <v>68</v>
      </c>
    </row>
    <row r="497" spans="1:48" ht="19.5" hidden="1" customHeight="1" x14ac:dyDescent="0.2">
      <c r="A497" s="86">
        <v>20473</v>
      </c>
      <c r="B497" s="3" t="s">
        <v>265</v>
      </c>
      <c r="C497" s="3" t="s">
        <v>1384</v>
      </c>
      <c r="D497" s="86"/>
      <c r="E497" s="36" t="s">
        <v>94</v>
      </c>
      <c r="F497" s="48">
        <v>31857</v>
      </c>
      <c r="G497" s="36"/>
      <c r="H497" s="81" t="s">
        <v>365</v>
      </c>
      <c r="I497" s="36" t="s">
        <v>3354</v>
      </c>
      <c r="J497" s="48">
        <v>40632</v>
      </c>
      <c r="K497" s="36" t="s">
        <v>365</v>
      </c>
      <c r="L497" s="36" t="s">
        <v>1123</v>
      </c>
      <c r="M497" s="36" t="s">
        <v>3355</v>
      </c>
      <c r="N497" s="36" t="s">
        <v>354</v>
      </c>
      <c r="O497" s="101"/>
      <c r="P497" s="159" t="s">
        <v>3356</v>
      </c>
      <c r="Q497" s="36"/>
      <c r="R497" s="36" t="s">
        <v>3357</v>
      </c>
      <c r="S497" s="36"/>
      <c r="T497" s="81" t="s">
        <v>6353</v>
      </c>
      <c r="U497" s="81" t="s">
        <v>3358</v>
      </c>
      <c r="V497" s="36"/>
      <c r="W497" s="36"/>
      <c r="X497" s="36"/>
      <c r="Y497" s="36" t="s">
        <v>284</v>
      </c>
      <c r="Z497" s="81"/>
      <c r="AA497" s="54"/>
      <c r="AB497" s="81" t="s">
        <v>285</v>
      </c>
      <c r="AC497" s="81" t="s">
        <v>236</v>
      </c>
      <c r="AD497" s="36" t="s">
        <v>207</v>
      </c>
      <c r="AE497" s="81" t="s">
        <v>585</v>
      </c>
      <c r="AF497" s="81" t="s">
        <v>65</v>
      </c>
      <c r="AG497" s="48"/>
      <c r="AH497" s="48"/>
      <c r="AI497" s="48"/>
      <c r="AJ497" s="48"/>
      <c r="AK497" s="134" t="str">
        <f t="shared" si="51"/>
        <v/>
      </c>
      <c r="AL497" s="54" t="s">
        <v>82</v>
      </c>
      <c r="AM497" s="54"/>
      <c r="AN497" s="54"/>
      <c r="AO497" s="190"/>
      <c r="AP497" s="136"/>
      <c r="AQ497" s="123"/>
      <c r="AR497" s="23"/>
      <c r="AS497" s="54" t="s">
        <v>347</v>
      </c>
      <c r="AT497" s="184"/>
      <c r="AU497" s="70">
        <f t="shared" si="49"/>
        <v>3</v>
      </c>
      <c r="AV497" s="70" t="s">
        <v>68</v>
      </c>
    </row>
    <row r="498" spans="1:48" ht="19.5" hidden="1" customHeight="1" x14ac:dyDescent="0.2">
      <c r="A498" s="86">
        <v>20474</v>
      </c>
      <c r="B498" s="3" t="s">
        <v>691</v>
      </c>
      <c r="C498" s="3" t="s">
        <v>232</v>
      </c>
      <c r="D498" s="86"/>
      <c r="E498" s="36" t="s">
        <v>94</v>
      </c>
      <c r="F498" s="48">
        <v>31989</v>
      </c>
      <c r="G498" s="36"/>
      <c r="H498" s="81" t="s">
        <v>52</v>
      </c>
      <c r="I498" s="36" t="s">
        <v>3359</v>
      </c>
      <c r="J498" s="48">
        <v>38229</v>
      </c>
      <c r="K498" s="36" t="s">
        <v>52</v>
      </c>
      <c r="L498" s="36" t="s">
        <v>318</v>
      </c>
      <c r="M498" s="36" t="s">
        <v>448</v>
      </c>
      <c r="N498" s="36" t="s">
        <v>3360</v>
      </c>
      <c r="O498" s="101"/>
      <c r="P498" s="159" t="s">
        <v>3361</v>
      </c>
      <c r="Q498" s="36"/>
      <c r="R498" s="36" t="s">
        <v>3362</v>
      </c>
      <c r="S498" s="36"/>
      <c r="T498" s="81"/>
      <c r="U498" s="81" t="s">
        <v>3363</v>
      </c>
      <c r="V498" s="36"/>
      <c r="W498" s="36"/>
      <c r="X498" s="36"/>
      <c r="Y498" s="36" t="s">
        <v>284</v>
      </c>
      <c r="Z498" s="81"/>
      <c r="AA498" s="54"/>
      <c r="AB498" s="81" t="s">
        <v>285</v>
      </c>
      <c r="AC498" s="81" t="s">
        <v>236</v>
      </c>
      <c r="AD498" s="36" t="s">
        <v>207</v>
      </c>
      <c r="AE498" s="81" t="s">
        <v>585</v>
      </c>
      <c r="AF498" s="81" t="s">
        <v>65</v>
      </c>
      <c r="AG498" s="48"/>
      <c r="AH498" s="48"/>
      <c r="AI498" s="48"/>
      <c r="AJ498" s="48"/>
      <c r="AK498" s="134" t="str">
        <f t="shared" si="51"/>
        <v/>
      </c>
      <c r="AL498" s="54" t="s">
        <v>82</v>
      </c>
      <c r="AM498" s="54"/>
      <c r="AN498" s="54"/>
      <c r="AO498" s="190"/>
      <c r="AP498" s="136"/>
      <c r="AQ498" s="123"/>
      <c r="AR498" s="23"/>
      <c r="AS498" s="54" t="s">
        <v>347</v>
      </c>
      <c r="AT498" s="194"/>
      <c r="AU498" s="70">
        <f t="shared" ref="AU498:AU561" si="52">IF((F498=""),"",MONTH(F498))</f>
        <v>7</v>
      </c>
      <c r="AV498" s="70" t="s">
        <v>68</v>
      </c>
    </row>
    <row r="499" spans="1:48" ht="18.75" hidden="1" customHeight="1" x14ac:dyDescent="0.2">
      <c r="A499" s="87">
        <v>20475</v>
      </c>
      <c r="B499" s="80" t="s">
        <v>3364</v>
      </c>
      <c r="C499" s="80" t="s">
        <v>3365</v>
      </c>
      <c r="D499" s="87"/>
      <c r="E499" s="123" t="s">
        <v>94</v>
      </c>
      <c r="F499" s="140">
        <v>33013</v>
      </c>
      <c r="G499" s="123" t="s">
        <v>1614</v>
      </c>
      <c r="H499" s="54" t="s">
        <v>1614</v>
      </c>
      <c r="I499" s="123" t="s">
        <v>3366</v>
      </c>
      <c r="J499" s="140">
        <v>38169</v>
      </c>
      <c r="K499" s="123" t="s">
        <v>1614</v>
      </c>
      <c r="L499" s="123" t="s">
        <v>341</v>
      </c>
      <c r="M499" s="123" t="s">
        <v>3367</v>
      </c>
      <c r="N499" s="123" t="s">
        <v>3368</v>
      </c>
      <c r="O499" s="106"/>
      <c r="P499" s="54" t="s">
        <v>3369</v>
      </c>
      <c r="Q499" s="123"/>
      <c r="R499" s="123" t="s">
        <v>3370</v>
      </c>
      <c r="S499" s="123" t="s">
        <v>3371</v>
      </c>
      <c r="T499" s="54" t="s">
        <v>3372</v>
      </c>
      <c r="U499" s="54" t="s">
        <v>3373</v>
      </c>
      <c r="V499" s="123"/>
      <c r="W499" s="123"/>
      <c r="X499" s="123"/>
      <c r="Y499" s="123" t="s">
        <v>865</v>
      </c>
      <c r="Z499" s="54"/>
      <c r="AA499" s="54"/>
      <c r="AB499" s="54" t="s">
        <v>285</v>
      </c>
      <c r="AC499" s="54" t="s">
        <v>236</v>
      </c>
      <c r="AD499" s="123" t="s">
        <v>866</v>
      </c>
      <c r="AE499" s="54" t="s">
        <v>867</v>
      </c>
      <c r="AF499" s="54" t="s">
        <v>231</v>
      </c>
      <c r="AG499" s="140">
        <v>41185</v>
      </c>
      <c r="AH499" s="65">
        <f>IF((AG499=""),"",MONTH(AG499))</f>
        <v>10</v>
      </c>
      <c r="AI499" s="65"/>
      <c r="AJ499" s="140">
        <v>41275</v>
      </c>
      <c r="AK499" s="65">
        <f t="shared" si="51"/>
        <v>1</v>
      </c>
      <c r="AL499" s="54" t="s">
        <v>66</v>
      </c>
      <c r="AM499" s="138"/>
      <c r="AN499" s="138"/>
      <c r="AO499" s="190"/>
      <c r="AP499" s="136" t="str">
        <f>IF((AO499=""),"",MONTH(AO499))</f>
        <v/>
      </c>
      <c r="AQ499" s="123"/>
      <c r="AR499" s="23"/>
      <c r="AS499" s="54" t="s">
        <v>347</v>
      </c>
      <c r="AT499" s="136"/>
      <c r="AU499" s="70">
        <f t="shared" si="52"/>
        <v>5</v>
      </c>
      <c r="AV499" s="70" t="s">
        <v>68</v>
      </c>
    </row>
    <row r="500" spans="1:48" ht="19.5" hidden="1" customHeight="1" x14ac:dyDescent="0.2">
      <c r="A500" s="86">
        <v>20476</v>
      </c>
      <c r="B500" s="3" t="s">
        <v>3374</v>
      </c>
      <c r="C500" s="3" t="s">
        <v>607</v>
      </c>
      <c r="D500" s="86"/>
      <c r="E500" s="36" t="s">
        <v>94</v>
      </c>
      <c r="F500" s="48">
        <v>32374</v>
      </c>
      <c r="G500" s="36"/>
      <c r="H500" s="81" t="s">
        <v>0</v>
      </c>
      <c r="I500" s="36" t="s">
        <v>3375</v>
      </c>
      <c r="J500" s="48">
        <v>41109</v>
      </c>
      <c r="K500" s="36" t="s">
        <v>1033</v>
      </c>
      <c r="L500" s="36" t="s">
        <v>123</v>
      </c>
      <c r="M500" s="36" t="s">
        <v>1386</v>
      </c>
      <c r="N500" s="36" t="s">
        <v>3376</v>
      </c>
      <c r="O500" s="101">
        <v>2010</v>
      </c>
      <c r="P500" s="81"/>
      <c r="Q500" s="36"/>
      <c r="R500" s="36" t="s">
        <v>3377</v>
      </c>
      <c r="S500" s="36"/>
      <c r="T500" s="81" t="s">
        <v>0</v>
      </c>
      <c r="U500" s="81" t="s">
        <v>3378</v>
      </c>
      <c r="V500" s="36"/>
      <c r="W500" s="36"/>
      <c r="X500" s="36"/>
      <c r="Y500" s="36" t="s">
        <v>374</v>
      </c>
      <c r="Z500" s="81"/>
      <c r="AA500" s="54"/>
      <c r="AB500" s="81">
        <v>3</v>
      </c>
      <c r="AC500" s="81" t="s">
        <v>63</v>
      </c>
      <c r="AD500" s="36" t="s">
        <v>207</v>
      </c>
      <c r="AE500" s="81" t="s">
        <v>1174</v>
      </c>
      <c r="AF500" s="81" t="s">
        <v>65</v>
      </c>
      <c r="AG500" s="48">
        <v>41211</v>
      </c>
      <c r="AH500" s="134">
        <f>IF((AG500=""),"",MONTH(AG500))</f>
        <v>10</v>
      </c>
      <c r="AI500" s="134"/>
      <c r="AJ500" s="48"/>
      <c r="AK500" s="134" t="str">
        <f t="shared" si="51"/>
        <v/>
      </c>
      <c r="AL500" s="94" t="s">
        <v>82</v>
      </c>
      <c r="AM500" s="78"/>
      <c r="AN500" s="78"/>
      <c r="AO500" s="190">
        <v>41365</v>
      </c>
      <c r="AP500" s="136">
        <f>IF((AO500=""),"",MONTH(AO500))</f>
        <v>4</v>
      </c>
      <c r="AQ500" s="127"/>
      <c r="AR500" s="23"/>
      <c r="AS500" s="94"/>
      <c r="AT500" s="136"/>
      <c r="AU500" s="70">
        <f t="shared" si="52"/>
        <v>8</v>
      </c>
      <c r="AV500" s="70" t="s">
        <v>68</v>
      </c>
    </row>
    <row r="501" spans="1:48" ht="19.5" hidden="1" customHeight="1" x14ac:dyDescent="0.2">
      <c r="A501" s="86">
        <v>20477</v>
      </c>
      <c r="B501" s="3" t="s">
        <v>3379</v>
      </c>
      <c r="C501" s="3" t="s">
        <v>466</v>
      </c>
      <c r="D501" s="86"/>
      <c r="E501" s="36" t="s">
        <v>94</v>
      </c>
      <c r="F501" s="48">
        <v>32894</v>
      </c>
      <c r="G501" s="36"/>
      <c r="H501" s="81"/>
      <c r="I501" s="36"/>
      <c r="J501" s="48"/>
      <c r="K501" s="36"/>
      <c r="L501" s="36"/>
      <c r="M501" s="36"/>
      <c r="N501" s="36" t="s">
        <v>320</v>
      </c>
      <c r="O501" s="101"/>
      <c r="P501" s="159" t="s">
        <v>3380</v>
      </c>
      <c r="Q501" s="36"/>
      <c r="R501" s="36"/>
      <c r="S501" s="36"/>
      <c r="T501" s="81"/>
      <c r="U501" s="81"/>
      <c r="V501" s="36"/>
      <c r="W501" s="36"/>
      <c r="X501" s="36"/>
      <c r="Y501" s="36" t="s">
        <v>284</v>
      </c>
      <c r="Z501" s="81"/>
      <c r="AA501" s="54"/>
      <c r="AB501" s="81" t="s">
        <v>285</v>
      </c>
      <c r="AC501" s="81" t="s">
        <v>236</v>
      </c>
      <c r="AD501" s="36" t="s">
        <v>917</v>
      </c>
      <c r="AE501" s="81" t="s">
        <v>918</v>
      </c>
      <c r="AF501" s="81" t="s">
        <v>65</v>
      </c>
      <c r="AG501" s="48"/>
      <c r="AH501" s="48"/>
      <c r="AI501" s="48"/>
      <c r="AJ501" s="48">
        <v>41214</v>
      </c>
      <c r="AK501" s="134">
        <f t="shared" si="51"/>
        <v>11</v>
      </c>
      <c r="AL501" s="54" t="s">
        <v>82</v>
      </c>
      <c r="AM501" s="54"/>
      <c r="AN501" s="54"/>
      <c r="AO501" s="190"/>
      <c r="AP501" s="136"/>
      <c r="AQ501" s="123"/>
      <c r="AR501" s="23"/>
      <c r="AS501" s="54"/>
      <c r="AT501" s="23"/>
      <c r="AU501" s="70">
        <f t="shared" si="52"/>
        <v>1</v>
      </c>
      <c r="AV501" s="70" t="s">
        <v>68</v>
      </c>
    </row>
    <row r="502" spans="1:48" ht="19.5" hidden="1" customHeight="1" x14ac:dyDescent="0.2">
      <c r="A502" s="86">
        <v>20478</v>
      </c>
      <c r="B502" s="3" t="s">
        <v>3381</v>
      </c>
      <c r="C502" s="3" t="s">
        <v>250</v>
      </c>
      <c r="D502" s="86"/>
      <c r="E502" s="36" t="s">
        <v>94</v>
      </c>
      <c r="F502" s="48">
        <v>33003</v>
      </c>
      <c r="G502" s="36"/>
      <c r="H502" s="81" t="s">
        <v>0</v>
      </c>
      <c r="I502" s="36" t="s">
        <v>3382</v>
      </c>
      <c r="J502" s="48">
        <v>39282</v>
      </c>
      <c r="K502" s="36" t="s">
        <v>1456</v>
      </c>
      <c r="L502" s="36" t="s">
        <v>123</v>
      </c>
      <c r="M502" s="36" t="s">
        <v>3383</v>
      </c>
      <c r="N502" s="36"/>
      <c r="O502" s="101"/>
      <c r="P502" s="81" t="s">
        <v>3384</v>
      </c>
      <c r="Q502" s="36"/>
      <c r="R502" s="36" t="s">
        <v>3385</v>
      </c>
      <c r="S502" s="36"/>
      <c r="T502" s="81" t="s">
        <v>3386</v>
      </c>
      <c r="U502" s="81" t="s">
        <v>3386</v>
      </c>
      <c r="V502" s="36"/>
      <c r="W502" s="36"/>
      <c r="X502" s="36"/>
      <c r="Y502" s="36" t="s">
        <v>284</v>
      </c>
      <c r="Z502" s="81"/>
      <c r="AA502" s="54"/>
      <c r="AB502" s="81" t="s">
        <v>285</v>
      </c>
      <c r="AC502" s="81" t="s">
        <v>236</v>
      </c>
      <c r="AD502" s="36" t="s">
        <v>866</v>
      </c>
      <c r="AE502" s="81"/>
      <c r="AF502" s="81" t="s">
        <v>231</v>
      </c>
      <c r="AG502" s="48">
        <v>41214</v>
      </c>
      <c r="AH502" s="134">
        <f>IF((AG502=""),"",MONTH(AG502))</f>
        <v>11</v>
      </c>
      <c r="AI502" s="134"/>
      <c r="AJ502" s="48"/>
      <c r="AK502" s="134" t="str">
        <f t="shared" si="51"/>
        <v/>
      </c>
      <c r="AL502" s="94" t="s">
        <v>82</v>
      </c>
      <c r="AM502" s="78"/>
      <c r="AN502" s="78"/>
      <c r="AO502" s="190">
        <v>41308</v>
      </c>
      <c r="AP502" s="136">
        <f>IF((AO502=""),"",MONTH(AO502))</f>
        <v>2</v>
      </c>
      <c r="AQ502" s="127"/>
      <c r="AR502" s="23"/>
      <c r="AS502" s="94"/>
      <c r="AT502" s="136"/>
      <c r="AU502" s="70">
        <f t="shared" si="52"/>
        <v>5</v>
      </c>
      <c r="AV502" s="70" t="s">
        <v>68</v>
      </c>
    </row>
    <row r="503" spans="1:48" ht="19.5" hidden="1" customHeight="1" x14ac:dyDescent="0.2">
      <c r="A503" s="87">
        <v>20479</v>
      </c>
      <c r="B503" s="80" t="s">
        <v>3387</v>
      </c>
      <c r="C503" s="80" t="s">
        <v>823</v>
      </c>
      <c r="D503" s="87"/>
      <c r="E503" s="123" t="s">
        <v>94</v>
      </c>
      <c r="F503" s="140">
        <v>30840</v>
      </c>
      <c r="G503" s="123"/>
      <c r="H503" s="54" t="s">
        <v>231</v>
      </c>
      <c r="I503" s="123" t="s">
        <v>3388</v>
      </c>
      <c r="J503" s="140">
        <v>39281</v>
      </c>
      <c r="K503" s="123" t="s">
        <v>3389</v>
      </c>
      <c r="L503" s="123" t="s">
        <v>341</v>
      </c>
      <c r="M503" s="123" t="s">
        <v>3390</v>
      </c>
      <c r="N503" s="123" t="s">
        <v>3391</v>
      </c>
      <c r="O503" s="106"/>
      <c r="P503" s="54" t="s">
        <v>3392</v>
      </c>
      <c r="Q503" s="123"/>
      <c r="R503" s="123" t="s">
        <v>3393</v>
      </c>
      <c r="S503" s="123"/>
      <c r="T503" s="54" t="s">
        <v>3394</v>
      </c>
      <c r="U503" s="54" t="s">
        <v>3395</v>
      </c>
      <c r="V503" s="123"/>
      <c r="W503" s="123"/>
      <c r="X503" s="123"/>
      <c r="Y503" s="123" t="s">
        <v>865</v>
      </c>
      <c r="Z503" s="54"/>
      <c r="AA503" s="54"/>
      <c r="AB503" s="54" t="s">
        <v>285</v>
      </c>
      <c r="AC503" s="54" t="s">
        <v>236</v>
      </c>
      <c r="AD503" s="123" t="s">
        <v>866</v>
      </c>
      <c r="AE503" s="54" t="s">
        <v>867</v>
      </c>
      <c r="AF503" s="54" t="s">
        <v>231</v>
      </c>
      <c r="AG503" s="140">
        <v>41214</v>
      </c>
      <c r="AH503" s="65">
        <f>IF((AG503=""),"",MONTH(AG503))</f>
        <v>11</v>
      </c>
      <c r="AI503" s="65"/>
      <c r="AJ503" s="140">
        <v>41275</v>
      </c>
      <c r="AK503" s="65">
        <f t="shared" si="51"/>
        <v>1</v>
      </c>
      <c r="AL503" s="54" t="s">
        <v>66</v>
      </c>
      <c r="AM503" s="138"/>
      <c r="AN503" s="138"/>
      <c r="AO503" s="190"/>
      <c r="AP503" s="136" t="str">
        <f>IF((AO503=""),"",MONTH(AO503))</f>
        <v/>
      </c>
      <c r="AQ503" s="123"/>
      <c r="AR503" s="23"/>
      <c r="AS503" s="54" t="s">
        <v>347</v>
      </c>
      <c r="AT503" s="136"/>
      <c r="AU503" s="70">
        <f t="shared" si="52"/>
        <v>6</v>
      </c>
      <c r="AV503" s="70" t="s">
        <v>68</v>
      </c>
    </row>
    <row r="504" spans="1:48" ht="19.5" hidden="1" customHeight="1" x14ac:dyDescent="0.2">
      <c r="A504" s="86">
        <v>20480</v>
      </c>
      <c r="B504" s="3" t="s">
        <v>3396</v>
      </c>
      <c r="C504" s="3" t="s">
        <v>685</v>
      </c>
      <c r="D504" s="86"/>
      <c r="E504" s="36" t="s">
        <v>94</v>
      </c>
      <c r="F504" s="48"/>
      <c r="G504" s="36"/>
      <c r="H504" s="81"/>
      <c r="I504" s="36"/>
      <c r="J504" s="48"/>
      <c r="K504" s="36"/>
      <c r="L504" s="36"/>
      <c r="M504" s="36"/>
      <c r="N504" s="36" t="s">
        <v>320</v>
      </c>
      <c r="O504" s="101"/>
      <c r="P504" s="159" t="s">
        <v>3397</v>
      </c>
      <c r="Q504" s="36"/>
      <c r="R504" s="36"/>
      <c r="S504" s="36"/>
      <c r="T504" s="81"/>
      <c r="U504" s="81"/>
      <c r="V504" s="36"/>
      <c r="W504" s="36"/>
      <c r="X504" s="36"/>
      <c r="Y504" s="36" t="s">
        <v>284</v>
      </c>
      <c r="Z504" s="81"/>
      <c r="AA504" s="54"/>
      <c r="AB504" s="81" t="s">
        <v>285</v>
      </c>
      <c r="AC504" s="81" t="s">
        <v>236</v>
      </c>
      <c r="AD504" s="36" t="s">
        <v>230</v>
      </c>
      <c r="AE504" s="81" t="s">
        <v>839</v>
      </c>
      <c r="AF504" s="81" t="s">
        <v>231</v>
      </c>
      <c r="AG504" s="48"/>
      <c r="AH504" s="48"/>
      <c r="AI504" s="48"/>
      <c r="AJ504" s="48"/>
      <c r="AK504" s="134" t="str">
        <f t="shared" si="51"/>
        <v/>
      </c>
      <c r="AL504" s="54" t="s">
        <v>82</v>
      </c>
      <c r="AM504" s="54"/>
      <c r="AN504" s="54"/>
      <c r="AO504" s="190"/>
      <c r="AP504" s="136"/>
      <c r="AQ504" s="123"/>
      <c r="AR504" s="23"/>
      <c r="AS504" s="54"/>
      <c r="AT504" s="23"/>
      <c r="AU504" s="70" t="str">
        <f t="shared" si="52"/>
        <v/>
      </c>
      <c r="AV504" s="70" t="s">
        <v>68</v>
      </c>
    </row>
    <row r="505" spans="1:48" ht="19.5" hidden="1" customHeight="1" x14ac:dyDescent="0.2">
      <c r="A505" s="87">
        <v>20481</v>
      </c>
      <c r="B505" s="80" t="s">
        <v>3398</v>
      </c>
      <c r="C505" s="80" t="s">
        <v>3399</v>
      </c>
      <c r="D505" s="87"/>
      <c r="E505" s="123" t="s">
        <v>94</v>
      </c>
      <c r="F505" s="140">
        <v>32935</v>
      </c>
      <c r="G505" s="123"/>
      <c r="H505" s="54" t="s">
        <v>3400</v>
      </c>
      <c r="I505" s="123" t="s">
        <v>3401</v>
      </c>
      <c r="J505" s="140">
        <v>39854</v>
      </c>
      <c r="K505" s="123" t="s">
        <v>3389</v>
      </c>
      <c r="L505" s="123" t="s">
        <v>123</v>
      </c>
      <c r="M505" s="123" t="s">
        <v>3402</v>
      </c>
      <c r="N505" s="123" t="s">
        <v>3403</v>
      </c>
      <c r="O505" s="106"/>
      <c r="P505" s="54" t="s">
        <v>3404</v>
      </c>
      <c r="Q505" s="123"/>
      <c r="R505" s="123" t="s">
        <v>3405</v>
      </c>
      <c r="S505" s="123"/>
      <c r="T505" s="54" t="s">
        <v>3406</v>
      </c>
      <c r="U505" s="54" t="s">
        <v>3406</v>
      </c>
      <c r="V505" s="123"/>
      <c r="W505" s="123"/>
      <c r="X505" s="123"/>
      <c r="Y505" s="123" t="s">
        <v>865</v>
      </c>
      <c r="Z505" s="54"/>
      <c r="AA505" s="54"/>
      <c r="AB505" s="54" t="s">
        <v>285</v>
      </c>
      <c r="AC505" s="54" t="s">
        <v>236</v>
      </c>
      <c r="AD505" s="123" t="s">
        <v>866</v>
      </c>
      <c r="AE505" s="54" t="s">
        <v>867</v>
      </c>
      <c r="AF505" s="54" t="s">
        <v>231</v>
      </c>
      <c r="AG505" s="140">
        <v>41214</v>
      </c>
      <c r="AH505" s="65">
        <f>IF((AG505=""),"",MONTH(AG505))</f>
        <v>11</v>
      </c>
      <c r="AI505" s="65"/>
      <c r="AJ505" s="140">
        <v>41275</v>
      </c>
      <c r="AK505" s="65">
        <f t="shared" si="51"/>
        <v>1</v>
      </c>
      <c r="AL505" s="54" t="s">
        <v>66</v>
      </c>
      <c r="AM505" s="138"/>
      <c r="AN505" s="138"/>
      <c r="AO505" s="190"/>
      <c r="AP505" s="136" t="str">
        <f>IF((AO505=""),"",MONTH(AO505))</f>
        <v/>
      </c>
      <c r="AQ505" s="123"/>
      <c r="AR505" s="23"/>
      <c r="AS505" s="54" t="s">
        <v>347</v>
      </c>
      <c r="AT505" s="136"/>
      <c r="AU505" s="70">
        <f t="shared" si="52"/>
        <v>3</v>
      </c>
      <c r="AV505" s="70" t="s">
        <v>68</v>
      </c>
    </row>
    <row r="506" spans="1:48" ht="19.5" hidden="1" customHeight="1" x14ac:dyDescent="0.2">
      <c r="A506" s="86">
        <v>20482</v>
      </c>
      <c r="B506" s="3" t="s">
        <v>3407</v>
      </c>
      <c r="C506" s="3" t="s">
        <v>2762</v>
      </c>
      <c r="D506" s="86"/>
      <c r="E506" s="36" t="s">
        <v>94</v>
      </c>
      <c r="F506" s="48"/>
      <c r="G506" s="36"/>
      <c r="H506" s="81"/>
      <c r="I506" s="36"/>
      <c r="J506" s="48"/>
      <c r="K506" s="36"/>
      <c r="L506" s="36"/>
      <c r="M506" s="36"/>
      <c r="N506" s="36" t="s">
        <v>320</v>
      </c>
      <c r="O506" s="101"/>
      <c r="P506" s="159" t="s">
        <v>3408</v>
      </c>
      <c r="Q506" s="36"/>
      <c r="R506" s="36"/>
      <c r="S506" s="36"/>
      <c r="T506" s="81"/>
      <c r="U506" s="81"/>
      <c r="V506" s="36"/>
      <c r="W506" s="36"/>
      <c r="X506" s="36"/>
      <c r="Y506" s="36" t="s">
        <v>284</v>
      </c>
      <c r="Z506" s="81"/>
      <c r="AA506" s="54"/>
      <c r="AB506" s="81" t="s">
        <v>285</v>
      </c>
      <c r="AC506" s="81" t="s">
        <v>236</v>
      </c>
      <c r="AD506" s="36" t="s">
        <v>230</v>
      </c>
      <c r="AE506" s="81" t="s">
        <v>839</v>
      </c>
      <c r="AF506" s="81" t="s">
        <v>231</v>
      </c>
      <c r="AG506" s="48"/>
      <c r="AH506" s="48"/>
      <c r="AI506" s="48"/>
      <c r="AJ506" s="48"/>
      <c r="AK506" s="134" t="str">
        <f t="shared" si="51"/>
        <v/>
      </c>
      <c r="AL506" s="54" t="s">
        <v>82</v>
      </c>
      <c r="AM506" s="54"/>
      <c r="AN506" s="54"/>
      <c r="AO506" s="190"/>
      <c r="AP506" s="136"/>
      <c r="AQ506" s="123"/>
      <c r="AR506" s="23"/>
      <c r="AS506" s="54"/>
      <c r="AT506" s="184"/>
      <c r="AU506" s="70" t="str">
        <f t="shared" si="52"/>
        <v/>
      </c>
      <c r="AV506" s="70" t="s">
        <v>68</v>
      </c>
    </row>
    <row r="507" spans="1:48" ht="19.5" hidden="1" customHeight="1" x14ac:dyDescent="0.2">
      <c r="A507" s="86">
        <v>20483</v>
      </c>
      <c r="B507" s="3" t="s">
        <v>3409</v>
      </c>
      <c r="C507" s="3" t="s">
        <v>3410</v>
      </c>
      <c r="D507" s="86"/>
      <c r="E507" s="36" t="s">
        <v>94</v>
      </c>
      <c r="F507" s="48"/>
      <c r="G507" s="36"/>
      <c r="H507" s="81"/>
      <c r="I507" s="36"/>
      <c r="J507" s="48"/>
      <c r="K507" s="36"/>
      <c r="L507" s="36"/>
      <c r="M507" s="36"/>
      <c r="N507" s="36" t="s">
        <v>320</v>
      </c>
      <c r="O507" s="101"/>
      <c r="P507" s="159" t="s">
        <v>3411</v>
      </c>
      <c r="Q507" s="36"/>
      <c r="R507" s="36"/>
      <c r="S507" s="36"/>
      <c r="T507" s="81"/>
      <c r="U507" s="81"/>
      <c r="V507" s="36"/>
      <c r="W507" s="36"/>
      <c r="X507" s="36"/>
      <c r="Y507" s="36" t="s">
        <v>284</v>
      </c>
      <c r="Z507" s="81"/>
      <c r="AA507" s="54"/>
      <c r="AB507" s="81" t="s">
        <v>285</v>
      </c>
      <c r="AC507" s="81" t="s">
        <v>236</v>
      </c>
      <c r="AD507" s="36" t="s">
        <v>230</v>
      </c>
      <c r="AE507" s="81" t="s">
        <v>839</v>
      </c>
      <c r="AF507" s="81" t="s">
        <v>231</v>
      </c>
      <c r="AG507" s="48"/>
      <c r="AH507" s="48"/>
      <c r="AI507" s="48"/>
      <c r="AJ507" s="48"/>
      <c r="AK507" s="134" t="str">
        <f t="shared" si="51"/>
        <v/>
      </c>
      <c r="AL507" s="54" t="s">
        <v>82</v>
      </c>
      <c r="AM507" s="54"/>
      <c r="AN507" s="54"/>
      <c r="AO507" s="190"/>
      <c r="AP507" s="136"/>
      <c r="AQ507" s="123"/>
      <c r="AR507" s="23"/>
      <c r="AS507" s="54"/>
      <c r="AT507" s="158"/>
      <c r="AU507" s="70" t="str">
        <f t="shared" si="52"/>
        <v/>
      </c>
      <c r="AV507" s="70" t="s">
        <v>68</v>
      </c>
    </row>
    <row r="508" spans="1:48" ht="19.5" hidden="1" customHeight="1" x14ac:dyDescent="0.2">
      <c r="A508" s="86">
        <v>20484</v>
      </c>
      <c r="B508" s="3" t="s">
        <v>2245</v>
      </c>
      <c r="C508" s="3" t="s">
        <v>778</v>
      </c>
      <c r="D508" s="86"/>
      <c r="E508" s="36" t="s">
        <v>94</v>
      </c>
      <c r="F508" s="48"/>
      <c r="G508" s="36"/>
      <c r="H508" s="81"/>
      <c r="I508" s="36"/>
      <c r="J508" s="48"/>
      <c r="K508" s="36"/>
      <c r="L508" s="36"/>
      <c r="M508" s="36"/>
      <c r="N508" s="36"/>
      <c r="O508" s="101"/>
      <c r="P508" s="159" t="s">
        <v>3412</v>
      </c>
      <c r="Q508" s="36"/>
      <c r="R508" s="36"/>
      <c r="S508" s="36"/>
      <c r="T508" s="81"/>
      <c r="U508" s="81"/>
      <c r="V508" s="36"/>
      <c r="W508" s="36"/>
      <c r="X508" s="36"/>
      <c r="Y508" s="36" t="s">
        <v>284</v>
      </c>
      <c r="Z508" s="81"/>
      <c r="AA508" s="54"/>
      <c r="AB508" s="81" t="s">
        <v>285</v>
      </c>
      <c r="AC508" s="81" t="s">
        <v>236</v>
      </c>
      <c r="AD508" s="36" t="s">
        <v>230</v>
      </c>
      <c r="AE508" s="81" t="s">
        <v>839</v>
      </c>
      <c r="AF508" s="81" t="s">
        <v>231</v>
      </c>
      <c r="AG508" s="48"/>
      <c r="AH508" s="48"/>
      <c r="AI508" s="48"/>
      <c r="AJ508" s="48"/>
      <c r="AK508" s="134" t="str">
        <f t="shared" si="51"/>
        <v/>
      </c>
      <c r="AL508" s="54" t="s">
        <v>82</v>
      </c>
      <c r="AM508" s="54"/>
      <c r="AN508" s="54"/>
      <c r="AO508" s="190"/>
      <c r="AP508" s="136"/>
      <c r="AQ508" s="123"/>
      <c r="AR508" s="23"/>
      <c r="AS508" s="54"/>
      <c r="AT508" s="158"/>
      <c r="AU508" s="70" t="str">
        <f t="shared" si="52"/>
        <v/>
      </c>
      <c r="AV508" s="70" t="s">
        <v>68</v>
      </c>
    </row>
    <row r="509" spans="1:48" ht="19.5" hidden="1" customHeight="1" x14ac:dyDescent="0.2">
      <c r="A509" s="86">
        <v>20485</v>
      </c>
      <c r="B509" s="3" t="s">
        <v>3413</v>
      </c>
      <c r="C509" s="3" t="s">
        <v>711</v>
      </c>
      <c r="D509" s="86"/>
      <c r="E509" s="36" t="s">
        <v>94</v>
      </c>
      <c r="F509" s="48"/>
      <c r="G509" s="36"/>
      <c r="H509" s="81"/>
      <c r="I509" s="36"/>
      <c r="J509" s="48"/>
      <c r="K509" s="36"/>
      <c r="L509" s="36"/>
      <c r="M509" s="36"/>
      <c r="N509" s="36" t="s">
        <v>320</v>
      </c>
      <c r="O509" s="101"/>
      <c r="P509" s="159" t="s">
        <v>3414</v>
      </c>
      <c r="Q509" s="36"/>
      <c r="R509" s="36"/>
      <c r="S509" s="36"/>
      <c r="T509" s="81"/>
      <c r="U509" s="81"/>
      <c r="V509" s="36"/>
      <c r="W509" s="36"/>
      <c r="X509" s="36"/>
      <c r="Y509" s="36" t="s">
        <v>284</v>
      </c>
      <c r="Z509" s="81"/>
      <c r="AA509" s="54"/>
      <c r="AB509" s="81" t="s">
        <v>285</v>
      </c>
      <c r="AC509" s="81" t="s">
        <v>236</v>
      </c>
      <c r="AD509" s="36" t="s">
        <v>230</v>
      </c>
      <c r="AE509" s="81" t="s">
        <v>839</v>
      </c>
      <c r="AF509" s="81" t="s">
        <v>231</v>
      </c>
      <c r="AG509" s="48"/>
      <c r="AH509" s="48"/>
      <c r="AI509" s="48"/>
      <c r="AJ509" s="48"/>
      <c r="AK509" s="134" t="str">
        <f t="shared" si="51"/>
        <v/>
      </c>
      <c r="AL509" s="54" t="s">
        <v>82</v>
      </c>
      <c r="AM509" s="54"/>
      <c r="AN509" s="54"/>
      <c r="AO509" s="190"/>
      <c r="AP509" s="136"/>
      <c r="AQ509" s="123"/>
      <c r="AR509" s="23"/>
      <c r="AS509" s="54"/>
      <c r="AT509" s="194"/>
      <c r="AU509" s="70" t="str">
        <f t="shared" si="52"/>
        <v/>
      </c>
      <c r="AV509" s="70" t="s">
        <v>68</v>
      </c>
    </row>
    <row r="510" spans="1:48" ht="19.5" hidden="1" customHeight="1" x14ac:dyDescent="0.2">
      <c r="A510" s="86">
        <v>20486</v>
      </c>
      <c r="B510" s="3" t="s">
        <v>3415</v>
      </c>
      <c r="C510" s="3" t="s">
        <v>3416</v>
      </c>
      <c r="D510" s="86"/>
      <c r="E510" s="36" t="s">
        <v>94</v>
      </c>
      <c r="F510" s="48">
        <v>32732</v>
      </c>
      <c r="G510" s="36" t="s">
        <v>2706</v>
      </c>
      <c r="H510" s="81" t="s">
        <v>3417</v>
      </c>
      <c r="I510" s="36" t="s">
        <v>3418</v>
      </c>
      <c r="J510" s="48">
        <v>37990</v>
      </c>
      <c r="K510" s="36" t="s">
        <v>1456</v>
      </c>
      <c r="L510" s="36" t="s">
        <v>123</v>
      </c>
      <c r="M510" s="36" t="s">
        <v>2619</v>
      </c>
      <c r="N510" s="36" t="s">
        <v>307</v>
      </c>
      <c r="O510" s="101">
        <v>2011</v>
      </c>
      <c r="P510" s="81" t="s">
        <v>3419</v>
      </c>
      <c r="Q510" s="36"/>
      <c r="R510" s="36" t="s">
        <v>3420</v>
      </c>
      <c r="S510" s="36" t="s">
        <v>3421</v>
      </c>
      <c r="T510" s="81" t="s">
        <v>3422</v>
      </c>
      <c r="U510" s="81" t="s">
        <v>3423</v>
      </c>
      <c r="V510" s="36"/>
      <c r="W510" s="36"/>
      <c r="X510" s="36"/>
      <c r="Y510" s="36" t="s">
        <v>284</v>
      </c>
      <c r="Z510" s="81"/>
      <c r="AA510" s="54"/>
      <c r="AB510" s="81" t="s">
        <v>285</v>
      </c>
      <c r="AC510" s="81" t="s">
        <v>236</v>
      </c>
      <c r="AD510" s="36" t="s">
        <v>866</v>
      </c>
      <c r="AE510" s="81" t="s">
        <v>867</v>
      </c>
      <c r="AF510" s="81" t="s">
        <v>231</v>
      </c>
      <c r="AG510" s="48">
        <v>41214</v>
      </c>
      <c r="AH510" s="134">
        <f>IF((AG510=""),"",MONTH(AG510))</f>
        <v>11</v>
      </c>
      <c r="AI510" s="134"/>
      <c r="AJ510" s="48">
        <v>41278</v>
      </c>
      <c r="AK510" s="134">
        <f t="shared" si="51"/>
        <v>1</v>
      </c>
      <c r="AL510" s="94" t="s">
        <v>82</v>
      </c>
      <c r="AM510" s="78"/>
      <c r="AN510" s="78"/>
      <c r="AO510" s="190">
        <v>41364</v>
      </c>
      <c r="AP510" s="136">
        <f>IF((AO510=""),"",MONTH(AO510))</f>
        <v>3</v>
      </c>
      <c r="AQ510" s="127"/>
      <c r="AR510" s="23"/>
      <c r="AS510" s="94"/>
      <c r="AT510" s="136"/>
      <c r="AU510" s="70">
        <f t="shared" si="52"/>
        <v>8</v>
      </c>
      <c r="AV510" s="70" t="s">
        <v>68</v>
      </c>
    </row>
    <row r="511" spans="1:48" ht="19.5" hidden="1" customHeight="1" x14ac:dyDescent="0.2">
      <c r="A511" s="86">
        <v>20487</v>
      </c>
      <c r="B511" s="3" t="s">
        <v>1030</v>
      </c>
      <c r="C511" s="3" t="s">
        <v>250</v>
      </c>
      <c r="D511" s="86"/>
      <c r="E511" s="36" t="s">
        <v>94</v>
      </c>
      <c r="F511" s="48"/>
      <c r="G511" s="36"/>
      <c r="H511" s="81"/>
      <c r="I511" s="36"/>
      <c r="J511" s="48"/>
      <c r="K511" s="36"/>
      <c r="L511" s="36"/>
      <c r="M511" s="36"/>
      <c r="N511" s="36" t="s">
        <v>320</v>
      </c>
      <c r="O511" s="101"/>
      <c r="P511" s="159" t="s">
        <v>3424</v>
      </c>
      <c r="Q511" s="36"/>
      <c r="R511" s="36"/>
      <c r="S511" s="36"/>
      <c r="T511" s="81"/>
      <c r="U511" s="81"/>
      <c r="V511" s="36"/>
      <c r="W511" s="36"/>
      <c r="X511" s="36"/>
      <c r="Y511" s="36"/>
      <c r="Z511" s="81"/>
      <c r="AA511" s="54"/>
      <c r="AB511" s="81"/>
      <c r="AC511" s="81"/>
      <c r="AD511" s="36" t="s">
        <v>230</v>
      </c>
      <c r="AE511" s="81" t="s">
        <v>839</v>
      </c>
      <c r="AF511" s="81" t="s">
        <v>231</v>
      </c>
      <c r="AG511" s="48"/>
      <c r="AH511" s="48"/>
      <c r="AI511" s="48"/>
      <c r="AJ511" s="48"/>
      <c r="AK511" s="134" t="str">
        <f t="shared" si="51"/>
        <v/>
      </c>
      <c r="AL511" s="54" t="s">
        <v>82</v>
      </c>
      <c r="AM511" s="54"/>
      <c r="AN511" s="54"/>
      <c r="AO511" s="190"/>
      <c r="AP511" s="136"/>
      <c r="AQ511" s="123"/>
      <c r="AR511" s="23"/>
      <c r="AS511" s="54"/>
      <c r="AT511" s="23"/>
      <c r="AU511" s="70" t="str">
        <f t="shared" si="52"/>
        <v/>
      </c>
      <c r="AV511" s="70" t="s">
        <v>68</v>
      </c>
    </row>
    <row r="512" spans="1:48" ht="19.5" hidden="1" customHeight="1" x14ac:dyDescent="0.2">
      <c r="A512" s="87">
        <v>20488</v>
      </c>
      <c r="B512" s="80" t="s">
        <v>3425</v>
      </c>
      <c r="C512" s="80" t="s">
        <v>3426</v>
      </c>
      <c r="D512" s="87"/>
      <c r="E512" s="123" t="s">
        <v>51</v>
      </c>
      <c r="F512" s="140">
        <v>27077</v>
      </c>
      <c r="G512" s="123" t="s">
        <v>132</v>
      </c>
      <c r="H512" s="54" t="s">
        <v>3340</v>
      </c>
      <c r="I512" s="123" t="s">
        <v>3427</v>
      </c>
      <c r="J512" s="140">
        <v>40402</v>
      </c>
      <c r="K512" s="123" t="s">
        <v>52</v>
      </c>
      <c r="L512" s="123" t="s">
        <v>86</v>
      </c>
      <c r="M512" s="123" t="s">
        <v>124</v>
      </c>
      <c r="N512" s="123" t="s">
        <v>760</v>
      </c>
      <c r="O512" s="106"/>
      <c r="P512" s="54" t="s">
        <v>3428</v>
      </c>
      <c r="Q512" s="123"/>
      <c r="R512" s="123" t="s">
        <v>3429</v>
      </c>
      <c r="S512" s="123"/>
      <c r="T512" s="54" t="s">
        <v>3430</v>
      </c>
      <c r="U512" s="54" t="s">
        <v>3430</v>
      </c>
      <c r="V512" s="123" t="s">
        <v>3431</v>
      </c>
      <c r="W512" s="123" t="s">
        <v>3432</v>
      </c>
      <c r="X512" s="123" t="s">
        <v>3433</v>
      </c>
      <c r="Y512" s="123" t="s">
        <v>360</v>
      </c>
      <c r="Z512" s="54"/>
      <c r="AA512" s="54"/>
      <c r="AB512" s="54" t="s">
        <v>361</v>
      </c>
      <c r="AC512" s="54" t="s">
        <v>362</v>
      </c>
      <c r="AD512" s="123" t="s">
        <v>375</v>
      </c>
      <c r="AE512" s="54" t="s">
        <v>2099</v>
      </c>
      <c r="AF512" s="54" t="s">
        <v>65</v>
      </c>
      <c r="AG512" s="140">
        <v>41214</v>
      </c>
      <c r="AH512" s="65">
        <f t="shared" ref="AH512:AH517" si="53">IF((AG512=""),"",MONTH(AG512))</f>
        <v>11</v>
      </c>
      <c r="AI512" s="65"/>
      <c r="AJ512" s="140">
        <v>41244</v>
      </c>
      <c r="AK512" s="65">
        <f t="shared" si="51"/>
        <v>12</v>
      </c>
      <c r="AL512" s="54" t="s">
        <v>66</v>
      </c>
      <c r="AM512" s="138"/>
      <c r="AN512" s="138"/>
      <c r="AO512" s="190"/>
      <c r="AP512" s="136" t="str">
        <f t="shared" ref="AP512:AP517" si="54">IF((AO512=""),"",MONTH(AO512))</f>
        <v/>
      </c>
      <c r="AQ512" s="123"/>
      <c r="AR512" s="23"/>
      <c r="AS512" s="54" t="s">
        <v>107</v>
      </c>
      <c r="AT512" s="136"/>
      <c r="AU512" s="70">
        <f t="shared" si="52"/>
        <v>2</v>
      </c>
      <c r="AV512" s="70" t="s">
        <v>68</v>
      </c>
    </row>
    <row r="513" spans="1:48" ht="19.5" hidden="1" customHeight="1" x14ac:dyDescent="0.2">
      <c r="A513" s="86">
        <v>20489</v>
      </c>
      <c r="B513" s="3" t="s">
        <v>2640</v>
      </c>
      <c r="C513" s="3" t="s">
        <v>3434</v>
      </c>
      <c r="D513" s="86"/>
      <c r="E513" s="36" t="s">
        <v>94</v>
      </c>
      <c r="F513" s="48">
        <v>32425</v>
      </c>
      <c r="G513" s="36" t="s">
        <v>3435</v>
      </c>
      <c r="H513" s="81" t="s">
        <v>3436</v>
      </c>
      <c r="I513" s="36" t="s">
        <v>3437</v>
      </c>
      <c r="J513" s="48">
        <v>37775</v>
      </c>
      <c r="K513" s="36" t="s">
        <v>3438</v>
      </c>
      <c r="L513" s="36" t="s">
        <v>123</v>
      </c>
      <c r="M513" s="36" t="s">
        <v>1106</v>
      </c>
      <c r="N513" s="36" t="s">
        <v>3439</v>
      </c>
      <c r="O513" s="101"/>
      <c r="P513" s="81" t="s">
        <v>3440</v>
      </c>
      <c r="Q513" s="36"/>
      <c r="R513" s="36"/>
      <c r="S513" s="36"/>
      <c r="T513" s="81" t="s">
        <v>3441</v>
      </c>
      <c r="U513" s="81" t="s">
        <v>3442</v>
      </c>
      <c r="V513" s="36"/>
      <c r="W513" s="36"/>
      <c r="X513" s="36"/>
      <c r="Y513" s="36" t="s">
        <v>616</v>
      </c>
      <c r="Z513" s="81"/>
      <c r="AA513" s="54"/>
      <c r="AB513" s="81" t="s">
        <v>285</v>
      </c>
      <c r="AC513" s="81" t="s">
        <v>236</v>
      </c>
      <c r="AD513" s="36" t="s">
        <v>866</v>
      </c>
      <c r="AE513" s="81" t="s">
        <v>867</v>
      </c>
      <c r="AF513" s="81" t="s">
        <v>231</v>
      </c>
      <c r="AG513" s="48">
        <v>41225</v>
      </c>
      <c r="AH513" s="134">
        <f t="shared" si="53"/>
        <v>11</v>
      </c>
      <c r="AI513" s="134"/>
      <c r="AJ513" s="48"/>
      <c r="AK513" s="134" t="str">
        <f t="shared" si="51"/>
        <v/>
      </c>
      <c r="AL513" s="94" t="s">
        <v>82</v>
      </c>
      <c r="AM513" s="78"/>
      <c r="AN513" s="78"/>
      <c r="AO513" s="190">
        <v>41379</v>
      </c>
      <c r="AP513" s="136">
        <f t="shared" si="54"/>
        <v>4</v>
      </c>
      <c r="AQ513" s="127"/>
      <c r="AR513" s="23"/>
      <c r="AS513" s="94"/>
      <c r="AT513" s="136"/>
      <c r="AU513" s="70">
        <f t="shared" si="52"/>
        <v>10</v>
      </c>
      <c r="AV513" s="70" t="s">
        <v>68</v>
      </c>
    </row>
    <row r="514" spans="1:48" ht="19.5" hidden="1" customHeight="1" x14ac:dyDescent="0.2">
      <c r="A514" s="87">
        <v>20490</v>
      </c>
      <c r="B514" s="80" t="s">
        <v>3443</v>
      </c>
      <c r="C514" s="80" t="s">
        <v>1017</v>
      </c>
      <c r="D514" s="87"/>
      <c r="E514" s="123" t="s">
        <v>94</v>
      </c>
      <c r="F514" s="140">
        <v>32308</v>
      </c>
      <c r="G514" s="123"/>
      <c r="H514" s="54" t="s">
        <v>2957</v>
      </c>
      <c r="I514" s="123" t="s">
        <v>3444</v>
      </c>
      <c r="J514" s="140">
        <v>39835</v>
      </c>
      <c r="K514" s="123" t="s">
        <v>3445</v>
      </c>
      <c r="L514" s="123" t="s">
        <v>123</v>
      </c>
      <c r="M514" s="123" t="s">
        <v>3446</v>
      </c>
      <c r="N514" s="123" t="s">
        <v>1256</v>
      </c>
      <c r="O514" s="106"/>
      <c r="P514" s="54" t="s">
        <v>3447</v>
      </c>
      <c r="Q514" s="123"/>
      <c r="R514" s="123" t="s">
        <v>3448</v>
      </c>
      <c r="S514" s="123"/>
      <c r="T514" s="54" t="s">
        <v>3449</v>
      </c>
      <c r="U514" s="54" t="s">
        <v>3450</v>
      </c>
      <c r="V514" s="123"/>
      <c r="W514" s="123"/>
      <c r="X514" s="123"/>
      <c r="Y514" s="123" t="s">
        <v>865</v>
      </c>
      <c r="Z514" s="54"/>
      <c r="AA514" s="54"/>
      <c r="AB514" s="54" t="s">
        <v>285</v>
      </c>
      <c r="AC514" s="54" t="s">
        <v>236</v>
      </c>
      <c r="AD514" s="123" t="s">
        <v>866</v>
      </c>
      <c r="AE514" s="54" t="s">
        <v>867</v>
      </c>
      <c r="AF514" s="54" t="s">
        <v>231</v>
      </c>
      <c r="AG514" s="140">
        <v>41225</v>
      </c>
      <c r="AH514" s="65">
        <f t="shared" si="53"/>
        <v>11</v>
      </c>
      <c r="AI514" s="65"/>
      <c r="AJ514" s="140">
        <v>41286</v>
      </c>
      <c r="AK514" s="65">
        <f t="shared" si="51"/>
        <v>1</v>
      </c>
      <c r="AL514" s="54" t="s">
        <v>66</v>
      </c>
      <c r="AM514" s="138"/>
      <c r="AN514" s="138"/>
      <c r="AO514" s="190"/>
      <c r="AP514" s="136" t="str">
        <f t="shared" si="54"/>
        <v/>
      </c>
      <c r="AQ514" s="123"/>
      <c r="AR514" s="23"/>
      <c r="AS514" s="54" t="s">
        <v>347</v>
      </c>
      <c r="AT514" s="136"/>
      <c r="AU514" s="70">
        <f t="shared" si="52"/>
        <v>6</v>
      </c>
      <c r="AV514" s="70" t="s">
        <v>68</v>
      </c>
    </row>
    <row r="515" spans="1:48" ht="19.5" hidden="1" customHeight="1" x14ac:dyDescent="0.2">
      <c r="A515" s="87">
        <v>20491</v>
      </c>
      <c r="B515" s="80" t="s">
        <v>1193</v>
      </c>
      <c r="C515" s="80" t="s">
        <v>823</v>
      </c>
      <c r="D515" s="87"/>
      <c r="E515" s="123" t="s">
        <v>94</v>
      </c>
      <c r="F515" s="140">
        <v>32791</v>
      </c>
      <c r="G515" s="123" t="s">
        <v>2706</v>
      </c>
      <c r="H515" s="54" t="s">
        <v>1456</v>
      </c>
      <c r="I515" s="123" t="s">
        <v>3451</v>
      </c>
      <c r="J515" s="140">
        <v>38918</v>
      </c>
      <c r="K515" s="123" t="s">
        <v>2401</v>
      </c>
      <c r="L515" s="123" t="s">
        <v>123</v>
      </c>
      <c r="M515" s="123" t="s">
        <v>3452</v>
      </c>
      <c r="N515" s="123" t="s">
        <v>458</v>
      </c>
      <c r="O515" s="106"/>
      <c r="P515" s="54" t="s">
        <v>3453</v>
      </c>
      <c r="Q515" s="123"/>
      <c r="R515" s="123" t="s">
        <v>3454</v>
      </c>
      <c r="S515" s="123"/>
      <c r="T515" s="54" t="s">
        <v>3455</v>
      </c>
      <c r="U515" s="54" t="s">
        <v>3456</v>
      </c>
      <c r="V515" s="123"/>
      <c r="W515" s="123"/>
      <c r="X515" s="123"/>
      <c r="Y515" s="123" t="s">
        <v>312</v>
      </c>
      <c r="Z515" s="54"/>
      <c r="AA515" s="54"/>
      <c r="AB515" s="54" t="s">
        <v>285</v>
      </c>
      <c r="AC515" s="54" t="s">
        <v>236</v>
      </c>
      <c r="AD515" s="123" t="s">
        <v>1145</v>
      </c>
      <c r="AE515" s="54" t="s">
        <v>1146</v>
      </c>
      <c r="AF515" s="54" t="s">
        <v>231</v>
      </c>
      <c r="AG515" s="140">
        <v>41225</v>
      </c>
      <c r="AH515" s="65">
        <f t="shared" si="53"/>
        <v>11</v>
      </c>
      <c r="AI515" s="65"/>
      <c r="AJ515" s="140">
        <v>41285</v>
      </c>
      <c r="AK515" s="65">
        <f t="shared" ref="AK515:AK578" si="55">IF((AJ515=""),"",MONTH(AJ515))</f>
        <v>1</v>
      </c>
      <c r="AL515" s="54" t="s">
        <v>66</v>
      </c>
      <c r="AM515" s="138"/>
      <c r="AN515" s="138"/>
      <c r="AO515" s="190"/>
      <c r="AP515" s="136" t="str">
        <f t="shared" si="54"/>
        <v/>
      </c>
      <c r="AQ515" s="123"/>
      <c r="AR515" s="23"/>
      <c r="AS515" s="54" t="s">
        <v>107</v>
      </c>
      <c r="AT515" s="136"/>
      <c r="AU515" s="70">
        <f t="shared" si="52"/>
        <v>10</v>
      </c>
      <c r="AV515" s="70" t="s">
        <v>68</v>
      </c>
    </row>
    <row r="516" spans="1:48" ht="19.5" hidden="1" customHeight="1" x14ac:dyDescent="0.2">
      <c r="A516" s="86">
        <v>20492</v>
      </c>
      <c r="B516" s="3" t="s">
        <v>2998</v>
      </c>
      <c r="C516" s="3" t="s">
        <v>685</v>
      </c>
      <c r="D516" s="86"/>
      <c r="E516" s="36" t="s">
        <v>94</v>
      </c>
      <c r="F516" s="48">
        <v>32436</v>
      </c>
      <c r="G516" s="36"/>
      <c r="H516" s="81" t="s">
        <v>0</v>
      </c>
      <c r="I516" s="36"/>
      <c r="J516" s="48"/>
      <c r="K516" s="36"/>
      <c r="L516" s="36" t="s">
        <v>341</v>
      </c>
      <c r="M516" s="36" t="s">
        <v>3457</v>
      </c>
      <c r="N516" s="36" t="s">
        <v>368</v>
      </c>
      <c r="O516" s="101"/>
      <c r="P516" s="81" t="s">
        <v>3458</v>
      </c>
      <c r="Q516" s="36"/>
      <c r="R516" s="36"/>
      <c r="S516" s="36"/>
      <c r="T516" s="81" t="s">
        <v>0</v>
      </c>
      <c r="U516" s="81" t="s">
        <v>0</v>
      </c>
      <c r="V516" s="36"/>
      <c r="W516" s="36"/>
      <c r="X516" s="36"/>
      <c r="Y516" s="36" t="s">
        <v>616</v>
      </c>
      <c r="Z516" s="81"/>
      <c r="AA516" s="54"/>
      <c r="AB516" s="81" t="s">
        <v>285</v>
      </c>
      <c r="AC516" s="81" t="s">
        <v>236</v>
      </c>
      <c r="AD516" s="36" t="s">
        <v>866</v>
      </c>
      <c r="AE516" s="81" t="s">
        <v>867</v>
      </c>
      <c r="AF516" s="81" t="s">
        <v>231</v>
      </c>
      <c r="AG516" s="48">
        <v>41226</v>
      </c>
      <c r="AH516" s="134">
        <f t="shared" si="53"/>
        <v>11</v>
      </c>
      <c r="AI516" s="134"/>
      <c r="AJ516" s="48">
        <v>41288</v>
      </c>
      <c r="AK516" s="134">
        <f t="shared" si="55"/>
        <v>1</v>
      </c>
      <c r="AL516" s="54" t="s">
        <v>82</v>
      </c>
      <c r="AM516" s="138"/>
      <c r="AN516" s="138"/>
      <c r="AO516" s="190">
        <v>41585</v>
      </c>
      <c r="AP516" s="136">
        <f t="shared" si="54"/>
        <v>11</v>
      </c>
      <c r="AQ516" s="123"/>
      <c r="AR516" s="23"/>
      <c r="AS516" s="54" t="s">
        <v>347</v>
      </c>
      <c r="AT516" s="136"/>
      <c r="AU516" s="70">
        <f t="shared" si="52"/>
        <v>10</v>
      </c>
      <c r="AV516" s="70" t="s">
        <v>68</v>
      </c>
    </row>
    <row r="517" spans="1:48" ht="19.5" hidden="1" customHeight="1" x14ac:dyDescent="0.2">
      <c r="A517" s="87">
        <v>20493</v>
      </c>
      <c r="B517" s="80" t="s">
        <v>3459</v>
      </c>
      <c r="C517" s="80" t="s">
        <v>643</v>
      </c>
      <c r="D517" s="87"/>
      <c r="E517" s="123" t="s">
        <v>94</v>
      </c>
      <c r="F517" s="140">
        <v>29133</v>
      </c>
      <c r="G517" s="123"/>
      <c r="H517" s="54" t="s">
        <v>955</v>
      </c>
      <c r="I517" s="123" t="s">
        <v>3460</v>
      </c>
      <c r="J517" s="140">
        <v>38574</v>
      </c>
      <c r="K517" s="123" t="s">
        <v>52</v>
      </c>
      <c r="L517" s="123" t="s">
        <v>123</v>
      </c>
      <c r="M517" s="123" t="s">
        <v>3461</v>
      </c>
      <c r="N517" s="123" t="s">
        <v>368</v>
      </c>
      <c r="O517" s="106"/>
      <c r="P517" s="54" t="s">
        <v>3462</v>
      </c>
      <c r="Q517" s="123"/>
      <c r="R517" s="123" t="s">
        <v>3463</v>
      </c>
      <c r="S517" s="123"/>
      <c r="T517" s="54" t="s">
        <v>3464</v>
      </c>
      <c r="U517" s="54" t="s">
        <v>3464</v>
      </c>
      <c r="V517" s="123"/>
      <c r="W517" s="123"/>
      <c r="X517" s="123"/>
      <c r="Y517" s="123" t="s">
        <v>206</v>
      </c>
      <c r="Z517" s="54"/>
      <c r="AA517" s="54"/>
      <c r="AB517" s="54">
        <v>3</v>
      </c>
      <c r="AC517" s="54" t="s">
        <v>63</v>
      </c>
      <c r="AD517" s="123" t="s">
        <v>512</v>
      </c>
      <c r="AE517" s="54" t="s">
        <v>973</v>
      </c>
      <c r="AF517" s="54" t="s">
        <v>65</v>
      </c>
      <c r="AG517" s="140">
        <v>41218</v>
      </c>
      <c r="AH517" s="65">
        <f t="shared" si="53"/>
        <v>11</v>
      </c>
      <c r="AI517" s="65"/>
      <c r="AJ517" s="140">
        <v>41279</v>
      </c>
      <c r="AK517" s="65">
        <f t="shared" si="55"/>
        <v>1</v>
      </c>
      <c r="AL517" s="54" t="s">
        <v>66</v>
      </c>
      <c r="AM517" s="138"/>
      <c r="AN517" s="138"/>
      <c r="AO517" s="190"/>
      <c r="AP517" s="136" t="str">
        <f t="shared" si="54"/>
        <v/>
      </c>
      <c r="AQ517" s="123"/>
      <c r="AR517" s="23"/>
      <c r="AS517" s="54" t="s">
        <v>347</v>
      </c>
      <c r="AT517" s="136"/>
      <c r="AU517" s="70">
        <f t="shared" si="52"/>
        <v>10</v>
      </c>
      <c r="AV517" s="70" t="s">
        <v>68</v>
      </c>
    </row>
    <row r="518" spans="1:48" ht="19.5" hidden="1" customHeight="1" x14ac:dyDescent="0.2">
      <c r="A518" s="86">
        <v>20494</v>
      </c>
      <c r="B518" s="3" t="s">
        <v>3465</v>
      </c>
      <c r="C518" s="3" t="s">
        <v>833</v>
      </c>
      <c r="D518" s="86"/>
      <c r="E518" s="36" t="s">
        <v>94</v>
      </c>
      <c r="F518" s="48"/>
      <c r="G518" s="36"/>
      <c r="H518" s="81"/>
      <c r="I518" s="36"/>
      <c r="J518" s="48"/>
      <c r="K518" s="36"/>
      <c r="L518" s="36"/>
      <c r="M518" s="36"/>
      <c r="N518" s="36" t="s">
        <v>320</v>
      </c>
      <c r="O518" s="101"/>
      <c r="P518" s="159" t="s">
        <v>3466</v>
      </c>
      <c r="Q518" s="36"/>
      <c r="R518" s="36"/>
      <c r="S518" s="36"/>
      <c r="T518" s="81"/>
      <c r="U518" s="81"/>
      <c r="V518" s="36"/>
      <c r="W518" s="36"/>
      <c r="X518" s="36"/>
      <c r="Y518" s="36" t="s">
        <v>284</v>
      </c>
      <c r="Z518" s="81"/>
      <c r="AA518" s="54"/>
      <c r="AB518" s="81" t="s">
        <v>285</v>
      </c>
      <c r="AC518" s="81" t="s">
        <v>236</v>
      </c>
      <c r="AD518" s="36" t="s">
        <v>230</v>
      </c>
      <c r="AE518" s="81" t="s">
        <v>839</v>
      </c>
      <c r="AF518" s="81" t="s">
        <v>231</v>
      </c>
      <c r="AG518" s="48"/>
      <c r="AH518" s="48"/>
      <c r="AI518" s="48"/>
      <c r="AJ518" s="48"/>
      <c r="AK518" s="134" t="str">
        <f t="shared" si="55"/>
        <v/>
      </c>
      <c r="AL518" s="54" t="s">
        <v>82</v>
      </c>
      <c r="AM518" s="54"/>
      <c r="AN518" s="54"/>
      <c r="AO518" s="190"/>
      <c r="AP518" s="136"/>
      <c r="AQ518" s="123"/>
      <c r="AR518" s="23"/>
      <c r="AS518" s="54"/>
      <c r="AT518" s="23"/>
      <c r="AU518" s="70" t="str">
        <f t="shared" si="52"/>
        <v/>
      </c>
      <c r="AV518" s="70" t="s">
        <v>68</v>
      </c>
    </row>
    <row r="519" spans="1:48" ht="19.5" hidden="1" customHeight="1" x14ac:dyDescent="0.2">
      <c r="A519" s="86">
        <v>20495</v>
      </c>
      <c r="B519" s="3" t="s">
        <v>265</v>
      </c>
      <c r="C519" s="3" t="s">
        <v>1715</v>
      </c>
      <c r="D519" s="86"/>
      <c r="E519" s="36" t="s">
        <v>94</v>
      </c>
      <c r="F519" s="48">
        <v>32953</v>
      </c>
      <c r="G519" s="36" t="s">
        <v>1139</v>
      </c>
      <c r="H519" s="81" t="s">
        <v>3467</v>
      </c>
      <c r="I519" s="36" t="s">
        <v>3468</v>
      </c>
      <c r="J519" s="48">
        <v>40212</v>
      </c>
      <c r="K519" s="36" t="s">
        <v>3469</v>
      </c>
      <c r="L519" s="36" t="s">
        <v>123</v>
      </c>
      <c r="M519" s="36" t="s">
        <v>1106</v>
      </c>
      <c r="N519" s="36" t="s">
        <v>307</v>
      </c>
      <c r="O519" s="101"/>
      <c r="P519" s="81" t="s">
        <v>3470</v>
      </c>
      <c r="Q519" s="36"/>
      <c r="R519" s="36"/>
      <c r="S519" s="36"/>
      <c r="T519" s="81" t="s">
        <v>3471</v>
      </c>
      <c r="U519" s="81" t="s">
        <v>3472</v>
      </c>
      <c r="V519" s="36"/>
      <c r="W519" s="36"/>
      <c r="X519" s="36"/>
      <c r="Y519" s="36" t="s">
        <v>284</v>
      </c>
      <c r="Z519" s="81"/>
      <c r="AA519" s="54"/>
      <c r="AB519" s="81" t="s">
        <v>285</v>
      </c>
      <c r="AC519" s="81" t="s">
        <v>236</v>
      </c>
      <c r="AD519" s="36" t="s">
        <v>866</v>
      </c>
      <c r="AE519" s="81" t="s">
        <v>867</v>
      </c>
      <c r="AF519" s="81" t="s">
        <v>231</v>
      </c>
      <c r="AG519" s="48">
        <v>41232</v>
      </c>
      <c r="AH519" s="134">
        <f>IF((AG519=""),"",MONTH(AG519))</f>
        <v>11</v>
      </c>
      <c r="AI519" s="134"/>
      <c r="AJ519" s="48">
        <v>41292</v>
      </c>
      <c r="AK519" s="134">
        <f t="shared" si="55"/>
        <v>1</v>
      </c>
      <c r="AL519" s="54" t="s">
        <v>82</v>
      </c>
      <c r="AM519" s="138"/>
      <c r="AN519" s="138"/>
      <c r="AO519" s="190">
        <v>41405</v>
      </c>
      <c r="AP519" s="136">
        <f>IF((AO519=""),"",MONTH(AO519))</f>
        <v>5</v>
      </c>
      <c r="AQ519" s="123"/>
      <c r="AR519" s="23"/>
      <c r="AS519" s="54"/>
      <c r="AT519" s="136"/>
      <c r="AU519" s="70">
        <f t="shared" si="52"/>
        <v>3</v>
      </c>
      <c r="AV519" s="70" t="s">
        <v>68</v>
      </c>
    </row>
    <row r="520" spans="1:48" ht="19.5" hidden="1" customHeight="1" x14ac:dyDescent="0.2">
      <c r="A520" s="86">
        <v>20496</v>
      </c>
      <c r="B520" s="3" t="s">
        <v>3473</v>
      </c>
      <c r="C520" s="3" t="s">
        <v>771</v>
      </c>
      <c r="D520" s="86"/>
      <c r="E520" s="36" t="s">
        <v>94</v>
      </c>
      <c r="F520" s="48"/>
      <c r="G520" s="36"/>
      <c r="H520" s="81"/>
      <c r="I520" s="36"/>
      <c r="J520" s="48"/>
      <c r="K520" s="36"/>
      <c r="L520" s="36"/>
      <c r="M520" s="36"/>
      <c r="N520" s="36" t="s">
        <v>320</v>
      </c>
      <c r="O520" s="101"/>
      <c r="P520" s="159" t="s">
        <v>3474</v>
      </c>
      <c r="Q520" s="36"/>
      <c r="R520" s="36"/>
      <c r="S520" s="36"/>
      <c r="T520" s="81"/>
      <c r="U520" s="81"/>
      <c r="V520" s="36"/>
      <c r="W520" s="36"/>
      <c r="X520" s="36"/>
      <c r="Y520" s="36" t="s">
        <v>284</v>
      </c>
      <c r="Z520" s="81"/>
      <c r="AA520" s="54"/>
      <c r="AB520" s="81" t="s">
        <v>285</v>
      </c>
      <c r="AC520" s="81" t="s">
        <v>236</v>
      </c>
      <c r="AD520" s="36" t="s">
        <v>230</v>
      </c>
      <c r="AE520" s="81" t="s">
        <v>839</v>
      </c>
      <c r="AF520" s="81" t="s">
        <v>231</v>
      </c>
      <c r="AG520" s="48"/>
      <c r="AH520" s="48"/>
      <c r="AI520" s="48"/>
      <c r="AJ520" s="48"/>
      <c r="AK520" s="134" t="str">
        <f t="shared" si="55"/>
        <v/>
      </c>
      <c r="AL520" s="54" t="s">
        <v>82</v>
      </c>
      <c r="AM520" s="54"/>
      <c r="AN520" s="54"/>
      <c r="AO520" s="190"/>
      <c r="AP520" s="136"/>
      <c r="AQ520" s="123"/>
      <c r="AR520" s="23"/>
      <c r="AS520" s="54"/>
      <c r="AT520" s="23"/>
      <c r="AU520" s="70" t="str">
        <f t="shared" si="52"/>
        <v/>
      </c>
      <c r="AV520" s="70" t="s">
        <v>68</v>
      </c>
    </row>
    <row r="521" spans="1:48" ht="19.5" hidden="1" customHeight="1" x14ac:dyDescent="0.2">
      <c r="A521" s="86">
        <v>20497</v>
      </c>
      <c r="B521" s="3" t="s">
        <v>801</v>
      </c>
      <c r="C521" s="3" t="s">
        <v>685</v>
      </c>
      <c r="D521" s="86"/>
      <c r="E521" s="36" t="s">
        <v>94</v>
      </c>
      <c r="F521" s="48">
        <v>31565</v>
      </c>
      <c r="G521" s="36"/>
      <c r="H521" s="81" t="s">
        <v>3475</v>
      </c>
      <c r="I521" s="36" t="s">
        <v>3476</v>
      </c>
      <c r="J521" s="48">
        <v>38334</v>
      </c>
      <c r="K521" s="36" t="s">
        <v>1870</v>
      </c>
      <c r="L521" s="36" t="s">
        <v>123</v>
      </c>
      <c r="M521" s="36" t="s">
        <v>3477</v>
      </c>
      <c r="N521" s="36" t="s">
        <v>368</v>
      </c>
      <c r="O521" s="101"/>
      <c r="P521" s="81" t="s">
        <v>3478</v>
      </c>
      <c r="Q521" s="36"/>
      <c r="R521" s="36" t="s">
        <v>3479</v>
      </c>
      <c r="S521" s="36"/>
      <c r="T521" s="81" t="s">
        <v>3480</v>
      </c>
      <c r="U521" s="81" t="s">
        <v>3480</v>
      </c>
      <c r="V521" s="36"/>
      <c r="W521" s="36"/>
      <c r="X521" s="36"/>
      <c r="Y521" s="36" t="s">
        <v>206</v>
      </c>
      <c r="Z521" s="81"/>
      <c r="AA521" s="54"/>
      <c r="AB521" s="81">
        <v>3</v>
      </c>
      <c r="AC521" s="81" t="s">
        <v>63</v>
      </c>
      <c r="AD521" s="36" t="s">
        <v>1183</v>
      </c>
      <c r="AE521" s="81" t="s">
        <v>1184</v>
      </c>
      <c r="AF521" s="81" t="s">
        <v>231</v>
      </c>
      <c r="AG521" s="48">
        <v>41228</v>
      </c>
      <c r="AH521" s="134">
        <f t="shared" ref="AH521:AH536" si="56">IF((AG521=""),"",MONTH(AG521))</f>
        <v>11</v>
      </c>
      <c r="AI521" s="134"/>
      <c r="AJ521" s="48">
        <v>41288</v>
      </c>
      <c r="AK521" s="134">
        <f t="shared" si="55"/>
        <v>1</v>
      </c>
      <c r="AL521" s="94" t="s">
        <v>82</v>
      </c>
      <c r="AM521" s="78"/>
      <c r="AN521" s="78"/>
      <c r="AO521" s="190">
        <v>41348</v>
      </c>
      <c r="AP521" s="136">
        <f>IF((AO521=""),"",MONTH(AO521))</f>
        <v>3</v>
      </c>
      <c r="AQ521" s="127"/>
      <c r="AR521" s="23"/>
      <c r="AS521" s="54" t="s">
        <v>347</v>
      </c>
      <c r="AT521" s="136"/>
      <c r="AU521" s="70">
        <f t="shared" si="52"/>
        <v>6</v>
      </c>
      <c r="AV521" s="70" t="s">
        <v>68</v>
      </c>
    </row>
    <row r="522" spans="1:48" ht="19.5" hidden="1" customHeight="1" x14ac:dyDescent="0.2">
      <c r="A522" s="87">
        <v>20498</v>
      </c>
      <c r="B522" s="80" t="s">
        <v>3481</v>
      </c>
      <c r="C522" s="80" t="s">
        <v>685</v>
      </c>
      <c r="D522" s="87"/>
      <c r="E522" s="123" t="s">
        <v>94</v>
      </c>
      <c r="F522" s="140">
        <v>32580</v>
      </c>
      <c r="G522" s="123" t="s">
        <v>3482</v>
      </c>
      <c r="H522" s="54" t="s">
        <v>231</v>
      </c>
      <c r="I522" s="123" t="s">
        <v>3483</v>
      </c>
      <c r="J522" s="140">
        <v>38104</v>
      </c>
      <c r="K522" s="123" t="s">
        <v>3389</v>
      </c>
      <c r="L522" s="123" t="s">
        <v>341</v>
      </c>
      <c r="M522" s="123" t="s">
        <v>2492</v>
      </c>
      <c r="N522" s="123" t="s">
        <v>3484</v>
      </c>
      <c r="O522" s="106">
        <v>2011</v>
      </c>
      <c r="P522" s="54" t="s">
        <v>1457</v>
      </c>
      <c r="Q522" s="123"/>
      <c r="R522" s="123" t="s">
        <v>3485</v>
      </c>
      <c r="S522" s="123"/>
      <c r="T522" s="54" t="s">
        <v>3486</v>
      </c>
      <c r="U522" s="54" t="s">
        <v>3486</v>
      </c>
      <c r="V522" s="123"/>
      <c r="W522" s="123"/>
      <c r="X522" s="123"/>
      <c r="Y522" s="123" t="s">
        <v>865</v>
      </c>
      <c r="Z522" s="54"/>
      <c r="AA522" s="54"/>
      <c r="AB522" s="54" t="s">
        <v>285</v>
      </c>
      <c r="AC522" s="54" t="s">
        <v>236</v>
      </c>
      <c r="AD522" s="123" t="s">
        <v>866</v>
      </c>
      <c r="AE522" s="54" t="s">
        <v>2373</v>
      </c>
      <c r="AF522" s="54" t="s">
        <v>231</v>
      </c>
      <c r="AG522" s="140">
        <v>41222</v>
      </c>
      <c r="AH522" s="65">
        <f t="shared" si="56"/>
        <v>11</v>
      </c>
      <c r="AI522" s="65"/>
      <c r="AJ522" s="140">
        <v>41282</v>
      </c>
      <c r="AK522" s="65">
        <f t="shared" si="55"/>
        <v>1</v>
      </c>
      <c r="AL522" s="54" t="s">
        <v>66</v>
      </c>
      <c r="AM522" s="138"/>
      <c r="AN522" s="138"/>
      <c r="AO522" s="190"/>
      <c r="AP522" s="136" t="str">
        <f>IF((AO522=""),"",MONTH(AO522))</f>
        <v/>
      </c>
      <c r="AQ522" s="123"/>
      <c r="AR522" s="23"/>
      <c r="AS522" s="54" t="s">
        <v>347</v>
      </c>
      <c r="AT522" s="136"/>
      <c r="AU522" s="70">
        <f t="shared" si="52"/>
        <v>3</v>
      </c>
      <c r="AV522" s="70" t="s">
        <v>68</v>
      </c>
    </row>
    <row r="523" spans="1:48" ht="19.5" hidden="1" customHeight="1" x14ac:dyDescent="0.2">
      <c r="A523" s="87">
        <v>20499</v>
      </c>
      <c r="B523" s="80" t="s">
        <v>617</v>
      </c>
      <c r="C523" s="80" t="s">
        <v>618</v>
      </c>
      <c r="D523" s="87"/>
      <c r="E523" s="123" t="s">
        <v>94</v>
      </c>
      <c r="F523" s="140">
        <v>31999</v>
      </c>
      <c r="G523" s="123" t="s">
        <v>365</v>
      </c>
      <c r="H523" s="54" t="s">
        <v>3487</v>
      </c>
      <c r="I523" s="123" t="s">
        <v>3488</v>
      </c>
      <c r="J523" s="140">
        <v>38338</v>
      </c>
      <c r="K523" s="123" t="s">
        <v>365</v>
      </c>
      <c r="L523" s="123" t="s">
        <v>123</v>
      </c>
      <c r="M523" s="123" t="s">
        <v>1106</v>
      </c>
      <c r="N523" s="123" t="s">
        <v>368</v>
      </c>
      <c r="O523" s="106"/>
      <c r="P523" s="54" t="s">
        <v>3489</v>
      </c>
      <c r="Q523" s="123" t="s">
        <v>3490</v>
      </c>
      <c r="R523" s="123" t="s">
        <v>3491</v>
      </c>
      <c r="S523" s="123"/>
      <c r="T523" s="54" t="s">
        <v>3492</v>
      </c>
      <c r="U523" s="54" t="s">
        <v>3493</v>
      </c>
      <c r="V523" s="123" t="s">
        <v>3494</v>
      </c>
      <c r="W523" s="123" t="s">
        <v>283</v>
      </c>
      <c r="X523" s="123" t="s">
        <v>3495</v>
      </c>
      <c r="Y523" s="123" t="s">
        <v>605</v>
      </c>
      <c r="Z523" s="54"/>
      <c r="AA523" s="54"/>
      <c r="AB523" s="54">
        <v>2</v>
      </c>
      <c r="AC523" s="54" t="s">
        <v>362</v>
      </c>
      <c r="AD523" s="123" t="s">
        <v>207</v>
      </c>
      <c r="AE523" s="54" t="s">
        <v>585</v>
      </c>
      <c r="AF523" s="54" t="s">
        <v>65</v>
      </c>
      <c r="AG523" s="140">
        <v>41246</v>
      </c>
      <c r="AH523" s="65">
        <f t="shared" si="56"/>
        <v>12</v>
      </c>
      <c r="AI523" s="65"/>
      <c r="AJ523" s="140">
        <v>41308</v>
      </c>
      <c r="AK523" s="65">
        <f t="shared" si="55"/>
        <v>2</v>
      </c>
      <c r="AL523" s="54" t="s">
        <v>66</v>
      </c>
      <c r="AM523" s="138"/>
      <c r="AN523" s="138"/>
      <c r="AO523" s="190"/>
      <c r="AP523" s="136"/>
      <c r="AQ523" s="123"/>
      <c r="AR523" s="23"/>
      <c r="AS523" s="54" t="s">
        <v>347</v>
      </c>
      <c r="AT523" s="136"/>
      <c r="AU523" s="70">
        <f t="shared" si="52"/>
        <v>8</v>
      </c>
      <c r="AV523" s="70" t="s">
        <v>68</v>
      </c>
    </row>
    <row r="524" spans="1:48" ht="19.5" hidden="1" customHeight="1" x14ac:dyDescent="0.2">
      <c r="A524" s="87">
        <v>20501</v>
      </c>
      <c r="B524" s="80" t="s">
        <v>1329</v>
      </c>
      <c r="C524" s="80" t="s">
        <v>266</v>
      </c>
      <c r="D524" s="87"/>
      <c r="E524" s="123" t="s">
        <v>94</v>
      </c>
      <c r="F524" s="140">
        <v>29180</v>
      </c>
      <c r="G524" s="123"/>
      <c r="H524" s="54" t="s">
        <v>304</v>
      </c>
      <c r="I524" s="123" t="s">
        <v>3496</v>
      </c>
      <c r="J524" s="140">
        <v>40850</v>
      </c>
      <c r="K524" s="123" t="s">
        <v>3389</v>
      </c>
      <c r="L524" s="123" t="s">
        <v>123</v>
      </c>
      <c r="M524" s="123" t="s">
        <v>1704</v>
      </c>
      <c r="N524" s="123" t="s">
        <v>458</v>
      </c>
      <c r="O524" s="106"/>
      <c r="P524" s="153" t="s">
        <v>3497</v>
      </c>
      <c r="Q524" s="123"/>
      <c r="R524" s="123" t="s">
        <v>3498</v>
      </c>
      <c r="S524" s="123"/>
      <c r="T524" s="54" t="s">
        <v>3499</v>
      </c>
      <c r="U524" s="54" t="s">
        <v>3499</v>
      </c>
      <c r="V524" s="123"/>
      <c r="W524" s="123"/>
      <c r="X524" s="123"/>
      <c r="Y524" s="123" t="s">
        <v>374</v>
      </c>
      <c r="Z524" s="54"/>
      <c r="AA524" s="54"/>
      <c r="AB524" s="54">
        <v>3</v>
      </c>
      <c r="AC524" s="54" t="s">
        <v>63</v>
      </c>
      <c r="AD524" s="123" t="s">
        <v>1145</v>
      </c>
      <c r="AE524" s="54" t="s">
        <v>1938</v>
      </c>
      <c r="AF524" s="54" t="s">
        <v>231</v>
      </c>
      <c r="AG524" s="140">
        <v>41235</v>
      </c>
      <c r="AH524" s="65">
        <f t="shared" si="56"/>
        <v>11</v>
      </c>
      <c r="AI524" s="65"/>
      <c r="AJ524" s="140">
        <v>41297</v>
      </c>
      <c r="AK524" s="65">
        <f t="shared" si="55"/>
        <v>1</v>
      </c>
      <c r="AL524" s="54" t="s">
        <v>66</v>
      </c>
      <c r="AM524" s="138"/>
      <c r="AN524" s="138"/>
      <c r="AO524" s="190"/>
      <c r="AP524" s="136" t="str">
        <f>IF((AO524=""),"",MONTH(AO524))</f>
        <v/>
      </c>
      <c r="AQ524" s="123"/>
      <c r="AR524" s="23"/>
      <c r="AS524" s="54" t="s">
        <v>107</v>
      </c>
      <c r="AT524" s="136"/>
      <c r="AU524" s="70">
        <f t="shared" si="52"/>
        <v>11</v>
      </c>
      <c r="AV524" s="70" t="s">
        <v>68</v>
      </c>
    </row>
    <row r="525" spans="1:48" ht="19.5" hidden="1" customHeight="1" x14ac:dyDescent="0.2">
      <c r="A525" s="86">
        <v>20502</v>
      </c>
      <c r="B525" s="3" t="s">
        <v>3500</v>
      </c>
      <c r="C525" s="3" t="s">
        <v>131</v>
      </c>
      <c r="D525" s="86"/>
      <c r="E525" s="36" t="s">
        <v>94</v>
      </c>
      <c r="F525" s="48"/>
      <c r="G525" s="36"/>
      <c r="H525" s="81" t="s">
        <v>3250</v>
      </c>
      <c r="I525" s="36" t="s">
        <v>3501</v>
      </c>
      <c r="J525" s="48">
        <v>37049</v>
      </c>
      <c r="K525" s="36" t="s">
        <v>1195</v>
      </c>
      <c r="L525" s="36" t="s">
        <v>123</v>
      </c>
      <c r="M525" s="36" t="s">
        <v>3502</v>
      </c>
      <c r="N525" s="36" t="s">
        <v>3139</v>
      </c>
      <c r="O525" s="101"/>
      <c r="P525" s="81"/>
      <c r="Q525" s="36"/>
      <c r="R525" s="36" t="s">
        <v>3503</v>
      </c>
      <c r="S525" s="36"/>
      <c r="T525" s="81" t="s">
        <v>3504</v>
      </c>
      <c r="U525" s="81" t="s">
        <v>3504</v>
      </c>
      <c r="V525" s="36"/>
      <c r="W525" s="36"/>
      <c r="X525" s="36"/>
      <c r="Y525" s="36" t="s">
        <v>206</v>
      </c>
      <c r="Z525" s="81"/>
      <c r="AA525" s="54"/>
      <c r="AB525" s="81">
        <v>3</v>
      </c>
      <c r="AC525" s="81" t="s">
        <v>63</v>
      </c>
      <c r="AD525" s="36" t="s">
        <v>1183</v>
      </c>
      <c r="AE525" s="81" t="s">
        <v>1807</v>
      </c>
      <c r="AF525" s="81" t="s">
        <v>231</v>
      </c>
      <c r="AG525" s="48">
        <v>41241</v>
      </c>
      <c r="AH525" s="134">
        <f t="shared" si="56"/>
        <v>11</v>
      </c>
      <c r="AI525" s="134"/>
      <c r="AJ525" s="48"/>
      <c r="AK525" s="134" t="str">
        <f t="shared" si="55"/>
        <v/>
      </c>
      <c r="AL525" s="94" t="s">
        <v>82</v>
      </c>
      <c r="AM525" s="78"/>
      <c r="AN525" s="78"/>
      <c r="AO525" s="190">
        <v>41284</v>
      </c>
      <c r="AP525" s="136">
        <f>IF((AO525=""),"",MONTH(AO525))</f>
        <v>1</v>
      </c>
      <c r="AQ525" s="127"/>
      <c r="AR525" s="23"/>
      <c r="AS525" s="94"/>
      <c r="AT525" s="136"/>
      <c r="AU525" s="70" t="str">
        <f t="shared" si="52"/>
        <v/>
      </c>
      <c r="AV525" s="70" t="s">
        <v>68</v>
      </c>
    </row>
    <row r="526" spans="1:48" ht="19.5" hidden="1" customHeight="1" x14ac:dyDescent="0.2">
      <c r="A526" s="86">
        <v>20503</v>
      </c>
      <c r="B526" s="3" t="s">
        <v>3505</v>
      </c>
      <c r="C526" s="3" t="s">
        <v>378</v>
      </c>
      <c r="D526" s="86"/>
      <c r="E526" s="36" t="s">
        <v>94</v>
      </c>
      <c r="F526" s="48">
        <v>30753</v>
      </c>
      <c r="G526" s="36"/>
      <c r="H526" s="81" t="s">
        <v>2582</v>
      </c>
      <c r="I526" s="36" t="s">
        <v>3506</v>
      </c>
      <c r="J526" s="48">
        <v>39963</v>
      </c>
      <c r="K526" s="36" t="s">
        <v>52</v>
      </c>
      <c r="L526" s="36" t="s">
        <v>123</v>
      </c>
      <c r="M526" s="36" t="s">
        <v>1386</v>
      </c>
      <c r="N526" s="36" t="s">
        <v>3507</v>
      </c>
      <c r="O526" s="101"/>
      <c r="P526" s="81" t="s">
        <v>3508</v>
      </c>
      <c r="Q526" s="36"/>
      <c r="R526" s="36" t="s">
        <v>3509</v>
      </c>
      <c r="S526" s="36"/>
      <c r="T526" s="81" t="s">
        <v>3510</v>
      </c>
      <c r="U526" s="81" t="s">
        <v>3511</v>
      </c>
      <c r="V526" s="36"/>
      <c r="W526" s="36"/>
      <c r="X526" s="36"/>
      <c r="Y526" s="36" t="s">
        <v>616</v>
      </c>
      <c r="Z526" s="81"/>
      <c r="AA526" s="54"/>
      <c r="AB526" s="81" t="s">
        <v>285</v>
      </c>
      <c r="AC526" s="81" t="s">
        <v>236</v>
      </c>
      <c r="AD526" s="36" t="s">
        <v>207</v>
      </c>
      <c r="AE526" s="81" t="s">
        <v>585</v>
      </c>
      <c r="AF526" s="81" t="s">
        <v>65</v>
      </c>
      <c r="AG526" s="48">
        <v>41246</v>
      </c>
      <c r="AH526" s="134">
        <f t="shared" si="56"/>
        <v>12</v>
      </c>
      <c r="AI526" s="134"/>
      <c r="AJ526" s="48">
        <v>41308</v>
      </c>
      <c r="AK526" s="134">
        <f t="shared" si="55"/>
        <v>2</v>
      </c>
      <c r="AL526" s="54" t="s">
        <v>82</v>
      </c>
      <c r="AM526" s="138"/>
      <c r="AN526" s="138"/>
      <c r="AO526" s="190">
        <v>41425</v>
      </c>
      <c r="AP526" s="136"/>
      <c r="AQ526" s="123"/>
      <c r="AR526" s="23"/>
      <c r="AS526" s="54" t="s">
        <v>347</v>
      </c>
      <c r="AT526" s="136"/>
      <c r="AU526" s="70">
        <f t="shared" si="52"/>
        <v>3</v>
      </c>
      <c r="AV526" s="70" t="s">
        <v>68</v>
      </c>
    </row>
    <row r="527" spans="1:48" ht="19.5" hidden="1" customHeight="1" x14ac:dyDescent="0.2">
      <c r="A527" s="87">
        <v>20504</v>
      </c>
      <c r="B527" s="80" t="s">
        <v>3512</v>
      </c>
      <c r="C527" s="80" t="s">
        <v>643</v>
      </c>
      <c r="D527" s="87"/>
      <c r="E527" s="123" t="s">
        <v>94</v>
      </c>
      <c r="F527" s="140">
        <v>31759</v>
      </c>
      <c r="G527" s="123"/>
      <c r="H527" s="54" t="s">
        <v>3513</v>
      </c>
      <c r="I527" s="123" t="s">
        <v>3514</v>
      </c>
      <c r="J527" s="140">
        <v>40658</v>
      </c>
      <c r="K527" s="123" t="s">
        <v>52</v>
      </c>
      <c r="L527" s="123" t="s">
        <v>123</v>
      </c>
      <c r="M527" s="123" t="s">
        <v>3515</v>
      </c>
      <c r="N527" s="123" t="s">
        <v>3516</v>
      </c>
      <c r="O527" s="106"/>
      <c r="P527" s="54" t="s">
        <v>3517</v>
      </c>
      <c r="Q527" s="123"/>
      <c r="R527" s="123" t="s">
        <v>3518</v>
      </c>
      <c r="S527" s="123"/>
      <c r="T527" s="54" t="s">
        <v>3519</v>
      </c>
      <c r="U527" s="54" t="s">
        <v>3520</v>
      </c>
      <c r="V527" s="123" t="s">
        <v>3521</v>
      </c>
      <c r="W527" s="123" t="s">
        <v>3130</v>
      </c>
      <c r="X527" s="123" t="s">
        <v>3522</v>
      </c>
      <c r="Y527" s="123" t="s">
        <v>312</v>
      </c>
      <c r="Z527" s="54"/>
      <c r="AA527" s="54"/>
      <c r="AB527" s="54" t="s">
        <v>285</v>
      </c>
      <c r="AC527" s="54" t="s">
        <v>236</v>
      </c>
      <c r="AD527" s="123" t="s">
        <v>207</v>
      </c>
      <c r="AE527" s="54" t="s">
        <v>3523</v>
      </c>
      <c r="AF527" s="54" t="s">
        <v>65</v>
      </c>
      <c r="AG527" s="140">
        <v>41267</v>
      </c>
      <c r="AH527" s="65">
        <f t="shared" si="56"/>
        <v>12</v>
      </c>
      <c r="AI527" s="65"/>
      <c r="AJ527" s="140">
        <v>41365</v>
      </c>
      <c r="AK527" s="65">
        <f t="shared" si="55"/>
        <v>4</v>
      </c>
      <c r="AL527" s="54" t="s">
        <v>66</v>
      </c>
      <c r="AM527" s="138"/>
      <c r="AN527" s="138"/>
      <c r="AO527" s="190"/>
      <c r="AP527" s="136" t="str">
        <f t="shared" ref="AP527:AP536" si="57">IF((AO527=""),"",MONTH(AO527))</f>
        <v/>
      </c>
      <c r="AQ527" s="123"/>
      <c r="AR527" s="23"/>
      <c r="AS527" s="54" t="s">
        <v>347</v>
      </c>
      <c r="AT527" s="136"/>
      <c r="AU527" s="70">
        <f t="shared" si="52"/>
        <v>12</v>
      </c>
      <c r="AV527" s="70" t="s">
        <v>68</v>
      </c>
    </row>
    <row r="528" spans="1:48" ht="19.5" hidden="1" customHeight="1" x14ac:dyDescent="0.2">
      <c r="A528" s="86">
        <v>20505</v>
      </c>
      <c r="B528" s="3" t="s">
        <v>3123</v>
      </c>
      <c r="C528" s="3" t="s">
        <v>364</v>
      </c>
      <c r="D528" s="86"/>
      <c r="E528" s="36" t="s">
        <v>94</v>
      </c>
      <c r="F528" s="48">
        <v>32572</v>
      </c>
      <c r="G528" s="36"/>
      <c r="H528" s="81" t="s">
        <v>3524</v>
      </c>
      <c r="I528" s="36" t="s">
        <v>3525</v>
      </c>
      <c r="J528" s="48">
        <v>38702</v>
      </c>
      <c r="K528" s="36" t="s">
        <v>52</v>
      </c>
      <c r="L528" s="36" t="s">
        <v>123</v>
      </c>
      <c r="M528" s="36" t="s">
        <v>96</v>
      </c>
      <c r="N528" s="36" t="s">
        <v>2416</v>
      </c>
      <c r="O528" s="101"/>
      <c r="P528" s="81"/>
      <c r="Q528" s="36"/>
      <c r="R528" s="36" t="s">
        <v>3526</v>
      </c>
      <c r="S528" s="36"/>
      <c r="T528" s="81" t="s">
        <v>3527</v>
      </c>
      <c r="U528" s="81" t="s">
        <v>3527</v>
      </c>
      <c r="V528" s="36"/>
      <c r="W528" s="36"/>
      <c r="X528" s="36"/>
      <c r="Y528" s="36" t="s">
        <v>284</v>
      </c>
      <c r="Z528" s="81"/>
      <c r="AA528" s="54"/>
      <c r="AB528" s="81" t="s">
        <v>285</v>
      </c>
      <c r="AC528" s="81" t="s">
        <v>236</v>
      </c>
      <c r="AD528" s="36" t="s">
        <v>207</v>
      </c>
      <c r="AE528" s="81" t="s">
        <v>585</v>
      </c>
      <c r="AF528" s="81" t="s">
        <v>65</v>
      </c>
      <c r="AG528" s="48">
        <v>41267</v>
      </c>
      <c r="AH528" s="134">
        <f t="shared" si="56"/>
        <v>12</v>
      </c>
      <c r="AI528" s="134"/>
      <c r="AJ528" s="48"/>
      <c r="AK528" s="134" t="str">
        <f t="shared" si="55"/>
        <v/>
      </c>
      <c r="AL528" s="94" t="s">
        <v>82</v>
      </c>
      <c r="AM528" s="78"/>
      <c r="AN528" s="78"/>
      <c r="AO528" s="190">
        <v>41290</v>
      </c>
      <c r="AP528" s="136">
        <f t="shared" si="57"/>
        <v>1</v>
      </c>
      <c r="AQ528" s="127"/>
      <c r="AR528" s="23"/>
      <c r="AS528" s="54" t="s">
        <v>347</v>
      </c>
      <c r="AT528" s="136"/>
      <c r="AU528" s="70">
        <f t="shared" si="52"/>
        <v>3</v>
      </c>
      <c r="AV528" s="70" t="s">
        <v>68</v>
      </c>
    </row>
    <row r="529" spans="1:48" ht="19.5" hidden="1" customHeight="1" x14ac:dyDescent="0.2">
      <c r="A529" s="86">
        <v>20506</v>
      </c>
      <c r="B529" s="3" t="s">
        <v>3528</v>
      </c>
      <c r="C529" s="3" t="s">
        <v>618</v>
      </c>
      <c r="D529" s="86"/>
      <c r="E529" s="36" t="s">
        <v>94</v>
      </c>
      <c r="F529" s="48">
        <v>29546</v>
      </c>
      <c r="G529" s="36"/>
      <c r="H529" s="81" t="s">
        <v>0</v>
      </c>
      <c r="I529" s="36" t="s">
        <v>3529</v>
      </c>
      <c r="J529" s="48">
        <v>40925</v>
      </c>
      <c r="K529" s="36" t="s">
        <v>132</v>
      </c>
      <c r="L529" s="36" t="s">
        <v>123</v>
      </c>
      <c r="M529" s="36" t="s">
        <v>1295</v>
      </c>
      <c r="N529" s="36" t="s">
        <v>152</v>
      </c>
      <c r="O529" s="101"/>
      <c r="P529" s="81" t="s">
        <v>3530</v>
      </c>
      <c r="Q529" s="36"/>
      <c r="R529" s="36" t="s">
        <v>3531</v>
      </c>
      <c r="S529" s="36"/>
      <c r="T529" s="81" t="s">
        <v>3532</v>
      </c>
      <c r="U529" s="81" t="s">
        <v>3533</v>
      </c>
      <c r="V529" s="36"/>
      <c r="W529" s="36"/>
      <c r="X529" s="36"/>
      <c r="Y529" s="36" t="s">
        <v>616</v>
      </c>
      <c r="Z529" s="81"/>
      <c r="AA529" s="54"/>
      <c r="AB529" s="81" t="s">
        <v>285</v>
      </c>
      <c r="AC529" s="81" t="s">
        <v>236</v>
      </c>
      <c r="AD529" s="36" t="s">
        <v>207</v>
      </c>
      <c r="AE529" s="81" t="s">
        <v>585</v>
      </c>
      <c r="AF529" s="81" t="s">
        <v>65</v>
      </c>
      <c r="AG529" s="48">
        <v>41267</v>
      </c>
      <c r="AH529" s="134">
        <f t="shared" si="56"/>
        <v>12</v>
      </c>
      <c r="AI529" s="134"/>
      <c r="AJ529" s="48">
        <v>41329</v>
      </c>
      <c r="AK529" s="134">
        <f t="shared" si="55"/>
        <v>2</v>
      </c>
      <c r="AL529" s="94" t="s">
        <v>82</v>
      </c>
      <c r="AM529" s="138"/>
      <c r="AN529" s="138"/>
      <c r="AO529" s="190">
        <v>41421</v>
      </c>
      <c r="AP529" s="136">
        <f t="shared" si="57"/>
        <v>5</v>
      </c>
      <c r="AQ529" s="123"/>
      <c r="AR529" s="23"/>
      <c r="AS529" s="54" t="s">
        <v>347</v>
      </c>
      <c r="AT529" s="136"/>
      <c r="AU529" s="70">
        <f t="shared" si="52"/>
        <v>11</v>
      </c>
      <c r="AV529" s="70" t="s">
        <v>68</v>
      </c>
    </row>
    <row r="530" spans="1:48" ht="19.5" hidden="1" customHeight="1" x14ac:dyDescent="0.2">
      <c r="A530" s="86">
        <v>20507</v>
      </c>
      <c r="B530" s="3" t="s">
        <v>848</v>
      </c>
      <c r="C530" s="3" t="s">
        <v>131</v>
      </c>
      <c r="D530" s="86"/>
      <c r="E530" s="36" t="s">
        <v>94</v>
      </c>
      <c r="F530" s="48">
        <v>31759</v>
      </c>
      <c r="G530" s="36"/>
      <c r="H530" s="81" t="s">
        <v>304</v>
      </c>
      <c r="I530" s="36"/>
      <c r="J530" s="48"/>
      <c r="K530" s="36"/>
      <c r="L530" s="36" t="s">
        <v>123</v>
      </c>
      <c r="M530" s="36" t="s">
        <v>1355</v>
      </c>
      <c r="N530" s="36" t="s">
        <v>3534</v>
      </c>
      <c r="O530" s="101"/>
      <c r="P530" s="81" t="s">
        <v>3535</v>
      </c>
      <c r="Q530" s="36"/>
      <c r="R530" s="36" t="s">
        <v>3536</v>
      </c>
      <c r="S530" s="36"/>
      <c r="T530" s="81" t="s">
        <v>3537</v>
      </c>
      <c r="U530" s="81" t="s">
        <v>3537</v>
      </c>
      <c r="V530" s="36"/>
      <c r="W530" s="36"/>
      <c r="X530" s="36"/>
      <c r="Y530" s="36" t="s">
        <v>616</v>
      </c>
      <c r="Z530" s="81"/>
      <c r="AA530" s="54"/>
      <c r="AB530" s="81" t="s">
        <v>285</v>
      </c>
      <c r="AC530" s="81" t="s">
        <v>236</v>
      </c>
      <c r="AD530" s="36" t="s">
        <v>207</v>
      </c>
      <c r="AE530" s="81" t="s">
        <v>585</v>
      </c>
      <c r="AF530" s="81" t="s">
        <v>65</v>
      </c>
      <c r="AG530" s="48">
        <v>41267</v>
      </c>
      <c r="AH530" s="134">
        <f t="shared" si="56"/>
        <v>12</v>
      </c>
      <c r="AI530" s="134"/>
      <c r="AJ530" s="48"/>
      <c r="AK530" s="134" t="str">
        <f t="shared" si="55"/>
        <v/>
      </c>
      <c r="AL530" s="54" t="s">
        <v>82</v>
      </c>
      <c r="AM530" s="138"/>
      <c r="AN530" s="138"/>
      <c r="AO530" s="190">
        <v>41421</v>
      </c>
      <c r="AP530" s="136">
        <f t="shared" si="57"/>
        <v>5</v>
      </c>
      <c r="AQ530" s="123"/>
      <c r="AR530" s="23"/>
      <c r="AS530" s="54" t="s">
        <v>347</v>
      </c>
      <c r="AT530" s="136"/>
      <c r="AU530" s="70">
        <f t="shared" si="52"/>
        <v>12</v>
      </c>
      <c r="AV530" s="70" t="s">
        <v>68</v>
      </c>
    </row>
    <row r="531" spans="1:48" ht="19.5" customHeight="1" x14ac:dyDescent="0.2">
      <c r="A531" s="87">
        <v>20508</v>
      </c>
      <c r="B531" s="80" t="s">
        <v>3538</v>
      </c>
      <c r="C531" s="80" t="s">
        <v>160</v>
      </c>
      <c r="D531" s="87"/>
      <c r="E531" s="123" t="s">
        <v>94</v>
      </c>
      <c r="F531" s="140">
        <v>32891</v>
      </c>
      <c r="G531" s="123"/>
      <c r="H531" s="54" t="s">
        <v>365</v>
      </c>
      <c r="I531" s="123" t="s">
        <v>3539</v>
      </c>
      <c r="J531" s="140">
        <v>38824</v>
      </c>
      <c r="K531" s="123" t="s">
        <v>3389</v>
      </c>
      <c r="L531" s="123" t="s">
        <v>123</v>
      </c>
      <c r="M531" s="123" t="s">
        <v>3540</v>
      </c>
      <c r="N531" s="123" t="s">
        <v>3541</v>
      </c>
      <c r="O531" s="106"/>
      <c r="P531" s="54" t="s">
        <v>3542</v>
      </c>
      <c r="Q531" s="123" t="s">
        <v>3543</v>
      </c>
      <c r="R531" s="123" t="s">
        <v>3544</v>
      </c>
      <c r="S531" s="123"/>
      <c r="T531" s="54" t="s">
        <v>3545</v>
      </c>
      <c r="U531" s="54" t="s">
        <v>3546</v>
      </c>
      <c r="V531" s="123"/>
      <c r="W531" s="123"/>
      <c r="X531" s="123"/>
      <c r="Y531" s="123" t="s">
        <v>972</v>
      </c>
      <c r="Z531" s="54"/>
      <c r="AA531" s="54"/>
      <c r="AB531" s="54" t="s">
        <v>285</v>
      </c>
      <c r="AC531" s="54" t="s">
        <v>236</v>
      </c>
      <c r="AD531" s="123" t="s">
        <v>1183</v>
      </c>
      <c r="AE531" s="54" t="s">
        <v>1184</v>
      </c>
      <c r="AF531" s="54" t="s">
        <v>231</v>
      </c>
      <c r="AG531" s="140">
        <v>41267</v>
      </c>
      <c r="AH531" s="65">
        <f t="shared" si="56"/>
        <v>12</v>
      </c>
      <c r="AI531" s="65"/>
      <c r="AJ531" s="140">
        <v>41329</v>
      </c>
      <c r="AK531" s="65">
        <f t="shared" si="55"/>
        <v>2</v>
      </c>
      <c r="AL531" s="54" t="s">
        <v>66</v>
      </c>
      <c r="AM531" s="138"/>
      <c r="AN531" s="138"/>
      <c r="AO531" s="190"/>
      <c r="AP531" s="136" t="str">
        <f t="shared" si="57"/>
        <v/>
      </c>
      <c r="AQ531" s="123"/>
      <c r="AR531" s="23"/>
      <c r="AS531" s="54" t="s">
        <v>347</v>
      </c>
      <c r="AT531" s="136"/>
      <c r="AU531" s="70">
        <f t="shared" si="52"/>
        <v>1</v>
      </c>
      <c r="AV531" s="70" t="s">
        <v>68</v>
      </c>
    </row>
    <row r="532" spans="1:48" ht="17.25" hidden="1" customHeight="1" x14ac:dyDescent="0.2">
      <c r="A532" s="86">
        <v>20509</v>
      </c>
      <c r="B532" s="3" t="s">
        <v>3547</v>
      </c>
      <c r="C532" s="3" t="s">
        <v>70</v>
      </c>
      <c r="D532" s="86"/>
      <c r="E532" s="36" t="s">
        <v>94</v>
      </c>
      <c r="F532" s="48">
        <v>32739</v>
      </c>
      <c r="G532" s="36" t="s">
        <v>1209</v>
      </c>
      <c r="H532" s="81" t="s">
        <v>3548</v>
      </c>
      <c r="I532" s="36" t="s">
        <v>3549</v>
      </c>
      <c r="J532" s="48">
        <v>40000</v>
      </c>
      <c r="K532" s="36" t="s">
        <v>815</v>
      </c>
      <c r="L532" s="36" t="s">
        <v>123</v>
      </c>
      <c r="M532" s="36" t="s">
        <v>1386</v>
      </c>
      <c r="N532" s="36" t="s">
        <v>3335</v>
      </c>
      <c r="O532" s="101">
        <v>2012</v>
      </c>
      <c r="P532" s="81" t="s">
        <v>3550</v>
      </c>
      <c r="Q532" s="36"/>
      <c r="R532" s="36" t="s">
        <v>3551</v>
      </c>
      <c r="S532" s="36"/>
      <c r="T532" s="81" t="s">
        <v>3552</v>
      </c>
      <c r="U532" s="81" t="s">
        <v>3552</v>
      </c>
      <c r="V532" s="36" t="s">
        <v>3553</v>
      </c>
      <c r="W532" s="36" t="s">
        <v>283</v>
      </c>
      <c r="X532" s="36"/>
      <c r="Y532" s="36" t="s">
        <v>865</v>
      </c>
      <c r="Z532" s="81"/>
      <c r="AA532" s="54"/>
      <c r="AB532" s="81" t="s">
        <v>285</v>
      </c>
      <c r="AC532" s="81" t="s">
        <v>236</v>
      </c>
      <c r="AD532" s="36" t="s">
        <v>207</v>
      </c>
      <c r="AE532" s="81" t="s">
        <v>585</v>
      </c>
      <c r="AF532" s="81" t="s">
        <v>65</v>
      </c>
      <c r="AG532" s="48">
        <v>41276</v>
      </c>
      <c r="AH532" s="134">
        <f t="shared" si="56"/>
        <v>1</v>
      </c>
      <c r="AI532" s="134"/>
      <c r="AJ532" s="48">
        <v>41335</v>
      </c>
      <c r="AK532" s="134">
        <f t="shared" si="55"/>
        <v>3</v>
      </c>
      <c r="AL532" s="81" t="s">
        <v>82</v>
      </c>
      <c r="AM532" s="25"/>
      <c r="AN532" s="25"/>
      <c r="AO532" s="48">
        <v>41642</v>
      </c>
      <c r="AP532" s="134">
        <f t="shared" si="57"/>
        <v>1</v>
      </c>
      <c r="AQ532" s="36"/>
      <c r="AR532" s="116"/>
      <c r="AS532" s="81" t="s">
        <v>347</v>
      </c>
      <c r="AT532" s="134"/>
      <c r="AU532" s="172">
        <f t="shared" si="52"/>
        <v>8</v>
      </c>
      <c r="AV532" s="172" t="s">
        <v>68</v>
      </c>
    </row>
    <row r="533" spans="1:48" ht="19.5" hidden="1" customHeight="1" x14ac:dyDescent="0.2">
      <c r="A533" s="86">
        <v>20510</v>
      </c>
      <c r="B533" s="3" t="s">
        <v>1220</v>
      </c>
      <c r="C533" s="3" t="s">
        <v>250</v>
      </c>
      <c r="D533" s="86"/>
      <c r="E533" s="36" t="s">
        <v>94</v>
      </c>
      <c r="F533" s="48">
        <v>32662</v>
      </c>
      <c r="G533" s="36" t="s">
        <v>397</v>
      </c>
      <c r="H533" s="81" t="s">
        <v>3554</v>
      </c>
      <c r="I533" s="36" t="s">
        <v>3555</v>
      </c>
      <c r="J533" s="48">
        <v>41163</v>
      </c>
      <c r="K533" s="36" t="s">
        <v>3556</v>
      </c>
      <c r="L533" s="36" t="s">
        <v>123</v>
      </c>
      <c r="M533" s="36" t="s">
        <v>3557</v>
      </c>
      <c r="N533" s="36" t="s">
        <v>3558</v>
      </c>
      <c r="O533" s="101"/>
      <c r="P533" s="81"/>
      <c r="Q533" s="36"/>
      <c r="R533" s="36"/>
      <c r="S533" s="36"/>
      <c r="T533" s="81" t="s">
        <v>3559</v>
      </c>
      <c r="U533" s="81" t="s">
        <v>3559</v>
      </c>
      <c r="V533" s="36" t="s">
        <v>3560</v>
      </c>
      <c r="W533" s="36" t="s">
        <v>2989</v>
      </c>
      <c r="X533" s="36" t="s">
        <v>3561</v>
      </c>
      <c r="Y533" s="36" t="s">
        <v>284</v>
      </c>
      <c r="Z533" s="81"/>
      <c r="AA533" s="54"/>
      <c r="AB533" s="81" t="s">
        <v>285</v>
      </c>
      <c r="AC533" s="81" t="s">
        <v>236</v>
      </c>
      <c r="AD533" s="36" t="s">
        <v>207</v>
      </c>
      <c r="AE533" s="81" t="s">
        <v>585</v>
      </c>
      <c r="AF533" s="81" t="s">
        <v>65</v>
      </c>
      <c r="AG533" s="48">
        <v>41276</v>
      </c>
      <c r="AH533" s="134">
        <f t="shared" si="56"/>
        <v>1</v>
      </c>
      <c r="AI533" s="134"/>
      <c r="AJ533" s="48"/>
      <c r="AK533" s="134" t="str">
        <f t="shared" si="55"/>
        <v/>
      </c>
      <c r="AL533" s="94" t="s">
        <v>82</v>
      </c>
      <c r="AM533" s="78"/>
      <c r="AN533" s="78"/>
      <c r="AO533" s="190">
        <v>41309</v>
      </c>
      <c r="AP533" s="136">
        <f t="shared" si="57"/>
        <v>2</v>
      </c>
      <c r="AQ533" s="127"/>
      <c r="AR533" s="23"/>
      <c r="AS533" s="54" t="s">
        <v>347</v>
      </c>
      <c r="AT533" s="136"/>
      <c r="AU533" s="70">
        <f t="shared" si="52"/>
        <v>6</v>
      </c>
      <c r="AV533" s="70" t="s">
        <v>68</v>
      </c>
    </row>
    <row r="534" spans="1:48" ht="19.5" hidden="1" customHeight="1" x14ac:dyDescent="0.2">
      <c r="A534" s="86">
        <v>20511</v>
      </c>
      <c r="B534" s="3" t="s">
        <v>199</v>
      </c>
      <c r="C534" s="3" t="s">
        <v>1461</v>
      </c>
      <c r="D534" s="86"/>
      <c r="E534" s="36" t="s">
        <v>94</v>
      </c>
      <c r="F534" s="48">
        <v>33115</v>
      </c>
      <c r="G534" s="36"/>
      <c r="H534" s="81" t="s">
        <v>3562</v>
      </c>
      <c r="I534" s="36" t="s">
        <v>3563</v>
      </c>
      <c r="J534" s="48">
        <v>38279</v>
      </c>
      <c r="K534" s="36" t="s">
        <v>2056</v>
      </c>
      <c r="L534" s="36" t="s">
        <v>123</v>
      </c>
      <c r="M534" s="36" t="s">
        <v>3564</v>
      </c>
      <c r="N534" s="36" t="s">
        <v>2524</v>
      </c>
      <c r="O534" s="101"/>
      <c r="P534" s="81" t="s">
        <v>3565</v>
      </c>
      <c r="Q534" s="36"/>
      <c r="R534" s="36" t="s">
        <v>3566</v>
      </c>
      <c r="S534" s="36"/>
      <c r="T534" s="81" t="s">
        <v>3567</v>
      </c>
      <c r="U534" s="81" t="s">
        <v>3567</v>
      </c>
      <c r="V534" s="36"/>
      <c r="W534" s="36"/>
      <c r="X534" s="36"/>
      <c r="Y534" s="36" t="s">
        <v>972</v>
      </c>
      <c r="Z534" s="81"/>
      <c r="AA534" s="54"/>
      <c r="AB534" s="81" t="s">
        <v>285</v>
      </c>
      <c r="AC534" s="81" t="s">
        <v>236</v>
      </c>
      <c r="AD534" s="36" t="s">
        <v>1183</v>
      </c>
      <c r="AE534" s="81" t="s">
        <v>1184</v>
      </c>
      <c r="AF534" s="81" t="s">
        <v>231</v>
      </c>
      <c r="AG534" s="48">
        <v>41276</v>
      </c>
      <c r="AH534" s="134">
        <f t="shared" si="56"/>
        <v>1</v>
      </c>
      <c r="AI534" s="134"/>
      <c r="AJ534" s="48">
        <v>41335</v>
      </c>
      <c r="AK534" s="134">
        <f t="shared" si="55"/>
        <v>3</v>
      </c>
      <c r="AL534" s="94" t="s">
        <v>82</v>
      </c>
      <c r="AM534" s="78"/>
      <c r="AN534" s="78"/>
      <c r="AO534" s="190">
        <v>41370</v>
      </c>
      <c r="AP534" s="136">
        <f t="shared" si="57"/>
        <v>4</v>
      </c>
      <c r="AQ534" s="127"/>
      <c r="AR534" s="23"/>
      <c r="AS534" s="54" t="s">
        <v>347</v>
      </c>
      <c r="AT534" s="136"/>
      <c r="AU534" s="70">
        <f t="shared" si="52"/>
        <v>8</v>
      </c>
      <c r="AV534" s="70" t="s">
        <v>68</v>
      </c>
    </row>
    <row r="535" spans="1:48" ht="19.5" hidden="1" customHeight="1" x14ac:dyDescent="0.2">
      <c r="A535" s="7">
        <v>20512</v>
      </c>
      <c r="B535" s="3" t="s">
        <v>3568</v>
      </c>
      <c r="C535" s="3" t="s">
        <v>869</v>
      </c>
      <c r="D535" s="86"/>
      <c r="E535" s="36" t="s">
        <v>94</v>
      </c>
      <c r="F535" s="48">
        <v>32937</v>
      </c>
      <c r="G535" s="36" t="s">
        <v>1550</v>
      </c>
      <c r="H535" s="81" t="s">
        <v>3569</v>
      </c>
      <c r="I535" s="36" t="s">
        <v>3570</v>
      </c>
      <c r="J535" s="48">
        <v>39663</v>
      </c>
      <c r="K535" s="36" t="s">
        <v>1680</v>
      </c>
      <c r="L535" s="36" t="s">
        <v>123</v>
      </c>
      <c r="M535" s="36" t="s">
        <v>3571</v>
      </c>
      <c r="N535" s="36" t="s">
        <v>2524</v>
      </c>
      <c r="O535" s="101"/>
      <c r="P535" s="81" t="s">
        <v>3572</v>
      </c>
      <c r="Q535" s="36"/>
      <c r="R535" s="36" t="s">
        <v>3573</v>
      </c>
      <c r="S535" s="36"/>
      <c r="T535" s="81" t="s">
        <v>3574</v>
      </c>
      <c r="U535" s="81" t="s">
        <v>3575</v>
      </c>
      <c r="V535" s="36"/>
      <c r="W535" s="36"/>
      <c r="X535" s="36"/>
      <c r="Y535" s="36" t="s">
        <v>616</v>
      </c>
      <c r="Z535" s="81"/>
      <c r="AA535" s="54"/>
      <c r="AB535" s="81" t="s">
        <v>285</v>
      </c>
      <c r="AC535" s="81" t="s">
        <v>236</v>
      </c>
      <c r="AD535" s="36" t="s">
        <v>866</v>
      </c>
      <c r="AE535" s="81" t="s">
        <v>867</v>
      </c>
      <c r="AF535" s="81" t="s">
        <v>231</v>
      </c>
      <c r="AG535" s="48">
        <v>41276</v>
      </c>
      <c r="AH535" s="134">
        <f t="shared" si="56"/>
        <v>1</v>
      </c>
      <c r="AI535" s="134"/>
      <c r="AJ535" s="48">
        <v>41335</v>
      </c>
      <c r="AK535" s="134">
        <f t="shared" si="55"/>
        <v>3</v>
      </c>
      <c r="AL535" s="54" t="s">
        <v>82</v>
      </c>
      <c r="AM535" s="138"/>
      <c r="AN535" s="138"/>
      <c r="AO535" s="190">
        <v>41549</v>
      </c>
      <c r="AP535" s="136">
        <f t="shared" si="57"/>
        <v>10</v>
      </c>
      <c r="AQ535" s="123"/>
      <c r="AR535" s="23"/>
      <c r="AS535" s="54" t="s">
        <v>347</v>
      </c>
      <c r="AT535" s="136"/>
      <c r="AU535" s="70">
        <f t="shared" si="52"/>
        <v>3</v>
      </c>
      <c r="AV535" s="70" t="s">
        <v>68</v>
      </c>
    </row>
    <row r="536" spans="1:48" ht="19.5" hidden="1" customHeight="1" x14ac:dyDescent="0.2">
      <c r="A536" s="86">
        <v>20513</v>
      </c>
      <c r="B536" s="3" t="s">
        <v>3576</v>
      </c>
      <c r="C536" s="3" t="s">
        <v>232</v>
      </c>
      <c r="D536" s="86"/>
      <c r="E536" s="36" t="s">
        <v>94</v>
      </c>
      <c r="F536" s="48">
        <v>31168</v>
      </c>
      <c r="G536" s="36" t="s">
        <v>1195</v>
      </c>
      <c r="H536" s="81" t="s">
        <v>3348</v>
      </c>
      <c r="I536" s="36" t="s">
        <v>3577</v>
      </c>
      <c r="J536" s="48">
        <v>41024</v>
      </c>
      <c r="K536" s="36" t="s">
        <v>1195</v>
      </c>
      <c r="L536" s="36" t="s">
        <v>123</v>
      </c>
      <c r="M536" s="36" t="s">
        <v>3578</v>
      </c>
      <c r="N536" s="36" t="s">
        <v>2636</v>
      </c>
      <c r="O536" s="101"/>
      <c r="P536" s="81" t="s">
        <v>3579</v>
      </c>
      <c r="Q536" s="36"/>
      <c r="R536" s="36" t="s">
        <v>3580</v>
      </c>
      <c r="S536" s="36" t="s">
        <v>3581</v>
      </c>
      <c r="T536" s="81" t="s">
        <v>3582</v>
      </c>
      <c r="U536" s="81" t="s">
        <v>3582</v>
      </c>
      <c r="V536" s="36"/>
      <c r="W536" s="36"/>
      <c r="X536" s="36"/>
      <c r="Y536" s="36" t="s">
        <v>284</v>
      </c>
      <c r="Z536" s="81"/>
      <c r="AA536" s="54"/>
      <c r="AB536" s="81" t="s">
        <v>285</v>
      </c>
      <c r="AC536" s="81" t="s">
        <v>236</v>
      </c>
      <c r="AD536" s="36" t="s">
        <v>866</v>
      </c>
      <c r="AE536" s="81" t="s">
        <v>867</v>
      </c>
      <c r="AF536" s="81" t="s">
        <v>231</v>
      </c>
      <c r="AG536" s="48">
        <v>41276</v>
      </c>
      <c r="AH536" s="134">
        <f t="shared" si="56"/>
        <v>1</v>
      </c>
      <c r="AI536" s="134"/>
      <c r="AJ536" s="48"/>
      <c r="AK536" s="134" t="str">
        <f t="shared" si="55"/>
        <v/>
      </c>
      <c r="AL536" s="94" t="s">
        <v>82</v>
      </c>
      <c r="AM536" s="78"/>
      <c r="AN536" s="78"/>
      <c r="AO536" s="190">
        <v>41365</v>
      </c>
      <c r="AP536" s="136">
        <f t="shared" si="57"/>
        <v>4</v>
      </c>
      <c r="AQ536" s="127"/>
      <c r="AR536" s="23"/>
      <c r="AS536" s="94"/>
      <c r="AT536" s="136"/>
      <c r="AU536" s="70">
        <f t="shared" si="52"/>
        <v>5</v>
      </c>
      <c r="AV536" s="70" t="s">
        <v>68</v>
      </c>
    </row>
    <row r="537" spans="1:48" ht="19.5" hidden="1" customHeight="1" x14ac:dyDescent="0.2">
      <c r="A537" s="86">
        <v>20514</v>
      </c>
      <c r="B537" s="3" t="s">
        <v>395</v>
      </c>
      <c r="C537" s="3" t="s">
        <v>643</v>
      </c>
      <c r="D537" s="86"/>
      <c r="E537" s="36" t="s">
        <v>94</v>
      </c>
      <c r="F537" s="48"/>
      <c r="G537" s="36"/>
      <c r="H537" s="81"/>
      <c r="I537" s="36"/>
      <c r="J537" s="48"/>
      <c r="K537" s="36"/>
      <c r="L537" s="36"/>
      <c r="M537" s="36"/>
      <c r="N537" s="36" t="s">
        <v>320</v>
      </c>
      <c r="O537" s="101"/>
      <c r="P537" s="159">
        <v>0</v>
      </c>
      <c r="Q537" s="36"/>
      <c r="R537" s="36"/>
      <c r="S537" s="36"/>
      <c r="T537" s="81"/>
      <c r="U537" s="81"/>
      <c r="V537" s="36"/>
      <c r="W537" s="36"/>
      <c r="X537" s="36"/>
      <c r="Y537" s="36"/>
      <c r="Z537" s="81"/>
      <c r="AA537" s="54"/>
      <c r="AB537" s="81"/>
      <c r="AC537" s="81"/>
      <c r="AD537" s="36" t="s">
        <v>230</v>
      </c>
      <c r="AE537" s="81" t="s">
        <v>839</v>
      </c>
      <c r="AF537" s="81" t="s">
        <v>231</v>
      </c>
      <c r="AG537" s="48"/>
      <c r="AH537" s="48"/>
      <c r="AI537" s="48"/>
      <c r="AJ537" s="48"/>
      <c r="AK537" s="134" t="str">
        <f t="shared" si="55"/>
        <v/>
      </c>
      <c r="AL537" s="54" t="s">
        <v>82</v>
      </c>
      <c r="AM537" s="54"/>
      <c r="AN537" s="54"/>
      <c r="AO537" s="190"/>
      <c r="AP537" s="136"/>
      <c r="AQ537" s="123"/>
      <c r="AR537" s="23"/>
      <c r="AS537" s="54"/>
      <c r="AT537" s="184"/>
      <c r="AU537" s="70" t="str">
        <f t="shared" si="52"/>
        <v/>
      </c>
      <c r="AV537" s="70" t="s">
        <v>68</v>
      </c>
    </row>
    <row r="538" spans="1:48" ht="19.5" hidden="1" customHeight="1" x14ac:dyDescent="0.2">
      <c r="A538" s="86">
        <v>20515</v>
      </c>
      <c r="B538" s="3" t="s">
        <v>3583</v>
      </c>
      <c r="C538" s="3" t="s">
        <v>823</v>
      </c>
      <c r="D538" s="86"/>
      <c r="E538" s="36" t="s">
        <v>94</v>
      </c>
      <c r="F538" s="48"/>
      <c r="G538" s="36"/>
      <c r="H538" s="81"/>
      <c r="I538" s="36"/>
      <c r="J538" s="48"/>
      <c r="K538" s="36"/>
      <c r="L538" s="36"/>
      <c r="M538" s="36"/>
      <c r="N538" s="36" t="s">
        <v>320</v>
      </c>
      <c r="O538" s="101"/>
      <c r="P538" s="159">
        <v>0</v>
      </c>
      <c r="Q538" s="36"/>
      <c r="R538" s="36"/>
      <c r="S538" s="36"/>
      <c r="T538" s="81"/>
      <c r="U538" s="81"/>
      <c r="V538" s="36"/>
      <c r="W538" s="36"/>
      <c r="X538" s="36"/>
      <c r="Y538" s="36"/>
      <c r="Z538" s="81"/>
      <c r="AA538" s="54"/>
      <c r="AB538" s="81"/>
      <c r="AC538" s="81"/>
      <c r="AD538" s="36" t="s">
        <v>230</v>
      </c>
      <c r="AE538" s="81" t="s">
        <v>839</v>
      </c>
      <c r="AF538" s="81" t="s">
        <v>231</v>
      </c>
      <c r="AG538" s="48"/>
      <c r="AH538" s="48"/>
      <c r="AI538" s="48"/>
      <c r="AJ538" s="48"/>
      <c r="AK538" s="134" t="str">
        <f t="shared" si="55"/>
        <v/>
      </c>
      <c r="AL538" s="54" t="s">
        <v>82</v>
      </c>
      <c r="AM538" s="54"/>
      <c r="AN538" s="54"/>
      <c r="AO538" s="190"/>
      <c r="AP538" s="136"/>
      <c r="AQ538" s="123"/>
      <c r="AR538" s="23"/>
      <c r="AS538" s="54"/>
      <c r="AT538" s="194"/>
      <c r="AU538" s="70" t="str">
        <f t="shared" si="52"/>
        <v/>
      </c>
      <c r="AV538" s="70" t="s">
        <v>68</v>
      </c>
    </row>
    <row r="539" spans="1:48" ht="19.5" hidden="1" customHeight="1" x14ac:dyDescent="0.2">
      <c r="A539" s="86">
        <v>20516</v>
      </c>
      <c r="B539" s="3" t="s">
        <v>3584</v>
      </c>
      <c r="C539" s="3" t="s">
        <v>607</v>
      </c>
      <c r="D539" s="86"/>
      <c r="E539" s="36" t="s">
        <v>94</v>
      </c>
      <c r="F539" s="48"/>
      <c r="G539" s="36"/>
      <c r="H539" s="81" t="s">
        <v>0</v>
      </c>
      <c r="I539" s="36"/>
      <c r="J539" s="48"/>
      <c r="K539" s="36"/>
      <c r="L539" s="36" t="s">
        <v>123</v>
      </c>
      <c r="M539" s="36"/>
      <c r="N539" s="36"/>
      <c r="O539" s="101"/>
      <c r="P539" s="81"/>
      <c r="Q539" s="36"/>
      <c r="R539" s="36"/>
      <c r="S539" s="36"/>
      <c r="T539" s="81" t="s">
        <v>0</v>
      </c>
      <c r="U539" s="81" t="s">
        <v>0</v>
      </c>
      <c r="V539" s="36"/>
      <c r="W539" s="36"/>
      <c r="X539" s="36"/>
      <c r="Y539" s="36" t="s">
        <v>284</v>
      </c>
      <c r="Z539" s="81"/>
      <c r="AA539" s="54"/>
      <c r="AB539" s="81" t="s">
        <v>285</v>
      </c>
      <c r="AC539" s="81" t="s">
        <v>236</v>
      </c>
      <c r="AD539" s="36" t="s">
        <v>866</v>
      </c>
      <c r="AE539" s="81"/>
      <c r="AF539" s="81" t="s">
        <v>231</v>
      </c>
      <c r="AG539" s="48">
        <v>41281</v>
      </c>
      <c r="AH539" s="134">
        <f t="shared" ref="AH539:AH581" si="58">IF((AG539=""),"",MONTH(AG539))</f>
        <v>1</v>
      </c>
      <c r="AI539" s="134"/>
      <c r="AJ539" s="48"/>
      <c r="AK539" s="134" t="str">
        <f t="shared" si="55"/>
        <v/>
      </c>
      <c r="AL539" s="94" t="s">
        <v>82</v>
      </c>
      <c r="AM539" s="78"/>
      <c r="AN539" s="78"/>
      <c r="AO539" s="190">
        <v>41306</v>
      </c>
      <c r="AP539" s="136">
        <f>IF((AO539=""),"",MONTH(AO539))</f>
        <v>2</v>
      </c>
      <c r="AQ539" s="127"/>
      <c r="AR539" s="23"/>
      <c r="AS539" s="94"/>
      <c r="AT539" s="136"/>
      <c r="AU539" s="70" t="str">
        <f t="shared" si="52"/>
        <v/>
      </c>
      <c r="AV539" s="70" t="s">
        <v>68</v>
      </c>
    </row>
    <row r="540" spans="1:48" ht="19.5" hidden="1" customHeight="1" x14ac:dyDescent="0.2">
      <c r="A540" s="87">
        <v>20517</v>
      </c>
      <c r="B540" s="80" t="s">
        <v>3585</v>
      </c>
      <c r="C540" s="80" t="s">
        <v>3586</v>
      </c>
      <c r="D540" s="87"/>
      <c r="E540" s="123" t="s">
        <v>51</v>
      </c>
      <c r="F540" s="140">
        <v>30421</v>
      </c>
      <c r="G540" s="123" t="s">
        <v>726</v>
      </c>
      <c r="H540" s="54" t="s">
        <v>3587</v>
      </c>
      <c r="I540" s="123" t="s">
        <v>3588</v>
      </c>
      <c r="J540" s="140">
        <v>40128</v>
      </c>
      <c r="K540" s="123" t="s">
        <v>52</v>
      </c>
      <c r="L540" s="123" t="s">
        <v>123</v>
      </c>
      <c r="M540" s="123" t="s">
        <v>124</v>
      </c>
      <c r="N540" s="123" t="s">
        <v>2126</v>
      </c>
      <c r="O540" s="106">
        <v>2006</v>
      </c>
      <c r="P540" s="54" t="s">
        <v>3589</v>
      </c>
      <c r="Q540" s="123" t="s">
        <v>3590</v>
      </c>
      <c r="R540" s="123" t="s">
        <v>3591</v>
      </c>
      <c r="S540" s="123"/>
      <c r="T540" s="54" t="s">
        <v>3592</v>
      </c>
      <c r="U540" s="54" t="s">
        <v>3593</v>
      </c>
      <c r="V540" s="123" t="s">
        <v>3594</v>
      </c>
      <c r="W540" s="123" t="s">
        <v>3595</v>
      </c>
      <c r="X540" s="123" t="s">
        <v>3596</v>
      </c>
      <c r="Y540" s="123" t="s">
        <v>374</v>
      </c>
      <c r="Z540" s="54"/>
      <c r="AA540" s="54"/>
      <c r="AB540" s="54">
        <v>3</v>
      </c>
      <c r="AC540" s="54" t="s">
        <v>63</v>
      </c>
      <c r="AD540" s="123" t="s">
        <v>158</v>
      </c>
      <c r="AE540" s="54"/>
      <c r="AF540" s="54" t="s">
        <v>65</v>
      </c>
      <c r="AG540" s="140">
        <v>41295</v>
      </c>
      <c r="AH540" s="65">
        <f t="shared" si="58"/>
        <v>1</v>
      </c>
      <c r="AI540" s="65"/>
      <c r="AJ540" s="140">
        <v>41354</v>
      </c>
      <c r="AK540" s="65">
        <f t="shared" si="55"/>
        <v>3</v>
      </c>
      <c r="AL540" s="54" t="s">
        <v>66</v>
      </c>
      <c r="AM540" s="138"/>
      <c r="AN540" s="138"/>
      <c r="AO540" s="190"/>
      <c r="AP540" s="136" t="str">
        <f>IF((AO540=""),"",MONTH(AO540))</f>
        <v/>
      </c>
      <c r="AQ540" s="123"/>
      <c r="AR540" s="23"/>
      <c r="AS540" s="54" t="s">
        <v>347</v>
      </c>
      <c r="AT540" s="136"/>
      <c r="AU540" s="70">
        <f t="shared" si="52"/>
        <v>4</v>
      </c>
      <c r="AV540" s="70" t="s">
        <v>68</v>
      </c>
    </row>
    <row r="541" spans="1:48" ht="19.5" hidden="1" customHeight="1" x14ac:dyDescent="0.2">
      <c r="A541" s="86">
        <v>20518</v>
      </c>
      <c r="B541" s="3" t="s">
        <v>265</v>
      </c>
      <c r="C541" s="3" t="s">
        <v>1658</v>
      </c>
      <c r="D541" s="86"/>
      <c r="E541" s="36" t="s">
        <v>94</v>
      </c>
      <c r="F541" s="48">
        <v>32946</v>
      </c>
      <c r="G541" s="36" t="s">
        <v>171</v>
      </c>
      <c r="H541" s="81" t="s">
        <v>3597</v>
      </c>
      <c r="I541" s="36" t="s">
        <v>3598</v>
      </c>
      <c r="J541" s="48">
        <v>38478</v>
      </c>
      <c r="K541" s="36" t="s">
        <v>52</v>
      </c>
      <c r="L541" s="36" t="s">
        <v>123</v>
      </c>
      <c r="M541" s="36" t="s">
        <v>96</v>
      </c>
      <c r="N541" s="36" t="s">
        <v>1582</v>
      </c>
      <c r="O541" s="101">
        <v>2012</v>
      </c>
      <c r="P541" s="81" t="s">
        <v>1660</v>
      </c>
      <c r="Q541" s="36"/>
      <c r="R541" s="36" t="s">
        <v>3599</v>
      </c>
      <c r="S541" s="36"/>
      <c r="T541" s="81" t="s">
        <v>3600</v>
      </c>
      <c r="U541" s="81" t="s">
        <v>3601</v>
      </c>
      <c r="V541" s="36" t="s">
        <v>3602</v>
      </c>
      <c r="W541" s="36"/>
      <c r="X541" s="36"/>
      <c r="Y541" s="36" t="s">
        <v>284</v>
      </c>
      <c r="Z541" s="81"/>
      <c r="AA541" s="54"/>
      <c r="AB541" s="81" t="s">
        <v>285</v>
      </c>
      <c r="AC541" s="81" t="s">
        <v>236</v>
      </c>
      <c r="AD541" s="36" t="s">
        <v>512</v>
      </c>
      <c r="AE541" s="81" t="s">
        <v>1650</v>
      </c>
      <c r="AF541" s="81" t="s">
        <v>65</v>
      </c>
      <c r="AG541" s="48">
        <v>41296</v>
      </c>
      <c r="AH541" s="134">
        <f t="shared" si="58"/>
        <v>1</v>
      </c>
      <c r="AI541" s="134"/>
      <c r="AJ541" s="48">
        <v>41355</v>
      </c>
      <c r="AK541" s="134">
        <f t="shared" si="55"/>
        <v>3</v>
      </c>
      <c r="AL541" s="54" t="s">
        <v>82</v>
      </c>
      <c r="AM541" s="138"/>
      <c r="AN541" s="138"/>
      <c r="AO541" s="190">
        <v>41496</v>
      </c>
      <c r="AP541" s="136">
        <f>IF((AO541=""),"",MONTH(AO541))</f>
        <v>8</v>
      </c>
      <c r="AQ541" s="123"/>
      <c r="AR541" s="23"/>
      <c r="AS541" s="54" t="s">
        <v>107</v>
      </c>
      <c r="AT541" s="136"/>
      <c r="AU541" s="70">
        <f t="shared" si="52"/>
        <v>3</v>
      </c>
      <c r="AV541" s="70" t="s">
        <v>68</v>
      </c>
    </row>
    <row r="542" spans="1:48" ht="19.5" hidden="1" customHeight="1" x14ac:dyDescent="0.2">
      <c r="A542" s="86">
        <v>20519</v>
      </c>
      <c r="B542" s="3" t="s">
        <v>982</v>
      </c>
      <c r="C542" s="3" t="s">
        <v>771</v>
      </c>
      <c r="D542" s="86"/>
      <c r="E542" s="36" t="s">
        <v>94</v>
      </c>
      <c r="F542" s="48">
        <v>32730</v>
      </c>
      <c r="G542" s="36" t="s">
        <v>412</v>
      </c>
      <c r="H542" s="81" t="s">
        <v>3603</v>
      </c>
      <c r="I542" s="36" t="s">
        <v>3604</v>
      </c>
      <c r="J542" s="48">
        <v>41125</v>
      </c>
      <c r="K542" s="36" t="s">
        <v>412</v>
      </c>
      <c r="L542" s="36" t="s">
        <v>123</v>
      </c>
      <c r="M542" s="36" t="s">
        <v>2360</v>
      </c>
      <c r="N542" s="36" t="s">
        <v>3605</v>
      </c>
      <c r="O542" s="101"/>
      <c r="P542" s="81" t="s">
        <v>3606</v>
      </c>
      <c r="Q542" s="36"/>
      <c r="R542" s="36" t="s">
        <v>3607</v>
      </c>
      <c r="S542" s="36"/>
      <c r="T542" s="81" t="s">
        <v>3603</v>
      </c>
      <c r="U542" s="81" t="s">
        <v>3608</v>
      </c>
      <c r="V542" s="36" t="s">
        <v>3609</v>
      </c>
      <c r="W542" s="36" t="s">
        <v>283</v>
      </c>
      <c r="X542" s="36"/>
      <c r="Y542" s="36" t="s">
        <v>616</v>
      </c>
      <c r="Z542" s="81"/>
      <c r="AA542" s="54"/>
      <c r="AB542" s="81" t="s">
        <v>285</v>
      </c>
      <c r="AC542" s="81" t="s">
        <v>236</v>
      </c>
      <c r="AD542" s="36" t="s">
        <v>207</v>
      </c>
      <c r="AE542" s="81" t="s">
        <v>585</v>
      </c>
      <c r="AF542" s="81" t="s">
        <v>65</v>
      </c>
      <c r="AG542" s="48">
        <v>41297</v>
      </c>
      <c r="AH542" s="134">
        <f t="shared" si="58"/>
        <v>1</v>
      </c>
      <c r="AI542" s="134"/>
      <c r="AJ542" s="48">
        <v>41356</v>
      </c>
      <c r="AK542" s="134">
        <f t="shared" si="55"/>
        <v>3</v>
      </c>
      <c r="AL542" s="54" t="s">
        <v>82</v>
      </c>
      <c r="AM542" s="138"/>
      <c r="AN542" s="138"/>
      <c r="AO542" s="190">
        <v>41421</v>
      </c>
      <c r="AP542" s="136">
        <f>IF((AO542=""),"",MONTH(AO542))</f>
        <v>5</v>
      </c>
      <c r="AQ542" s="123"/>
      <c r="AR542" s="23"/>
      <c r="AS542" s="54" t="s">
        <v>347</v>
      </c>
      <c r="AT542" s="136"/>
      <c r="AU542" s="70">
        <f t="shared" si="52"/>
        <v>8</v>
      </c>
      <c r="AV542" s="70" t="s">
        <v>68</v>
      </c>
    </row>
    <row r="543" spans="1:48" ht="19.5" hidden="1" customHeight="1" x14ac:dyDescent="0.2">
      <c r="A543" s="86">
        <v>20520</v>
      </c>
      <c r="B543" s="3" t="s">
        <v>3610</v>
      </c>
      <c r="C543" s="3" t="s">
        <v>3434</v>
      </c>
      <c r="D543" s="86"/>
      <c r="E543" s="36" t="s">
        <v>94</v>
      </c>
      <c r="F543" s="48">
        <v>31811</v>
      </c>
      <c r="G543" s="36" t="s">
        <v>397</v>
      </c>
      <c r="H543" s="81" t="s">
        <v>3611</v>
      </c>
      <c r="I543" s="36" t="s">
        <v>3612</v>
      </c>
      <c r="J543" s="48">
        <v>41242</v>
      </c>
      <c r="K543" s="36" t="s">
        <v>52</v>
      </c>
      <c r="L543" s="36" t="s">
        <v>123</v>
      </c>
      <c r="M543" s="36" t="s">
        <v>382</v>
      </c>
      <c r="N543" s="36" t="s">
        <v>458</v>
      </c>
      <c r="O543" s="101">
        <v>2010</v>
      </c>
      <c r="P543" s="81" t="s">
        <v>3613</v>
      </c>
      <c r="Q543" s="36"/>
      <c r="R543" s="36" t="s">
        <v>3614</v>
      </c>
      <c r="S543" s="36"/>
      <c r="T543" s="81" t="s">
        <v>3615</v>
      </c>
      <c r="U543" s="81" t="s">
        <v>3615</v>
      </c>
      <c r="V543" s="36" t="s">
        <v>3616</v>
      </c>
      <c r="W543" s="36" t="s">
        <v>283</v>
      </c>
      <c r="X543" s="36"/>
      <c r="Y543" s="36" t="s">
        <v>616</v>
      </c>
      <c r="Z543" s="81"/>
      <c r="AA543" s="54"/>
      <c r="AB543" s="81" t="s">
        <v>285</v>
      </c>
      <c r="AC543" s="81" t="s">
        <v>236</v>
      </c>
      <c r="AD543" s="36" t="s">
        <v>207</v>
      </c>
      <c r="AE543" s="81" t="s">
        <v>585</v>
      </c>
      <c r="AF543" s="81" t="s">
        <v>65</v>
      </c>
      <c r="AG543" s="48">
        <v>41297</v>
      </c>
      <c r="AH543" s="134">
        <f t="shared" si="58"/>
        <v>1</v>
      </c>
      <c r="AI543" s="134"/>
      <c r="AJ543" s="48">
        <v>41356</v>
      </c>
      <c r="AK543" s="134">
        <f t="shared" si="55"/>
        <v>3</v>
      </c>
      <c r="AL543" s="54" t="s">
        <v>82</v>
      </c>
      <c r="AM543" s="138"/>
      <c r="AN543" s="138"/>
      <c r="AO543" s="190"/>
      <c r="AP543" s="136"/>
      <c r="AQ543" s="123"/>
      <c r="AR543" s="23"/>
      <c r="AS543" s="54" t="s">
        <v>347</v>
      </c>
      <c r="AT543" s="136"/>
      <c r="AU543" s="70">
        <f t="shared" si="52"/>
        <v>2</v>
      </c>
      <c r="AV543" s="70" t="s">
        <v>68</v>
      </c>
    </row>
    <row r="544" spans="1:48" ht="19.5" hidden="1" customHeight="1" x14ac:dyDescent="0.2">
      <c r="A544" s="86">
        <v>20521</v>
      </c>
      <c r="B544" s="3" t="s">
        <v>2172</v>
      </c>
      <c r="C544" s="3" t="s">
        <v>2825</v>
      </c>
      <c r="D544" s="86"/>
      <c r="E544" s="36" t="s">
        <v>94</v>
      </c>
      <c r="F544" s="48">
        <v>32745</v>
      </c>
      <c r="G544" s="36" t="s">
        <v>52</v>
      </c>
      <c r="H544" s="81" t="s">
        <v>3617</v>
      </c>
      <c r="I544" s="36" t="s">
        <v>3618</v>
      </c>
      <c r="J544" s="48">
        <v>39384</v>
      </c>
      <c r="K544" s="36" t="s">
        <v>52</v>
      </c>
      <c r="L544" s="36" t="s">
        <v>123</v>
      </c>
      <c r="M544" s="36" t="s">
        <v>1048</v>
      </c>
      <c r="N544" s="36" t="s">
        <v>458</v>
      </c>
      <c r="O544" s="101">
        <v>2012</v>
      </c>
      <c r="P544" s="81" t="s">
        <v>3619</v>
      </c>
      <c r="Q544" s="36" t="s">
        <v>3620</v>
      </c>
      <c r="R544" s="36" t="s">
        <v>3621</v>
      </c>
      <c r="S544" s="36"/>
      <c r="T544" s="81" t="s">
        <v>3622</v>
      </c>
      <c r="U544" s="81" t="s">
        <v>3623</v>
      </c>
      <c r="V544" s="36" t="s">
        <v>3624</v>
      </c>
      <c r="W544" s="36" t="s">
        <v>283</v>
      </c>
      <c r="X544" s="36" t="s">
        <v>3625</v>
      </c>
      <c r="Y544" s="36" t="s">
        <v>3626</v>
      </c>
      <c r="Z544" s="81"/>
      <c r="AA544" s="54"/>
      <c r="AB544" s="81" t="s">
        <v>285</v>
      </c>
      <c r="AC544" s="81" t="s">
        <v>236</v>
      </c>
      <c r="AD544" s="36" t="s">
        <v>512</v>
      </c>
      <c r="AE544" s="81" t="s">
        <v>973</v>
      </c>
      <c r="AF544" s="81" t="s">
        <v>65</v>
      </c>
      <c r="AG544" s="48">
        <v>41297</v>
      </c>
      <c r="AH544" s="134">
        <f t="shared" si="58"/>
        <v>1</v>
      </c>
      <c r="AI544" s="134"/>
      <c r="AJ544" s="48">
        <v>41387</v>
      </c>
      <c r="AK544" s="134">
        <f t="shared" si="55"/>
        <v>4</v>
      </c>
      <c r="AL544" s="54" t="s">
        <v>82</v>
      </c>
      <c r="AM544" s="138"/>
      <c r="AN544" s="138"/>
      <c r="AO544" s="190"/>
      <c r="AP544" s="136" t="str">
        <f t="shared" ref="AP544:AP568" si="59">IF((AO544=""),"",MONTH(AO544))</f>
        <v/>
      </c>
      <c r="AQ544" s="123"/>
      <c r="AR544" s="23"/>
      <c r="AS544" s="54" t="s">
        <v>347</v>
      </c>
      <c r="AT544" s="136"/>
      <c r="AU544" s="70">
        <f t="shared" si="52"/>
        <v>8</v>
      </c>
      <c r="AV544" s="70" t="s">
        <v>68</v>
      </c>
    </row>
    <row r="545" spans="1:48" ht="19.5" hidden="1" customHeight="1" x14ac:dyDescent="0.2">
      <c r="A545" s="86">
        <v>20522</v>
      </c>
      <c r="B545" s="3" t="s">
        <v>3627</v>
      </c>
      <c r="C545" s="3" t="s">
        <v>3416</v>
      </c>
      <c r="D545" s="86"/>
      <c r="E545" s="36" t="s">
        <v>94</v>
      </c>
      <c r="F545" s="48">
        <v>32999</v>
      </c>
      <c r="G545" s="36" t="s">
        <v>2737</v>
      </c>
      <c r="H545" s="81" t="s">
        <v>1210</v>
      </c>
      <c r="I545" s="36" t="s">
        <v>3628</v>
      </c>
      <c r="J545" s="48">
        <v>38499</v>
      </c>
      <c r="K545" s="36" t="s">
        <v>3438</v>
      </c>
      <c r="L545" s="36" t="s">
        <v>123</v>
      </c>
      <c r="M545" s="36" t="s">
        <v>3629</v>
      </c>
      <c r="N545" s="36" t="s">
        <v>368</v>
      </c>
      <c r="O545" s="101"/>
      <c r="P545" s="81" t="s">
        <v>3630</v>
      </c>
      <c r="Q545" s="36"/>
      <c r="R545" s="36" t="s">
        <v>3631</v>
      </c>
      <c r="S545" s="36"/>
      <c r="T545" s="81" t="s">
        <v>3632</v>
      </c>
      <c r="U545" s="81" t="s">
        <v>3633</v>
      </c>
      <c r="V545" s="36"/>
      <c r="W545" s="36"/>
      <c r="X545" s="36"/>
      <c r="Y545" s="36" t="s">
        <v>616</v>
      </c>
      <c r="Z545" s="81"/>
      <c r="AA545" s="54"/>
      <c r="AB545" s="81" t="s">
        <v>285</v>
      </c>
      <c r="AC545" s="81" t="s">
        <v>236</v>
      </c>
      <c r="AD545" s="36" t="s">
        <v>866</v>
      </c>
      <c r="AE545" s="81" t="s">
        <v>867</v>
      </c>
      <c r="AF545" s="81" t="s">
        <v>231</v>
      </c>
      <c r="AG545" s="48">
        <v>41296</v>
      </c>
      <c r="AH545" s="134">
        <f t="shared" si="58"/>
        <v>1</v>
      </c>
      <c r="AI545" s="134"/>
      <c r="AJ545" s="48">
        <v>41355</v>
      </c>
      <c r="AK545" s="134">
        <f t="shared" si="55"/>
        <v>3</v>
      </c>
      <c r="AL545" s="54" t="s">
        <v>82</v>
      </c>
      <c r="AM545" s="138"/>
      <c r="AN545" s="138"/>
      <c r="AO545" s="190">
        <v>41518</v>
      </c>
      <c r="AP545" s="136">
        <f t="shared" si="59"/>
        <v>9</v>
      </c>
      <c r="AQ545" s="123"/>
      <c r="AR545" s="23"/>
      <c r="AS545" s="54" t="s">
        <v>347</v>
      </c>
      <c r="AT545" s="136"/>
      <c r="AU545" s="70">
        <f t="shared" si="52"/>
        <v>5</v>
      </c>
      <c r="AV545" s="70" t="s">
        <v>68</v>
      </c>
    </row>
    <row r="546" spans="1:48" ht="19.5" hidden="1" customHeight="1" x14ac:dyDescent="0.2">
      <c r="A546" s="86">
        <v>20523</v>
      </c>
      <c r="B546" s="3" t="s">
        <v>3634</v>
      </c>
      <c r="C546" s="3" t="s">
        <v>3635</v>
      </c>
      <c r="D546" s="86"/>
      <c r="E546" s="36" t="s">
        <v>94</v>
      </c>
      <c r="F546" s="48">
        <v>32316</v>
      </c>
      <c r="G546" s="36" t="s">
        <v>1614</v>
      </c>
      <c r="H546" s="81" t="s">
        <v>3636</v>
      </c>
      <c r="I546" s="36" t="s">
        <v>3637</v>
      </c>
      <c r="J546" s="48">
        <v>37515</v>
      </c>
      <c r="K546" s="36" t="s">
        <v>3638</v>
      </c>
      <c r="L546" s="36" t="s">
        <v>123</v>
      </c>
      <c r="M546" s="36" t="s">
        <v>3639</v>
      </c>
      <c r="N546" s="36" t="s">
        <v>2108</v>
      </c>
      <c r="O546" s="101">
        <v>2011</v>
      </c>
      <c r="P546" s="81" t="s">
        <v>3640</v>
      </c>
      <c r="Q546" s="36"/>
      <c r="R546" s="36" t="s">
        <v>3641</v>
      </c>
      <c r="S546" s="36" t="s">
        <v>3642</v>
      </c>
      <c r="T546" s="81" t="s">
        <v>3643</v>
      </c>
      <c r="U546" s="81" t="s">
        <v>3644</v>
      </c>
      <c r="V546" s="36" t="s">
        <v>3645</v>
      </c>
      <c r="W546" s="36" t="s">
        <v>3646</v>
      </c>
      <c r="X546" s="36" t="s">
        <v>3647</v>
      </c>
      <c r="Y546" s="36" t="s">
        <v>284</v>
      </c>
      <c r="Z546" s="81"/>
      <c r="AA546" s="54"/>
      <c r="AB546" s="81" t="s">
        <v>285</v>
      </c>
      <c r="AC546" s="81" t="s">
        <v>236</v>
      </c>
      <c r="AD546" s="36" t="s">
        <v>866</v>
      </c>
      <c r="AE546" s="81" t="s">
        <v>867</v>
      </c>
      <c r="AF546" s="81" t="s">
        <v>231</v>
      </c>
      <c r="AG546" s="48">
        <v>41290</v>
      </c>
      <c r="AH546" s="134">
        <f t="shared" si="58"/>
        <v>1</v>
      </c>
      <c r="AI546" s="134"/>
      <c r="AJ546" s="48">
        <v>41355</v>
      </c>
      <c r="AK546" s="134">
        <f t="shared" si="55"/>
        <v>3</v>
      </c>
      <c r="AL546" s="54" t="s">
        <v>82</v>
      </c>
      <c r="AM546" s="138"/>
      <c r="AN546" s="138"/>
      <c r="AO546" s="190">
        <v>41437</v>
      </c>
      <c r="AP546" s="136">
        <f t="shared" si="59"/>
        <v>6</v>
      </c>
      <c r="AQ546" s="123"/>
      <c r="AR546" s="23"/>
      <c r="AS546" s="54"/>
      <c r="AT546" s="136"/>
      <c r="AU546" s="70">
        <f t="shared" si="52"/>
        <v>6</v>
      </c>
      <c r="AV546" s="70" t="s">
        <v>68</v>
      </c>
    </row>
    <row r="547" spans="1:48" ht="19.5" hidden="1" customHeight="1" x14ac:dyDescent="0.2">
      <c r="A547" s="86">
        <v>20524</v>
      </c>
      <c r="B547" s="3" t="s">
        <v>377</v>
      </c>
      <c r="C547" s="3" t="s">
        <v>667</v>
      </c>
      <c r="D547" s="86"/>
      <c r="E547" s="36" t="s">
        <v>94</v>
      </c>
      <c r="F547" s="48">
        <v>29119</v>
      </c>
      <c r="G547" s="36" t="s">
        <v>750</v>
      </c>
      <c r="H547" s="81" t="s">
        <v>3648</v>
      </c>
      <c r="I547" s="36" t="s">
        <v>3649</v>
      </c>
      <c r="J547" s="48">
        <v>41123</v>
      </c>
      <c r="K547" s="36" t="s">
        <v>3650</v>
      </c>
      <c r="L547" s="36" t="s">
        <v>123</v>
      </c>
      <c r="M547" s="36" t="s">
        <v>1704</v>
      </c>
      <c r="N547" s="36" t="s">
        <v>3651</v>
      </c>
      <c r="O547" s="101">
        <v>2003</v>
      </c>
      <c r="P547" s="81" t="s">
        <v>3652</v>
      </c>
      <c r="Q547" s="36"/>
      <c r="R547" s="36" t="s">
        <v>3653</v>
      </c>
      <c r="S547" s="36" t="s">
        <v>3654</v>
      </c>
      <c r="T547" s="81" t="s">
        <v>3655</v>
      </c>
      <c r="U547" s="81" t="s">
        <v>3656</v>
      </c>
      <c r="V547" s="36" t="s">
        <v>3657</v>
      </c>
      <c r="W547" s="36" t="s">
        <v>3658</v>
      </c>
      <c r="X547" s="36" t="s">
        <v>3659</v>
      </c>
      <c r="Y547" s="36" t="s">
        <v>206</v>
      </c>
      <c r="Z547" s="81"/>
      <c r="AA547" s="54"/>
      <c r="AB547" s="81">
        <v>3</v>
      </c>
      <c r="AC547" s="81" t="s">
        <v>63</v>
      </c>
      <c r="AD547" s="36" t="s">
        <v>1183</v>
      </c>
      <c r="AE547" s="81" t="s">
        <v>1184</v>
      </c>
      <c r="AF547" s="81" t="s">
        <v>231</v>
      </c>
      <c r="AG547" s="48">
        <v>41296</v>
      </c>
      <c r="AH547" s="134">
        <f t="shared" si="58"/>
        <v>1</v>
      </c>
      <c r="AI547" s="134"/>
      <c r="AJ547" s="48">
        <v>41386</v>
      </c>
      <c r="AK547" s="134">
        <f t="shared" si="55"/>
        <v>4</v>
      </c>
      <c r="AL547" s="54" t="s">
        <v>82</v>
      </c>
      <c r="AM547" s="138"/>
      <c r="AN547" s="138"/>
      <c r="AO547" s="190">
        <v>41454</v>
      </c>
      <c r="AP547" s="136">
        <f t="shared" si="59"/>
        <v>6</v>
      </c>
      <c r="AQ547" s="123"/>
      <c r="AR547" s="23"/>
      <c r="AS547" s="54" t="s">
        <v>347</v>
      </c>
      <c r="AT547" s="136"/>
      <c r="AU547" s="70">
        <f t="shared" si="52"/>
        <v>9</v>
      </c>
      <c r="AV547" s="70" t="s">
        <v>68</v>
      </c>
    </row>
    <row r="548" spans="1:48" ht="19.5" hidden="1" customHeight="1" x14ac:dyDescent="0.2">
      <c r="A548" s="86">
        <v>20525</v>
      </c>
      <c r="B548" s="3" t="s">
        <v>596</v>
      </c>
      <c r="C548" s="3" t="s">
        <v>3660</v>
      </c>
      <c r="D548" s="86"/>
      <c r="E548" s="36" t="s">
        <v>94</v>
      </c>
      <c r="F548" s="48">
        <v>31756</v>
      </c>
      <c r="G548" s="36" t="s">
        <v>1103</v>
      </c>
      <c r="H548" s="81" t="s">
        <v>3250</v>
      </c>
      <c r="I548" s="36" t="s">
        <v>3661</v>
      </c>
      <c r="J548" s="48">
        <v>39510</v>
      </c>
      <c r="K548" s="36" t="s">
        <v>1195</v>
      </c>
      <c r="L548" s="36" t="s">
        <v>123</v>
      </c>
      <c r="M548" s="36" t="s">
        <v>3629</v>
      </c>
      <c r="N548" s="36" t="s">
        <v>368</v>
      </c>
      <c r="O548" s="101">
        <v>2010</v>
      </c>
      <c r="P548" s="81" t="s">
        <v>3662</v>
      </c>
      <c r="Q548" s="36"/>
      <c r="R548" s="36" t="s">
        <v>3663</v>
      </c>
      <c r="S548" s="36" t="s">
        <v>3664</v>
      </c>
      <c r="T548" s="81" t="s">
        <v>3665</v>
      </c>
      <c r="U548" s="81" t="s">
        <v>3666</v>
      </c>
      <c r="V548" s="36" t="s">
        <v>199</v>
      </c>
      <c r="W548" s="36" t="s">
        <v>745</v>
      </c>
      <c r="X548" s="36" t="s">
        <v>3667</v>
      </c>
      <c r="Y548" s="36" t="s">
        <v>284</v>
      </c>
      <c r="Z548" s="81"/>
      <c r="AA548" s="54"/>
      <c r="AB548" s="81" t="s">
        <v>285</v>
      </c>
      <c r="AC548" s="81" t="s">
        <v>236</v>
      </c>
      <c r="AD548" s="36" t="s">
        <v>1145</v>
      </c>
      <c r="AE548" s="81" t="s">
        <v>1938</v>
      </c>
      <c r="AF548" s="81" t="s">
        <v>231</v>
      </c>
      <c r="AG548" s="48">
        <v>41296</v>
      </c>
      <c r="AH548" s="134">
        <f t="shared" si="58"/>
        <v>1</v>
      </c>
      <c r="AI548" s="134"/>
      <c r="AJ548" s="48"/>
      <c r="AK548" s="134" t="str">
        <f t="shared" si="55"/>
        <v/>
      </c>
      <c r="AL548" s="94" t="s">
        <v>82</v>
      </c>
      <c r="AM548" s="78"/>
      <c r="AN548" s="78"/>
      <c r="AO548" s="190">
        <v>41358</v>
      </c>
      <c r="AP548" s="136">
        <f t="shared" si="59"/>
        <v>3</v>
      </c>
      <c r="AQ548" s="127"/>
      <c r="AR548" s="23"/>
      <c r="AS548" s="94"/>
      <c r="AT548" s="136"/>
      <c r="AU548" s="70">
        <f t="shared" si="52"/>
        <v>12</v>
      </c>
      <c r="AV548" s="70" t="s">
        <v>68</v>
      </c>
    </row>
    <row r="549" spans="1:48" ht="19.5" hidden="1" customHeight="1" x14ac:dyDescent="0.2">
      <c r="A549" s="87">
        <v>20526</v>
      </c>
      <c r="B549" s="80" t="s">
        <v>777</v>
      </c>
      <c r="C549" s="80" t="s">
        <v>3668</v>
      </c>
      <c r="D549" s="87"/>
      <c r="E549" s="123" t="s">
        <v>94</v>
      </c>
      <c r="F549" s="140">
        <v>31368</v>
      </c>
      <c r="G549" s="123" t="s">
        <v>52</v>
      </c>
      <c r="H549" s="54" t="s">
        <v>3669</v>
      </c>
      <c r="I549" s="123" t="s">
        <v>3670</v>
      </c>
      <c r="J549" s="140">
        <v>40504</v>
      </c>
      <c r="K549" s="123" t="s">
        <v>52</v>
      </c>
      <c r="L549" s="123" t="s">
        <v>123</v>
      </c>
      <c r="M549" s="123" t="s">
        <v>3671</v>
      </c>
      <c r="N549" s="123" t="s">
        <v>3672</v>
      </c>
      <c r="O549" s="106">
        <v>2010</v>
      </c>
      <c r="P549" s="54" t="s">
        <v>3673</v>
      </c>
      <c r="Q549" s="123"/>
      <c r="R549" s="123" t="s">
        <v>3674</v>
      </c>
      <c r="S549" s="123"/>
      <c r="T549" s="54" t="s">
        <v>3675</v>
      </c>
      <c r="U549" s="54" t="s">
        <v>3675</v>
      </c>
      <c r="V549" s="123"/>
      <c r="W549" s="123"/>
      <c r="X549" s="123"/>
      <c r="Y549" s="123" t="s">
        <v>312</v>
      </c>
      <c r="Z549" s="54"/>
      <c r="AA549" s="54"/>
      <c r="AB549" s="54" t="s">
        <v>285</v>
      </c>
      <c r="AC549" s="54" t="s">
        <v>236</v>
      </c>
      <c r="AD549" s="123" t="s">
        <v>1067</v>
      </c>
      <c r="AE549" s="54" t="s">
        <v>1068</v>
      </c>
      <c r="AF549" s="54" t="s">
        <v>65</v>
      </c>
      <c r="AG549" s="140">
        <v>41305</v>
      </c>
      <c r="AH549" s="65">
        <f t="shared" si="58"/>
        <v>1</v>
      </c>
      <c r="AI549" s="65"/>
      <c r="AJ549" s="140">
        <v>41334</v>
      </c>
      <c r="AK549" s="65">
        <f t="shared" si="55"/>
        <v>3</v>
      </c>
      <c r="AL549" s="54" t="s">
        <v>66</v>
      </c>
      <c r="AM549" s="138"/>
      <c r="AN549" s="138"/>
      <c r="AO549" s="190"/>
      <c r="AP549" s="136" t="str">
        <f t="shared" si="59"/>
        <v/>
      </c>
      <c r="AQ549" s="123"/>
      <c r="AR549" s="23"/>
      <c r="AS549" s="54" t="s">
        <v>107</v>
      </c>
      <c r="AT549" s="136"/>
      <c r="AU549" s="70">
        <f t="shared" si="52"/>
        <v>11</v>
      </c>
      <c r="AV549" s="70" t="s">
        <v>68</v>
      </c>
    </row>
    <row r="550" spans="1:48" ht="20.25" hidden="1" customHeight="1" x14ac:dyDescent="0.2">
      <c r="A550" s="86">
        <v>20527</v>
      </c>
      <c r="B550" s="3" t="s">
        <v>3676</v>
      </c>
      <c r="C550" s="3" t="s">
        <v>1102</v>
      </c>
      <c r="D550" s="86"/>
      <c r="E550" s="36" t="s">
        <v>94</v>
      </c>
      <c r="F550" s="48">
        <v>32689</v>
      </c>
      <c r="G550" s="36" t="s">
        <v>3677</v>
      </c>
      <c r="H550" s="81" t="s">
        <v>3678</v>
      </c>
      <c r="I550" s="36" t="s">
        <v>3679</v>
      </c>
      <c r="J550" s="48">
        <v>38509</v>
      </c>
      <c r="K550" s="36" t="s">
        <v>3677</v>
      </c>
      <c r="L550" s="36" t="s">
        <v>123</v>
      </c>
      <c r="M550" s="36" t="s">
        <v>3680</v>
      </c>
      <c r="N550" s="36" t="s">
        <v>1196</v>
      </c>
      <c r="O550" s="101">
        <v>2012</v>
      </c>
      <c r="P550" s="81" t="s">
        <v>3681</v>
      </c>
      <c r="Q550" s="36"/>
      <c r="R550" s="36" t="s">
        <v>3682</v>
      </c>
      <c r="S550" s="36" t="s">
        <v>3683</v>
      </c>
      <c r="T550" s="81" t="s">
        <v>3684</v>
      </c>
      <c r="U550" s="81" t="s">
        <v>3685</v>
      </c>
      <c r="V550" s="36" t="s">
        <v>3686</v>
      </c>
      <c r="W550" s="36" t="s">
        <v>3658</v>
      </c>
      <c r="X550" s="36" t="s">
        <v>3687</v>
      </c>
      <c r="Y550" s="36" t="s">
        <v>616</v>
      </c>
      <c r="Z550" s="81"/>
      <c r="AA550" s="54"/>
      <c r="AB550" s="81" t="s">
        <v>285</v>
      </c>
      <c r="AC550" s="81" t="s">
        <v>236</v>
      </c>
      <c r="AD550" s="36" t="s">
        <v>866</v>
      </c>
      <c r="AE550" s="81" t="s">
        <v>867</v>
      </c>
      <c r="AF550" s="81" t="s">
        <v>231</v>
      </c>
      <c r="AG550" s="48">
        <v>41306</v>
      </c>
      <c r="AH550" s="134">
        <f t="shared" si="58"/>
        <v>2</v>
      </c>
      <c r="AI550" s="134"/>
      <c r="AJ550" s="48">
        <v>41365</v>
      </c>
      <c r="AK550" s="134">
        <f t="shared" si="55"/>
        <v>4</v>
      </c>
      <c r="AL550" s="54" t="s">
        <v>82</v>
      </c>
      <c r="AM550" s="138"/>
      <c r="AN550" s="138"/>
      <c r="AO550" s="190">
        <v>41564</v>
      </c>
      <c r="AP550" s="136">
        <f t="shared" si="59"/>
        <v>10</v>
      </c>
      <c r="AQ550" s="123"/>
      <c r="AR550" s="23"/>
      <c r="AS550" s="54" t="s">
        <v>347</v>
      </c>
      <c r="AT550" s="136"/>
      <c r="AU550" s="70">
        <f t="shared" si="52"/>
        <v>6</v>
      </c>
      <c r="AV550" s="70" t="s">
        <v>68</v>
      </c>
    </row>
    <row r="551" spans="1:48" ht="25.5" hidden="1" x14ac:dyDescent="0.2">
      <c r="A551" s="86">
        <v>20528</v>
      </c>
      <c r="B551" s="3" t="s">
        <v>691</v>
      </c>
      <c r="C551" s="3" t="s">
        <v>2055</v>
      </c>
      <c r="D551" s="86"/>
      <c r="E551" s="36" t="s">
        <v>94</v>
      </c>
      <c r="F551" s="48">
        <v>32168</v>
      </c>
      <c r="G551" s="36" t="s">
        <v>1829</v>
      </c>
      <c r="H551" s="81" t="s">
        <v>3688</v>
      </c>
      <c r="I551" s="36" t="s">
        <v>3689</v>
      </c>
      <c r="J551" s="48">
        <v>38236</v>
      </c>
      <c r="K551" s="36" t="s">
        <v>3690</v>
      </c>
      <c r="L551" s="36" t="s">
        <v>341</v>
      </c>
      <c r="M551" s="36" t="s">
        <v>3691</v>
      </c>
      <c r="N551" s="36" t="s">
        <v>1815</v>
      </c>
      <c r="O551" s="101">
        <v>2010</v>
      </c>
      <c r="P551" s="81" t="s">
        <v>3692</v>
      </c>
      <c r="Q551" s="36"/>
      <c r="R551" s="36" t="s">
        <v>3693</v>
      </c>
      <c r="S551" s="36" t="s">
        <v>3694</v>
      </c>
      <c r="T551" s="81" t="s">
        <v>3695</v>
      </c>
      <c r="U551" s="81" t="s">
        <v>3696</v>
      </c>
      <c r="V551" s="36" t="s">
        <v>3697</v>
      </c>
      <c r="W551" s="36" t="s">
        <v>3658</v>
      </c>
      <c r="X551" s="36" t="s">
        <v>3698</v>
      </c>
      <c r="Y551" s="36" t="s">
        <v>616</v>
      </c>
      <c r="Z551" s="81"/>
      <c r="AA551" s="54"/>
      <c r="AB551" s="81" t="s">
        <v>285</v>
      </c>
      <c r="AC551" s="81" t="s">
        <v>236</v>
      </c>
      <c r="AD551" s="36" t="s">
        <v>866</v>
      </c>
      <c r="AE551" s="81" t="s">
        <v>867</v>
      </c>
      <c r="AF551" s="81" t="s">
        <v>231</v>
      </c>
      <c r="AG551" s="48">
        <v>41306</v>
      </c>
      <c r="AH551" s="134">
        <f t="shared" si="58"/>
        <v>2</v>
      </c>
      <c r="AI551" s="134"/>
      <c r="AJ551" s="48">
        <v>41365</v>
      </c>
      <c r="AK551" s="134">
        <f t="shared" si="55"/>
        <v>4</v>
      </c>
      <c r="AL551" s="54" t="s">
        <v>82</v>
      </c>
      <c r="AM551" s="138"/>
      <c r="AN551" s="138"/>
      <c r="AO551" s="190">
        <v>41503</v>
      </c>
      <c r="AP551" s="136">
        <f t="shared" si="59"/>
        <v>8</v>
      </c>
      <c r="AQ551" s="123"/>
      <c r="AR551" s="23"/>
      <c r="AS551" s="54" t="s">
        <v>347</v>
      </c>
      <c r="AT551" s="136"/>
      <c r="AU551" s="70">
        <f t="shared" si="52"/>
        <v>1</v>
      </c>
      <c r="AV551" s="70" t="s">
        <v>68</v>
      </c>
    </row>
    <row r="552" spans="1:48" ht="38.25" hidden="1" x14ac:dyDescent="0.2">
      <c r="A552" s="87">
        <v>20529</v>
      </c>
      <c r="B552" s="80" t="s">
        <v>3699</v>
      </c>
      <c r="C552" s="80" t="s">
        <v>667</v>
      </c>
      <c r="D552" s="87"/>
      <c r="E552" s="123" t="s">
        <v>94</v>
      </c>
      <c r="F552" s="140">
        <v>33395</v>
      </c>
      <c r="G552" s="123" t="s">
        <v>1614</v>
      </c>
      <c r="H552" s="54" t="s">
        <v>3700</v>
      </c>
      <c r="I552" s="123" t="s">
        <v>3701</v>
      </c>
      <c r="J552" s="140">
        <v>38862</v>
      </c>
      <c r="K552" s="123" t="s">
        <v>1614</v>
      </c>
      <c r="L552" s="123" t="s">
        <v>341</v>
      </c>
      <c r="M552" s="123" t="s">
        <v>3702</v>
      </c>
      <c r="N552" s="123" t="s">
        <v>2590</v>
      </c>
      <c r="O552" s="106">
        <v>2012</v>
      </c>
      <c r="P552" s="54" t="s">
        <v>3703</v>
      </c>
      <c r="Q552" s="123"/>
      <c r="R552" s="123" t="s">
        <v>3704</v>
      </c>
      <c r="S552" s="123" t="s">
        <v>3705</v>
      </c>
      <c r="T552" s="54" t="s">
        <v>3706</v>
      </c>
      <c r="U552" s="54" t="s">
        <v>3707</v>
      </c>
      <c r="V552" s="123" t="s">
        <v>3708</v>
      </c>
      <c r="W552" s="123" t="s">
        <v>160</v>
      </c>
      <c r="X552" s="123" t="s">
        <v>3709</v>
      </c>
      <c r="Y552" s="123" t="s">
        <v>865</v>
      </c>
      <c r="Z552" s="54"/>
      <c r="AA552" s="54"/>
      <c r="AB552" s="54" t="s">
        <v>285</v>
      </c>
      <c r="AC552" s="54" t="s">
        <v>236</v>
      </c>
      <c r="AD552" s="123" t="s">
        <v>866</v>
      </c>
      <c r="AE552" s="54" t="s">
        <v>867</v>
      </c>
      <c r="AF552" s="54" t="s">
        <v>231</v>
      </c>
      <c r="AG552" s="140">
        <v>41306</v>
      </c>
      <c r="AH552" s="65">
        <f t="shared" si="58"/>
        <v>2</v>
      </c>
      <c r="AI552" s="65"/>
      <c r="AJ552" s="140">
        <v>41365</v>
      </c>
      <c r="AK552" s="65">
        <f t="shared" si="55"/>
        <v>4</v>
      </c>
      <c r="AL552" s="54" t="s">
        <v>66</v>
      </c>
      <c r="AM552" s="138"/>
      <c r="AN552" s="138"/>
      <c r="AO552" s="190"/>
      <c r="AP552" s="136" t="str">
        <f t="shared" si="59"/>
        <v/>
      </c>
      <c r="AQ552" s="123"/>
      <c r="AR552" s="23"/>
      <c r="AS552" s="54" t="s">
        <v>347</v>
      </c>
      <c r="AT552" s="136"/>
      <c r="AU552" s="70">
        <f t="shared" si="52"/>
        <v>6</v>
      </c>
      <c r="AV552" s="70" t="s">
        <v>68</v>
      </c>
    </row>
    <row r="553" spans="1:48" ht="38.25" hidden="1" x14ac:dyDescent="0.2">
      <c r="A553" s="86">
        <v>20530</v>
      </c>
      <c r="B553" s="3" t="s">
        <v>3710</v>
      </c>
      <c r="C553" s="3" t="s">
        <v>3711</v>
      </c>
      <c r="D553" s="86"/>
      <c r="E553" s="36" t="s">
        <v>94</v>
      </c>
      <c r="F553" s="48">
        <v>32470</v>
      </c>
      <c r="G553" s="36" t="s">
        <v>1195</v>
      </c>
      <c r="H553" s="81" t="s">
        <v>3712</v>
      </c>
      <c r="I553" s="36" t="s">
        <v>3713</v>
      </c>
      <c r="J553" s="48">
        <v>38314</v>
      </c>
      <c r="K553" s="36" t="s">
        <v>1195</v>
      </c>
      <c r="L553" s="36" t="s">
        <v>123</v>
      </c>
      <c r="M553" s="36" t="s">
        <v>2619</v>
      </c>
      <c r="N553" s="36" t="s">
        <v>2620</v>
      </c>
      <c r="O553" s="101">
        <v>2010</v>
      </c>
      <c r="P553" s="81" t="s">
        <v>3714</v>
      </c>
      <c r="Q553" s="36" t="s">
        <v>3715</v>
      </c>
      <c r="R553" s="36" t="s">
        <v>3716</v>
      </c>
      <c r="S553" s="36" t="s">
        <v>3717</v>
      </c>
      <c r="T553" s="81" t="s">
        <v>3718</v>
      </c>
      <c r="U553" s="81" t="s">
        <v>3718</v>
      </c>
      <c r="V553" s="36" t="s">
        <v>3719</v>
      </c>
      <c r="W553" s="36" t="s">
        <v>2989</v>
      </c>
      <c r="X553" s="36" t="s">
        <v>3720</v>
      </c>
      <c r="Y553" s="36" t="s">
        <v>284</v>
      </c>
      <c r="Z553" s="81"/>
      <c r="AA553" s="54"/>
      <c r="AB553" s="81" t="s">
        <v>285</v>
      </c>
      <c r="AC553" s="81" t="s">
        <v>236</v>
      </c>
      <c r="AD553" s="36" t="s">
        <v>866</v>
      </c>
      <c r="AE553" s="81" t="s">
        <v>867</v>
      </c>
      <c r="AF553" s="81" t="s">
        <v>231</v>
      </c>
      <c r="AG553" s="48">
        <v>41306</v>
      </c>
      <c r="AH553" s="134">
        <f t="shared" si="58"/>
        <v>2</v>
      </c>
      <c r="AI553" s="134"/>
      <c r="AJ553" s="48">
        <v>41365</v>
      </c>
      <c r="AK553" s="134">
        <f t="shared" si="55"/>
        <v>4</v>
      </c>
      <c r="AL553" s="54" t="s">
        <v>82</v>
      </c>
      <c r="AM553" s="138"/>
      <c r="AN553" s="138"/>
      <c r="AO553" s="190">
        <v>41456</v>
      </c>
      <c r="AP553" s="136">
        <f t="shared" si="59"/>
        <v>7</v>
      </c>
      <c r="AQ553" s="123"/>
      <c r="AR553" s="23"/>
      <c r="AS553" s="54" t="s">
        <v>347</v>
      </c>
      <c r="AT553" s="136"/>
      <c r="AU553" s="70">
        <f t="shared" si="52"/>
        <v>11</v>
      </c>
      <c r="AV553" s="70" t="s">
        <v>68</v>
      </c>
    </row>
    <row r="554" spans="1:48" ht="76.5" hidden="1" x14ac:dyDescent="0.2">
      <c r="A554" s="86">
        <v>20531</v>
      </c>
      <c r="B554" s="3" t="s">
        <v>3721</v>
      </c>
      <c r="C554" s="3" t="s">
        <v>1472</v>
      </c>
      <c r="D554" s="86"/>
      <c r="E554" s="36" t="s">
        <v>51</v>
      </c>
      <c r="F554" s="48">
        <v>32459</v>
      </c>
      <c r="G554" s="36" t="s">
        <v>1195</v>
      </c>
      <c r="H554" s="81" t="s">
        <v>3722</v>
      </c>
      <c r="I554" s="36" t="s">
        <v>3723</v>
      </c>
      <c r="J554" s="48">
        <v>37677</v>
      </c>
      <c r="K554" s="36" t="s">
        <v>1195</v>
      </c>
      <c r="L554" s="36" t="s">
        <v>123</v>
      </c>
      <c r="M554" s="36" t="s">
        <v>3724</v>
      </c>
      <c r="N554" s="36" t="s">
        <v>2094</v>
      </c>
      <c r="O554" s="101">
        <v>2010</v>
      </c>
      <c r="P554" s="81" t="s">
        <v>3725</v>
      </c>
      <c r="Q554" s="36"/>
      <c r="R554" s="36" t="s">
        <v>3726</v>
      </c>
      <c r="S554" s="36" t="s">
        <v>3727</v>
      </c>
      <c r="T554" s="81" t="s">
        <v>3722</v>
      </c>
      <c r="U554" s="81" t="s">
        <v>3722</v>
      </c>
      <c r="V554" s="36" t="s">
        <v>3728</v>
      </c>
      <c r="W554" s="36" t="s">
        <v>745</v>
      </c>
      <c r="X554" s="36" t="s">
        <v>3729</v>
      </c>
      <c r="Y554" s="36" t="s">
        <v>374</v>
      </c>
      <c r="Z554" s="81"/>
      <c r="AA554" s="54"/>
      <c r="AB554" s="81">
        <v>3</v>
      </c>
      <c r="AC554" s="81" t="s">
        <v>63</v>
      </c>
      <c r="AD554" s="36" t="s">
        <v>1145</v>
      </c>
      <c r="AE554" s="81" t="s">
        <v>3730</v>
      </c>
      <c r="AF554" s="81" t="s">
        <v>231</v>
      </c>
      <c r="AG554" s="48">
        <v>41323</v>
      </c>
      <c r="AH554" s="134">
        <f t="shared" si="58"/>
        <v>2</v>
      </c>
      <c r="AI554" s="134"/>
      <c r="AJ554" s="48">
        <v>41382</v>
      </c>
      <c r="AK554" s="134">
        <f t="shared" si="55"/>
        <v>4</v>
      </c>
      <c r="AL554" s="54" t="s">
        <v>82</v>
      </c>
      <c r="AM554" s="138"/>
      <c r="AN554" s="138"/>
      <c r="AO554" s="190">
        <v>41487</v>
      </c>
      <c r="AP554" s="136">
        <f t="shared" si="59"/>
        <v>8</v>
      </c>
      <c r="AQ554" s="123"/>
      <c r="AR554" s="23"/>
      <c r="AS554" s="54" t="s">
        <v>107</v>
      </c>
      <c r="AT554" s="136"/>
      <c r="AU554" s="70">
        <f t="shared" si="52"/>
        <v>11</v>
      </c>
      <c r="AV554" s="70" t="s">
        <v>68</v>
      </c>
    </row>
    <row r="555" spans="1:48" ht="51" hidden="1" x14ac:dyDescent="0.2">
      <c r="A555" s="86">
        <v>20532</v>
      </c>
      <c r="B555" s="3" t="s">
        <v>3216</v>
      </c>
      <c r="C555" s="3" t="s">
        <v>256</v>
      </c>
      <c r="D555" s="86"/>
      <c r="E555" s="36" t="s">
        <v>94</v>
      </c>
      <c r="F555" s="48">
        <v>32750</v>
      </c>
      <c r="G555" s="36" t="s">
        <v>3731</v>
      </c>
      <c r="H555" s="81" t="s">
        <v>3732</v>
      </c>
      <c r="I555" s="36" t="s">
        <v>3733</v>
      </c>
      <c r="J555" s="48">
        <v>38511</v>
      </c>
      <c r="K555" s="36" t="s">
        <v>379</v>
      </c>
      <c r="L555" s="36" t="s">
        <v>123</v>
      </c>
      <c r="M555" s="36" t="s">
        <v>1919</v>
      </c>
      <c r="N555" s="36" t="s">
        <v>368</v>
      </c>
      <c r="O555" s="101">
        <v>2011</v>
      </c>
      <c r="P555" s="81" t="s">
        <v>3734</v>
      </c>
      <c r="Q555" s="36"/>
      <c r="R555" s="36" t="s">
        <v>3735</v>
      </c>
      <c r="S555" s="36" t="s">
        <v>3736</v>
      </c>
      <c r="T555" s="81" t="s">
        <v>3737</v>
      </c>
      <c r="U555" s="81" t="s">
        <v>3738</v>
      </c>
      <c r="V555" s="36" t="s">
        <v>3739</v>
      </c>
      <c r="W555" s="36" t="s">
        <v>745</v>
      </c>
      <c r="X555" s="36"/>
      <c r="Y555" s="36" t="s">
        <v>284</v>
      </c>
      <c r="Z555" s="81"/>
      <c r="AA555" s="54"/>
      <c r="AB555" s="81" t="s">
        <v>285</v>
      </c>
      <c r="AC555" s="81" t="s">
        <v>236</v>
      </c>
      <c r="AD555" s="36" t="s">
        <v>207</v>
      </c>
      <c r="AE555" s="81" t="s">
        <v>1128</v>
      </c>
      <c r="AF555" s="81" t="s">
        <v>65</v>
      </c>
      <c r="AG555" s="48">
        <v>41324</v>
      </c>
      <c r="AH555" s="134">
        <f t="shared" si="58"/>
        <v>2</v>
      </c>
      <c r="AI555" s="134"/>
      <c r="AJ555" s="48"/>
      <c r="AK555" s="134" t="str">
        <f t="shared" si="55"/>
        <v/>
      </c>
      <c r="AL555" s="94" t="s">
        <v>82</v>
      </c>
      <c r="AM555" s="78"/>
      <c r="AN555" s="78"/>
      <c r="AO555" s="190">
        <v>41386</v>
      </c>
      <c r="AP555" s="136">
        <f t="shared" si="59"/>
        <v>4</v>
      </c>
      <c r="AQ555" s="127"/>
      <c r="AR555" s="23"/>
      <c r="AS555" s="54" t="s">
        <v>347</v>
      </c>
      <c r="AT555" s="136"/>
      <c r="AU555" s="70">
        <f t="shared" si="52"/>
        <v>8</v>
      </c>
      <c r="AV555" s="70" t="s">
        <v>68</v>
      </c>
    </row>
    <row r="556" spans="1:48" ht="25.5" hidden="1" x14ac:dyDescent="0.2">
      <c r="A556" s="87">
        <v>20533</v>
      </c>
      <c r="B556" s="80" t="s">
        <v>1950</v>
      </c>
      <c r="C556" s="80" t="s">
        <v>685</v>
      </c>
      <c r="D556" s="87"/>
      <c r="E556" s="123" t="s">
        <v>94</v>
      </c>
      <c r="F556" s="140">
        <v>32517</v>
      </c>
      <c r="G556" s="123" t="s">
        <v>52</v>
      </c>
      <c r="H556" s="54" t="s">
        <v>3740</v>
      </c>
      <c r="I556" s="123" t="s">
        <v>3741</v>
      </c>
      <c r="J556" s="140">
        <v>38770</v>
      </c>
      <c r="K556" s="123" t="s">
        <v>52</v>
      </c>
      <c r="L556" s="123" t="s">
        <v>123</v>
      </c>
      <c r="M556" s="123" t="s">
        <v>1295</v>
      </c>
      <c r="N556" s="123" t="s">
        <v>368</v>
      </c>
      <c r="O556" s="106">
        <v>2012</v>
      </c>
      <c r="P556" s="54" t="s">
        <v>3742</v>
      </c>
      <c r="Q556" s="123"/>
      <c r="R556" s="123" t="s">
        <v>3743</v>
      </c>
      <c r="S556" s="123"/>
      <c r="T556" s="54" t="s">
        <v>3744</v>
      </c>
      <c r="U556" s="54" t="s">
        <v>3744</v>
      </c>
      <c r="V556" s="123"/>
      <c r="W556" s="123"/>
      <c r="X556" s="123"/>
      <c r="Y556" s="123" t="s">
        <v>312</v>
      </c>
      <c r="Z556" s="54"/>
      <c r="AA556" s="54"/>
      <c r="AB556" s="54" t="s">
        <v>285</v>
      </c>
      <c r="AC556" s="54" t="s">
        <v>236</v>
      </c>
      <c r="AD556" s="123" t="s">
        <v>207</v>
      </c>
      <c r="AE556" s="54" t="s">
        <v>1128</v>
      </c>
      <c r="AF556" s="54" t="s">
        <v>65</v>
      </c>
      <c r="AG556" s="140">
        <v>41323</v>
      </c>
      <c r="AH556" s="65">
        <f t="shared" si="58"/>
        <v>2</v>
      </c>
      <c r="AI556" s="65"/>
      <c r="AJ556" s="140">
        <v>41383</v>
      </c>
      <c r="AK556" s="65">
        <f t="shared" si="55"/>
        <v>4</v>
      </c>
      <c r="AL556" s="54" t="s">
        <v>66</v>
      </c>
      <c r="AM556" s="138"/>
      <c r="AN556" s="138"/>
      <c r="AO556" s="190"/>
      <c r="AP556" s="65" t="str">
        <f t="shared" si="59"/>
        <v/>
      </c>
      <c r="AQ556" s="123"/>
      <c r="AR556" s="23"/>
      <c r="AS556" s="54" t="s">
        <v>347</v>
      </c>
      <c r="AT556" s="136"/>
      <c r="AU556" s="70">
        <f t="shared" si="52"/>
        <v>1</v>
      </c>
      <c r="AV556" s="70" t="s">
        <v>68</v>
      </c>
    </row>
    <row r="557" spans="1:48" ht="38.25" x14ac:dyDescent="0.2">
      <c r="A557" s="87">
        <v>20534</v>
      </c>
      <c r="B557" s="80" t="s">
        <v>3745</v>
      </c>
      <c r="C557" s="80" t="s">
        <v>3434</v>
      </c>
      <c r="D557" s="87"/>
      <c r="E557" s="123" t="s">
        <v>94</v>
      </c>
      <c r="F557" s="140">
        <v>32388</v>
      </c>
      <c r="G557" s="123" t="s">
        <v>1186</v>
      </c>
      <c r="H557" s="54" t="s">
        <v>3746</v>
      </c>
      <c r="I557" s="123" t="s">
        <v>3747</v>
      </c>
      <c r="J557" s="140">
        <v>38469</v>
      </c>
      <c r="K557" s="123" t="s">
        <v>1186</v>
      </c>
      <c r="L557" s="123" t="s">
        <v>123</v>
      </c>
      <c r="M557" s="123" t="s">
        <v>3748</v>
      </c>
      <c r="N557" s="123" t="s">
        <v>3139</v>
      </c>
      <c r="O557" s="106">
        <v>2012</v>
      </c>
      <c r="P557" s="54" t="str">
        <f>HYPERLINK("mailto:thomnth2@topica.edu.vn","thomnth2@topica.edu.vn")</f>
        <v>thomnth2@topica.edu.vn</v>
      </c>
      <c r="Q557" s="123"/>
      <c r="R557" s="123" t="s">
        <v>3749</v>
      </c>
      <c r="S557" s="123" t="str">
        <f>HYPERLINK("mailto:ntht.thom@gmail.com","ntht.thom@gmail.com")</f>
        <v>ntht.thom@gmail.com</v>
      </c>
      <c r="T557" s="54" t="s">
        <v>3746</v>
      </c>
      <c r="U557" s="54" t="s">
        <v>3750</v>
      </c>
      <c r="V557" s="123" t="s">
        <v>3751</v>
      </c>
      <c r="W557" s="123" t="s">
        <v>283</v>
      </c>
      <c r="X557" s="123" t="s">
        <v>3752</v>
      </c>
      <c r="Y557" s="123" t="s">
        <v>972</v>
      </c>
      <c r="Z557" s="54"/>
      <c r="AA557" s="54"/>
      <c r="AB557" s="54" t="s">
        <v>285</v>
      </c>
      <c r="AC557" s="54" t="s">
        <v>236</v>
      </c>
      <c r="AD557" s="123" t="s">
        <v>512</v>
      </c>
      <c r="AE557" s="54" t="s">
        <v>973</v>
      </c>
      <c r="AF557" s="54" t="s">
        <v>65</v>
      </c>
      <c r="AG557" s="140">
        <v>41344</v>
      </c>
      <c r="AH557" s="65">
        <f t="shared" si="58"/>
        <v>3</v>
      </c>
      <c r="AI557" s="65"/>
      <c r="AJ557" s="140">
        <v>41405</v>
      </c>
      <c r="AK557" s="65">
        <f t="shared" si="55"/>
        <v>5</v>
      </c>
      <c r="AL557" s="54" t="s">
        <v>66</v>
      </c>
      <c r="AM557" s="138"/>
      <c r="AN557" s="138"/>
      <c r="AO557" s="190"/>
      <c r="AP557" s="65" t="str">
        <f t="shared" si="59"/>
        <v/>
      </c>
      <c r="AQ557" s="123"/>
      <c r="AR557" s="23"/>
      <c r="AS557" s="54" t="s">
        <v>347</v>
      </c>
      <c r="AT557" s="136"/>
      <c r="AU557" s="70">
        <f t="shared" si="52"/>
        <v>9</v>
      </c>
      <c r="AV557" s="70" t="s">
        <v>68</v>
      </c>
    </row>
    <row r="558" spans="1:48" ht="38.25" hidden="1" x14ac:dyDescent="0.2">
      <c r="A558" s="87">
        <v>20535</v>
      </c>
      <c r="B558" s="80" t="s">
        <v>3753</v>
      </c>
      <c r="C558" s="80" t="s">
        <v>3754</v>
      </c>
      <c r="D558" s="87"/>
      <c r="E558" s="123" t="s">
        <v>51</v>
      </c>
      <c r="F558" s="140">
        <v>32404</v>
      </c>
      <c r="G558" s="123" t="s">
        <v>2784</v>
      </c>
      <c r="H558" s="54" t="s">
        <v>3755</v>
      </c>
      <c r="I558" s="123" t="s">
        <v>3756</v>
      </c>
      <c r="J558" s="140">
        <v>38551</v>
      </c>
      <c r="K558" s="123" t="s">
        <v>2784</v>
      </c>
      <c r="L558" s="123" t="s">
        <v>123</v>
      </c>
      <c r="M558" s="123" t="s">
        <v>111</v>
      </c>
      <c r="N558" s="123" t="s">
        <v>3757</v>
      </c>
      <c r="O558" s="106">
        <v>2010</v>
      </c>
      <c r="P558" s="54" t="s">
        <v>3758</v>
      </c>
      <c r="Q558" s="123"/>
      <c r="R558" s="123" t="s">
        <v>3759</v>
      </c>
      <c r="S558" s="123" t="str">
        <f>HYPERLINK("mailto:longqpham@gmail.com","longqpham@gmail.com")</f>
        <v>longqpham@gmail.com</v>
      </c>
      <c r="T558" s="54" t="s">
        <v>3760</v>
      </c>
      <c r="U558" s="54" t="s">
        <v>3761</v>
      </c>
      <c r="V558" s="123" t="s">
        <v>3762</v>
      </c>
      <c r="W558" s="123" t="s">
        <v>3658</v>
      </c>
      <c r="X558" s="123" t="s">
        <v>3763</v>
      </c>
      <c r="Y558" s="123" t="s">
        <v>312</v>
      </c>
      <c r="Z558" s="54"/>
      <c r="AA558" s="54"/>
      <c r="AB558" s="54" t="s">
        <v>285</v>
      </c>
      <c r="AC558" s="54" t="s">
        <v>236</v>
      </c>
      <c r="AD558" s="123" t="s">
        <v>181</v>
      </c>
      <c r="AE558" s="54"/>
      <c r="AF558" s="54" t="s">
        <v>65</v>
      </c>
      <c r="AG558" s="140">
        <v>41372</v>
      </c>
      <c r="AH558" s="65">
        <f t="shared" si="58"/>
        <v>4</v>
      </c>
      <c r="AI558" s="65"/>
      <c r="AJ558" s="140">
        <v>41432</v>
      </c>
      <c r="AK558" s="65">
        <f t="shared" si="55"/>
        <v>6</v>
      </c>
      <c r="AL558" s="54" t="s">
        <v>66</v>
      </c>
      <c r="AM558" s="138"/>
      <c r="AN558" s="138"/>
      <c r="AO558" s="190"/>
      <c r="AP558" s="65" t="str">
        <f t="shared" si="59"/>
        <v/>
      </c>
      <c r="AQ558" s="123"/>
      <c r="AR558" s="23"/>
      <c r="AS558" s="54" t="s">
        <v>347</v>
      </c>
      <c r="AT558" s="136"/>
      <c r="AU558" s="70">
        <f t="shared" si="52"/>
        <v>9</v>
      </c>
      <c r="AV558" s="70" t="s">
        <v>68</v>
      </c>
    </row>
    <row r="559" spans="1:48" ht="25.5" hidden="1" x14ac:dyDescent="0.2">
      <c r="A559" s="87">
        <v>20536</v>
      </c>
      <c r="B559" s="80" t="s">
        <v>1657</v>
      </c>
      <c r="C559" s="80" t="s">
        <v>3764</v>
      </c>
      <c r="D559" s="87"/>
      <c r="E559" s="123" t="s">
        <v>94</v>
      </c>
      <c r="F559" s="140">
        <v>31820</v>
      </c>
      <c r="G559" s="123" t="s">
        <v>52</v>
      </c>
      <c r="H559" s="54" t="s">
        <v>52</v>
      </c>
      <c r="I559" s="123" t="s">
        <v>3765</v>
      </c>
      <c r="J559" s="140">
        <v>37482</v>
      </c>
      <c r="K559" s="123" t="s">
        <v>52</v>
      </c>
      <c r="L559" s="123" t="s">
        <v>123</v>
      </c>
      <c r="M559" s="123" t="s">
        <v>448</v>
      </c>
      <c r="N559" s="123" t="s">
        <v>3360</v>
      </c>
      <c r="O559" s="106">
        <v>2011</v>
      </c>
      <c r="P559" s="54" t="s">
        <v>3766</v>
      </c>
      <c r="Q559" s="123"/>
      <c r="R559" s="123" t="s">
        <v>3767</v>
      </c>
      <c r="S559" s="123"/>
      <c r="T559" s="54" t="s">
        <v>3768</v>
      </c>
      <c r="U559" s="54" t="s">
        <v>3768</v>
      </c>
      <c r="V559" s="123"/>
      <c r="W559" s="123"/>
      <c r="X559" s="123"/>
      <c r="Y559" s="123" t="s">
        <v>312</v>
      </c>
      <c r="Z559" s="54"/>
      <c r="AA559" s="54"/>
      <c r="AB559" s="54" t="s">
        <v>285</v>
      </c>
      <c r="AC559" s="54" t="s">
        <v>236</v>
      </c>
      <c r="AD559" s="123" t="s">
        <v>207</v>
      </c>
      <c r="AE559" s="54" t="s">
        <v>1136</v>
      </c>
      <c r="AF559" s="54" t="s">
        <v>65</v>
      </c>
      <c r="AG559" s="140">
        <v>41334</v>
      </c>
      <c r="AH559" s="65">
        <f t="shared" si="58"/>
        <v>3</v>
      </c>
      <c r="AI559" s="65"/>
      <c r="AJ559" s="140">
        <v>41395</v>
      </c>
      <c r="AK559" s="65">
        <f t="shared" si="55"/>
        <v>5</v>
      </c>
      <c r="AL559" s="54" t="s">
        <v>66</v>
      </c>
      <c r="AM559" s="138"/>
      <c r="AN559" s="138"/>
      <c r="AO559" s="190"/>
      <c r="AP559" s="65" t="str">
        <f t="shared" si="59"/>
        <v/>
      </c>
      <c r="AQ559" s="123"/>
      <c r="AR559" s="23"/>
      <c r="AS559" s="54" t="s">
        <v>347</v>
      </c>
      <c r="AT559" s="136"/>
      <c r="AU559" s="70">
        <f t="shared" si="52"/>
        <v>2</v>
      </c>
      <c r="AV559" s="70" t="s">
        <v>68</v>
      </c>
    </row>
    <row r="560" spans="1:48" ht="38.25" hidden="1" x14ac:dyDescent="0.2">
      <c r="A560" s="86">
        <v>20537</v>
      </c>
      <c r="B560" s="3" t="s">
        <v>3769</v>
      </c>
      <c r="C560" s="3" t="s">
        <v>364</v>
      </c>
      <c r="D560" s="86"/>
      <c r="E560" s="36" t="s">
        <v>94</v>
      </c>
      <c r="F560" s="48">
        <v>32022</v>
      </c>
      <c r="G560" s="36" t="s">
        <v>303</v>
      </c>
      <c r="H560" s="81" t="s">
        <v>3770</v>
      </c>
      <c r="I560" s="36" t="s">
        <v>3771</v>
      </c>
      <c r="J560" s="48">
        <v>39042</v>
      </c>
      <c r="K560" s="36" t="s">
        <v>303</v>
      </c>
      <c r="L560" s="36" t="s">
        <v>123</v>
      </c>
      <c r="M560" s="36" t="s">
        <v>1838</v>
      </c>
      <c r="N560" s="36" t="s">
        <v>458</v>
      </c>
      <c r="O560" s="101">
        <v>2007</v>
      </c>
      <c r="P560" s="81"/>
      <c r="Q560" s="36"/>
      <c r="R560" s="36" t="s">
        <v>3772</v>
      </c>
      <c r="S560" s="36" t="str">
        <f>HYPERLINK("mailto:pnguyen.ngaduc@gmail.com","pnguyen.ngaduc@gmail.com")</f>
        <v>pnguyen.ngaduc@gmail.com</v>
      </c>
      <c r="T560" s="81" t="s">
        <v>3773</v>
      </c>
      <c r="U560" s="81" t="s">
        <v>3774</v>
      </c>
      <c r="V560" s="36" t="s">
        <v>3775</v>
      </c>
      <c r="W560" s="36" t="s">
        <v>283</v>
      </c>
      <c r="X560" s="36" t="s">
        <v>3776</v>
      </c>
      <c r="Y560" s="36" t="s">
        <v>616</v>
      </c>
      <c r="Z560" s="81"/>
      <c r="AA560" s="54"/>
      <c r="AB560" s="81" t="s">
        <v>285</v>
      </c>
      <c r="AC560" s="81" t="s">
        <v>236</v>
      </c>
      <c r="AD560" s="36" t="s">
        <v>207</v>
      </c>
      <c r="AE560" s="81" t="s">
        <v>585</v>
      </c>
      <c r="AF560" s="81" t="s">
        <v>65</v>
      </c>
      <c r="AG560" s="48">
        <v>41372</v>
      </c>
      <c r="AH560" s="134">
        <f t="shared" si="58"/>
        <v>4</v>
      </c>
      <c r="AI560" s="134"/>
      <c r="AJ560" s="48"/>
      <c r="AK560" s="134" t="str">
        <f t="shared" si="55"/>
        <v/>
      </c>
      <c r="AL560" s="94" t="s">
        <v>82</v>
      </c>
      <c r="AM560" s="78"/>
      <c r="AN560" s="78"/>
      <c r="AO560" s="190">
        <v>41395</v>
      </c>
      <c r="AP560" s="136">
        <f t="shared" si="59"/>
        <v>5</v>
      </c>
      <c r="AQ560" s="127"/>
      <c r="AR560" s="23"/>
      <c r="AS560" s="54" t="s">
        <v>347</v>
      </c>
      <c r="AT560" s="136"/>
      <c r="AU560" s="70">
        <f t="shared" si="52"/>
        <v>9</v>
      </c>
      <c r="AV560" s="70" t="s">
        <v>68</v>
      </c>
    </row>
    <row r="561" spans="1:48" ht="25.5" hidden="1" x14ac:dyDescent="0.2">
      <c r="A561" s="86">
        <v>20538</v>
      </c>
      <c r="B561" s="3" t="s">
        <v>3777</v>
      </c>
      <c r="C561" s="3" t="s">
        <v>618</v>
      </c>
      <c r="D561" s="86"/>
      <c r="E561" s="36" t="s">
        <v>94</v>
      </c>
      <c r="F561" s="48">
        <v>32440</v>
      </c>
      <c r="G561" s="36" t="s">
        <v>303</v>
      </c>
      <c r="H561" s="81" t="s">
        <v>303</v>
      </c>
      <c r="I561" s="36" t="s">
        <v>3778</v>
      </c>
      <c r="J561" s="48">
        <v>38678</v>
      </c>
      <c r="K561" s="36" t="s">
        <v>303</v>
      </c>
      <c r="L561" s="36" t="s">
        <v>123</v>
      </c>
      <c r="M561" s="36" t="s">
        <v>3779</v>
      </c>
      <c r="N561" s="36" t="s">
        <v>3780</v>
      </c>
      <c r="O561" s="101">
        <v>2012</v>
      </c>
      <c r="P561" s="81" t="str">
        <f>HYPERLINK("mailto:huongbtt@topica.edu.vn","huongbtt@topica.edu.vn")</f>
        <v>huongbtt@topica.edu.vn</v>
      </c>
      <c r="Q561" s="36"/>
      <c r="R561" s="36" t="s">
        <v>3781</v>
      </c>
      <c r="S561" s="36" t="str">
        <f>HYPERLINK("mailto:huongbtt.4078@gmail.com","huongbtt.4078@gmail.com")</f>
        <v>huongbtt.4078@gmail.com</v>
      </c>
      <c r="T561" s="81" t="s">
        <v>3782</v>
      </c>
      <c r="U561" s="81" t="s">
        <v>3783</v>
      </c>
      <c r="V561" s="36" t="s">
        <v>3784</v>
      </c>
      <c r="W561" s="36" t="s">
        <v>745</v>
      </c>
      <c r="X561" s="36" t="s">
        <v>3785</v>
      </c>
      <c r="Y561" s="36" t="s">
        <v>616</v>
      </c>
      <c r="Z561" s="81"/>
      <c r="AA561" s="54"/>
      <c r="AB561" s="81" t="s">
        <v>285</v>
      </c>
      <c r="AC561" s="81" t="s">
        <v>236</v>
      </c>
      <c r="AD561" s="36" t="s">
        <v>207</v>
      </c>
      <c r="AE561" s="81" t="s">
        <v>585</v>
      </c>
      <c r="AF561" s="81" t="s">
        <v>65</v>
      </c>
      <c r="AG561" s="48">
        <v>41372</v>
      </c>
      <c r="AH561" s="134">
        <f t="shared" si="58"/>
        <v>4</v>
      </c>
      <c r="AI561" s="134"/>
      <c r="AJ561" s="48"/>
      <c r="AK561" s="134" t="str">
        <f t="shared" si="55"/>
        <v/>
      </c>
      <c r="AL561" s="54" t="s">
        <v>82</v>
      </c>
      <c r="AM561" s="138"/>
      <c r="AN561" s="138"/>
      <c r="AO561" s="190">
        <v>41415</v>
      </c>
      <c r="AP561" s="65">
        <f t="shared" si="59"/>
        <v>5</v>
      </c>
      <c r="AQ561" s="123"/>
      <c r="AR561" s="23"/>
      <c r="AS561" s="54" t="s">
        <v>347</v>
      </c>
      <c r="AT561" s="136"/>
      <c r="AU561" s="70">
        <f t="shared" si="52"/>
        <v>10</v>
      </c>
      <c r="AV561" s="70" t="s">
        <v>68</v>
      </c>
    </row>
    <row r="562" spans="1:48" ht="25.5" hidden="1" x14ac:dyDescent="0.2">
      <c r="A562" s="87">
        <v>20539</v>
      </c>
      <c r="B562" s="80" t="s">
        <v>2656</v>
      </c>
      <c r="C562" s="80" t="s">
        <v>119</v>
      </c>
      <c r="D562" s="87"/>
      <c r="E562" s="123" t="s">
        <v>94</v>
      </c>
      <c r="F562" s="140">
        <v>32340</v>
      </c>
      <c r="G562" s="123" t="s">
        <v>52</v>
      </c>
      <c r="H562" s="54" t="s">
        <v>53</v>
      </c>
      <c r="I562" s="123" t="s">
        <v>2657</v>
      </c>
      <c r="J562" s="140">
        <v>40192</v>
      </c>
      <c r="K562" s="123" t="s">
        <v>52</v>
      </c>
      <c r="L562" s="123" t="s">
        <v>123</v>
      </c>
      <c r="M562" s="123" t="s">
        <v>111</v>
      </c>
      <c r="N562" s="123" t="s">
        <v>307</v>
      </c>
      <c r="O562" s="106"/>
      <c r="P562" s="54" t="s">
        <v>2658</v>
      </c>
      <c r="Q562" s="123" t="s">
        <v>2659</v>
      </c>
      <c r="R562" s="123" t="s">
        <v>2660</v>
      </c>
      <c r="S562" s="123"/>
      <c r="T562" s="54" t="s">
        <v>2661</v>
      </c>
      <c r="U562" s="54" t="s">
        <v>2661</v>
      </c>
      <c r="V562" s="123"/>
      <c r="W562" s="123"/>
      <c r="X562" s="123"/>
      <c r="Y562" s="123" t="s">
        <v>312</v>
      </c>
      <c r="Z562" s="54"/>
      <c r="AA562" s="54"/>
      <c r="AB562" s="54" t="s">
        <v>285</v>
      </c>
      <c r="AC562" s="54" t="s">
        <v>236</v>
      </c>
      <c r="AD562" s="123" t="s">
        <v>158</v>
      </c>
      <c r="AE562" s="54"/>
      <c r="AF562" s="54" t="s">
        <v>65</v>
      </c>
      <c r="AG562" s="140">
        <v>41372</v>
      </c>
      <c r="AH562" s="65">
        <f t="shared" si="58"/>
        <v>4</v>
      </c>
      <c r="AI562" s="65"/>
      <c r="AJ562" s="140">
        <v>41414</v>
      </c>
      <c r="AK562" s="65">
        <f t="shared" si="55"/>
        <v>5</v>
      </c>
      <c r="AL562" s="54" t="s">
        <v>66</v>
      </c>
      <c r="AM562" s="138"/>
      <c r="AN562" s="138"/>
      <c r="AO562" s="190"/>
      <c r="AP562" s="65" t="str">
        <f t="shared" si="59"/>
        <v/>
      </c>
      <c r="AQ562" s="123"/>
      <c r="AR562" s="23"/>
      <c r="AS562" s="54" t="s">
        <v>347</v>
      </c>
      <c r="AT562" s="136"/>
      <c r="AU562" s="70">
        <f t="shared" ref="AU562:AU625" si="60">IF((F562=""),"",MONTH(F562))</f>
        <v>7</v>
      </c>
      <c r="AV562" s="70" t="s">
        <v>68</v>
      </c>
    </row>
    <row r="563" spans="1:48" ht="38.25" hidden="1" x14ac:dyDescent="0.2">
      <c r="A563" s="86">
        <v>20540</v>
      </c>
      <c r="B563" s="3" t="s">
        <v>3786</v>
      </c>
      <c r="C563" s="3" t="s">
        <v>608</v>
      </c>
      <c r="D563" s="86"/>
      <c r="E563" s="36" t="s">
        <v>94</v>
      </c>
      <c r="F563" s="48">
        <v>32876</v>
      </c>
      <c r="G563" s="36" t="s">
        <v>52</v>
      </c>
      <c r="H563" s="81" t="s">
        <v>3787</v>
      </c>
      <c r="I563" s="36" t="s">
        <v>3788</v>
      </c>
      <c r="J563" s="48">
        <v>39463</v>
      </c>
      <c r="K563" s="36" t="s">
        <v>171</v>
      </c>
      <c r="L563" s="36" t="s">
        <v>123</v>
      </c>
      <c r="M563" s="36" t="s">
        <v>1355</v>
      </c>
      <c r="N563" s="36" t="s">
        <v>368</v>
      </c>
      <c r="O563" s="101">
        <v>2012</v>
      </c>
      <c r="P563" s="81" t="s">
        <v>3789</v>
      </c>
      <c r="Q563" s="36"/>
      <c r="R563" s="36" t="s">
        <v>3790</v>
      </c>
      <c r="S563" s="36" t="s">
        <v>3791</v>
      </c>
      <c r="T563" s="81" t="s">
        <v>3792</v>
      </c>
      <c r="U563" s="81" t="s">
        <v>3793</v>
      </c>
      <c r="V563" s="36" t="s">
        <v>3794</v>
      </c>
      <c r="W563" s="36" t="s">
        <v>283</v>
      </c>
      <c r="X563" s="36"/>
      <c r="Y563" s="36" t="s">
        <v>616</v>
      </c>
      <c r="Z563" s="81"/>
      <c r="AA563" s="54"/>
      <c r="AB563" s="81" t="s">
        <v>285</v>
      </c>
      <c r="AC563" s="81" t="s">
        <v>236</v>
      </c>
      <c r="AD563" s="36" t="s">
        <v>207</v>
      </c>
      <c r="AE563" s="81" t="s">
        <v>585</v>
      </c>
      <c r="AF563" s="81" t="s">
        <v>65</v>
      </c>
      <c r="AG563" s="48">
        <v>41372</v>
      </c>
      <c r="AH563" s="134">
        <f t="shared" si="58"/>
        <v>4</v>
      </c>
      <c r="AI563" s="134"/>
      <c r="AJ563" s="48">
        <v>41414</v>
      </c>
      <c r="AK563" s="134">
        <f t="shared" si="55"/>
        <v>5</v>
      </c>
      <c r="AL563" s="54" t="s">
        <v>82</v>
      </c>
      <c r="AM563" s="138"/>
      <c r="AN563" s="138"/>
      <c r="AO563" s="190">
        <v>41547</v>
      </c>
      <c r="AP563" s="65">
        <f t="shared" si="59"/>
        <v>9</v>
      </c>
      <c r="AQ563" s="123"/>
      <c r="AR563" s="23"/>
      <c r="AS563" s="54" t="s">
        <v>347</v>
      </c>
      <c r="AT563" s="136"/>
      <c r="AU563" s="70">
        <f t="shared" si="60"/>
        <v>1</v>
      </c>
      <c r="AV563" s="70" t="s">
        <v>68</v>
      </c>
    </row>
    <row r="564" spans="1:48" ht="25.5" hidden="1" x14ac:dyDescent="0.2">
      <c r="A564" s="87">
        <v>20541</v>
      </c>
      <c r="B564" s="80" t="s">
        <v>3387</v>
      </c>
      <c r="C564" s="80" t="s">
        <v>535</v>
      </c>
      <c r="D564" s="87"/>
      <c r="E564" s="123" t="s">
        <v>94</v>
      </c>
      <c r="F564" s="140">
        <v>33127</v>
      </c>
      <c r="G564" s="123" t="s">
        <v>1195</v>
      </c>
      <c r="H564" s="54" t="s">
        <v>1195</v>
      </c>
      <c r="I564" s="123" t="s">
        <v>3795</v>
      </c>
      <c r="J564" s="140">
        <v>38448</v>
      </c>
      <c r="K564" s="123" t="s">
        <v>3389</v>
      </c>
      <c r="L564" s="123" t="s">
        <v>341</v>
      </c>
      <c r="M564" s="123" t="s">
        <v>3796</v>
      </c>
      <c r="N564" s="123" t="s">
        <v>368</v>
      </c>
      <c r="O564" s="106">
        <v>2011</v>
      </c>
      <c r="P564" s="54" t="str">
        <f>HYPERLINK("mailto:nganntb@topica.edu.vn","nganntb@topica.edu.vn")</f>
        <v>nganntb@topica.edu.vn</v>
      </c>
      <c r="Q564" s="123"/>
      <c r="R564" s="123" t="s">
        <v>3797</v>
      </c>
      <c r="S564" s="123" t="str">
        <f>HYPERLINK("mailto:missbaongan@gmail.com","missbaongan@gmail.com")</f>
        <v>missbaongan@gmail.com</v>
      </c>
      <c r="T564" s="54" t="s">
        <v>3798</v>
      </c>
      <c r="U564" s="54" t="s">
        <v>3798</v>
      </c>
      <c r="V564" s="123" t="s">
        <v>3799</v>
      </c>
      <c r="W564" s="123" t="s">
        <v>283</v>
      </c>
      <c r="X564" s="123" t="s">
        <v>3800</v>
      </c>
      <c r="Y564" s="123" t="s">
        <v>865</v>
      </c>
      <c r="Z564" s="54"/>
      <c r="AA564" s="54"/>
      <c r="AB564" s="54" t="s">
        <v>285</v>
      </c>
      <c r="AC564" s="54" t="s">
        <v>236</v>
      </c>
      <c r="AD564" s="123" t="s">
        <v>866</v>
      </c>
      <c r="AE564" s="54" t="s">
        <v>867</v>
      </c>
      <c r="AF564" s="54" t="s">
        <v>231</v>
      </c>
      <c r="AG564" s="140">
        <v>41351</v>
      </c>
      <c r="AH564" s="65">
        <f t="shared" si="58"/>
        <v>3</v>
      </c>
      <c r="AI564" s="65"/>
      <c r="AJ564" s="140">
        <v>41412</v>
      </c>
      <c r="AK564" s="65">
        <f t="shared" si="55"/>
        <v>5</v>
      </c>
      <c r="AL564" s="54" t="s">
        <v>66</v>
      </c>
      <c r="AM564" s="54"/>
      <c r="AN564" s="54"/>
      <c r="AO564" s="190"/>
      <c r="AP564" s="65" t="str">
        <f t="shared" si="59"/>
        <v/>
      </c>
      <c r="AQ564" s="123"/>
      <c r="AR564" s="23"/>
      <c r="AS564" s="54" t="s">
        <v>347</v>
      </c>
      <c r="AT564" s="136"/>
      <c r="AU564" s="70">
        <f t="shared" si="60"/>
        <v>9</v>
      </c>
      <c r="AV564" s="70" t="s">
        <v>68</v>
      </c>
    </row>
    <row r="565" spans="1:48" ht="25.5" hidden="1" x14ac:dyDescent="0.2">
      <c r="A565" s="87">
        <v>20542</v>
      </c>
      <c r="B565" s="80" t="s">
        <v>2870</v>
      </c>
      <c r="C565" s="80" t="s">
        <v>131</v>
      </c>
      <c r="D565" s="87"/>
      <c r="E565" s="123" t="s">
        <v>94</v>
      </c>
      <c r="F565" s="140">
        <v>33408</v>
      </c>
      <c r="G565" s="123" t="s">
        <v>884</v>
      </c>
      <c r="H565" s="54" t="s">
        <v>884</v>
      </c>
      <c r="I565" s="123" t="s">
        <v>3801</v>
      </c>
      <c r="J565" s="140">
        <v>38870</v>
      </c>
      <c r="K565" s="123" t="s">
        <v>3802</v>
      </c>
      <c r="L565" s="123" t="s">
        <v>341</v>
      </c>
      <c r="M565" s="123" t="s">
        <v>3803</v>
      </c>
      <c r="N565" s="123" t="s">
        <v>368</v>
      </c>
      <c r="O565" s="106">
        <v>2012</v>
      </c>
      <c r="P565" s="54" t="s">
        <v>3804</v>
      </c>
      <c r="Q565" s="123"/>
      <c r="R565" s="123" t="s">
        <v>3805</v>
      </c>
      <c r="S565" s="123" t="str">
        <f>HYPERLINK("mailto:kimhien196@yahoo.com","kimhien196@yahoo.com")</f>
        <v>kimhien196@yahoo.com</v>
      </c>
      <c r="T565" s="54" t="s">
        <v>3806</v>
      </c>
      <c r="U565" s="54" t="s">
        <v>3807</v>
      </c>
      <c r="V565" s="123" t="s">
        <v>3808</v>
      </c>
      <c r="W565" s="123" t="s">
        <v>3658</v>
      </c>
      <c r="X565" s="123" t="s">
        <v>3809</v>
      </c>
      <c r="Y565" s="123" t="s">
        <v>865</v>
      </c>
      <c r="Z565" s="54"/>
      <c r="AA565" s="54"/>
      <c r="AB565" s="54" t="s">
        <v>285</v>
      </c>
      <c r="AC565" s="54" t="s">
        <v>236</v>
      </c>
      <c r="AD565" s="123" t="s">
        <v>866</v>
      </c>
      <c r="AE565" s="54" t="s">
        <v>867</v>
      </c>
      <c r="AF565" s="54" t="s">
        <v>231</v>
      </c>
      <c r="AG565" s="140">
        <v>41351</v>
      </c>
      <c r="AH565" s="65">
        <f t="shared" si="58"/>
        <v>3</v>
      </c>
      <c r="AI565" s="65"/>
      <c r="AJ565" s="140">
        <v>41412</v>
      </c>
      <c r="AK565" s="65">
        <f t="shared" si="55"/>
        <v>5</v>
      </c>
      <c r="AL565" s="54" t="s">
        <v>66</v>
      </c>
      <c r="AM565" s="54"/>
      <c r="AN565" s="54"/>
      <c r="AO565" s="190"/>
      <c r="AP565" s="65" t="str">
        <f t="shared" si="59"/>
        <v/>
      </c>
      <c r="AQ565" s="123"/>
      <c r="AR565" s="23"/>
      <c r="AS565" s="54" t="s">
        <v>347</v>
      </c>
      <c r="AT565" s="136"/>
      <c r="AU565" s="70">
        <f t="shared" si="60"/>
        <v>6</v>
      </c>
      <c r="AV565" s="70" t="s">
        <v>68</v>
      </c>
    </row>
    <row r="566" spans="1:48" ht="25.5" hidden="1" x14ac:dyDescent="0.2">
      <c r="A566" s="86">
        <v>20543</v>
      </c>
      <c r="B566" s="3" t="s">
        <v>3810</v>
      </c>
      <c r="C566" s="3" t="s">
        <v>3811</v>
      </c>
      <c r="D566" s="86"/>
      <c r="E566" s="36" t="s">
        <v>94</v>
      </c>
      <c r="F566" s="48">
        <v>32924</v>
      </c>
      <c r="G566" s="36" t="s">
        <v>3812</v>
      </c>
      <c r="H566" s="81" t="s">
        <v>824</v>
      </c>
      <c r="I566" s="36" t="s">
        <v>3813</v>
      </c>
      <c r="J566" s="48">
        <v>40232</v>
      </c>
      <c r="K566" s="36" t="s">
        <v>895</v>
      </c>
      <c r="L566" s="36" t="s">
        <v>123</v>
      </c>
      <c r="M566" s="36" t="s">
        <v>3814</v>
      </c>
      <c r="N566" s="36" t="s">
        <v>3815</v>
      </c>
      <c r="O566" s="101">
        <v>2012</v>
      </c>
      <c r="P566" s="81" t="s">
        <v>3816</v>
      </c>
      <c r="Q566" s="36"/>
      <c r="R566" s="36" t="s">
        <v>3817</v>
      </c>
      <c r="S566" s="36" t="str">
        <f>HYPERLINK("mailto:nguyenhalemi@yahoo.com.vn","nguyenhalemi@yahoo.com.vn")</f>
        <v>nguyenhalemi@yahoo.com.vn</v>
      </c>
      <c r="T566" s="81" t="s">
        <v>3818</v>
      </c>
      <c r="U566" s="81" t="s">
        <v>3819</v>
      </c>
      <c r="V566" s="36" t="s">
        <v>3820</v>
      </c>
      <c r="W566" s="36" t="s">
        <v>3821</v>
      </c>
      <c r="X566" s="36" t="s">
        <v>3822</v>
      </c>
      <c r="Y566" s="36" t="s">
        <v>865</v>
      </c>
      <c r="Z566" s="81"/>
      <c r="AA566" s="81"/>
      <c r="AB566" s="81" t="s">
        <v>285</v>
      </c>
      <c r="AC566" s="81" t="s">
        <v>236</v>
      </c>
      <c r="AD566" s="36" t="s">
        <v>866</v>
      </c>
      <c r="AE566" s="81" t="s">
        <v>867</v>
      </c>
      <c r="AF566" s="81" t="s">
        <v>231</v>
      </c>
      <c r="AG566" s="48">
        <v>41358</v>
      </c>
      <c r="AH566" s="134">
        <f t="shared" si="58"/>
        <v>3</v>
      </c>
      <c r="AI566" s="134"/>
      <c r="AJ566" s="48">
        <v>41419</v>
      </c>
      <c r="AK566" s="134">
        <f t="shared" si="55"/>
        <v>5</v>
      </c>
      <c r="AL566" s="81" t="s">
        <v>82</v>
      </c>
      <c r="AM566" s="81"/>
      <c r="AN566" s="81"/>
      <c r="AO566" s="48">
        <v>41662</v>
      </c>
      <c r="AP566" s="134">
        <f t="shared" si="59"/>
        <v>1</v>
      </c>
      <c r="AQ566" s="36"/>
      <c r="AR566" s="116"/>
      <c r="AS566" s="81" t="s">
        <v>347</v>
      </c>
      <c r="AT566" s="134"/>
      <c r="AU566" s="172">
        <f t="shared" si="60"/>
        <v>2</v>
      </c>
      <c r="AV566" s="172" t="s">
        <v>68</v>
      </c>
    </row>
    <row r="567" spans="1:48" ht="25.5" hidden="1" x14ac:dyDescent="0.2">
      <c r="A567" s="86">
        <v>20544</v>
      </c>
      <c r="B567" s="3" t="s">
        <v>3823</v>
      </c>
      <c r="C567" s="3" t="s">
        <v>3824</v>
      </c>
      <c r="D567" s="86"/>
      <c r="E567" s="36" t="s">
        <v>94</v>
      </c>
      <c r="F567" s="48">
        <v>32152</v>
      </c>
      <c r="G567" s="36" t="s">
        <v>1829</v>
      </c>
      <c r="H567" s="81" t="s">
        <v>3825</v>
      </c>
      <c r="I567" s="36" t="s">
        <v>3826</v>
      </c>
      <c r="J567" s="48">
        <v>39182</v>
      </c>
      <c r="K567" s="36" t="s">
        <v>1829</v>
      </c>
      <c r="L567" s="36" t="s">
        <v>123</v>
      </c>
      <c r="M567" s="36" t="s">
        <v>3827</v>
      </c>
      <c r="N567" s="36" t="s">
        <v>3541</v>
      </c>
      <c r="O567" s="101">
        <v>2011</v>
      </c>
      <c r="P567" s="81" t="s">
        <v>3828</v>
      </c>
      <c r="Q567" s="36"/>
      <c r="R567" s="36" t="s">
        <v>3829</v>
      </c>
      <c r="S567" s="36" t="str">
        <f>HYPERLINK("mailto:thanhluan172@yahoo.com","thanhluan172@yahoo.com")</f>
        <v>thanhluan172@yahoo.com</v>
      </c>
      <c r="T567" s="81" t="s">
        <v>3830</v>
      </c>
      <c r="U567" s="81" t="s">
        <v>3831</v>
      </c>
      <c r="V567" s="36" t="s">
        <v>3832</v>
      </c>
      <c r="W567" s="36" t="s">
        <v>745</v>
      </c>
      <c r="X567" s="36" t="s">
        <v>3833</v>
      </c>
      <c r="Y567" s="36" t="s">
        <v>616</v>
      </c>
      <c r="Z567" s="81"/>
      <c r="AA567" s="54"/>
      <c r="AB567" s="81" t="s">
        <v>285</v>
      </c>
      <c r="AC567" s="81" t="s">
        <v>236</v>
      </c>
      <c r="AD567" s="36" t="s">
        <v>866</v>
      </c>
      <c r="AE567" s="81" t="s">
        <v>867</v>
      </c>
      <c r="AF567" s="81" t="s">
        <v>231</v>
      </c>
      <c r="AG567" s="48">
        <v>41372</v>
      </c>
      <c r="AH567" s="134">
        <f t="shared" si="58"/>
        <v>4</v>
      </c>
      <c r="AI567" s="134"/>
      <c r="AJ567" s="48">
        <v>41435</v>
      </c>
      <c r="AK567" s="134">
        <f t="shared" si="55"/>
        <v>6</v>
      </c>
      <c r="AL567" s="54" t="s">
        <v>82</v>
      </c>
      <c r="AM567" s="54"/>
      <c r="AN567" s="54"/>
      <c r="AO567" s="190">
        <v>41583</v>
      </c>
      <c r="AP567" s="65">
        <f t="shared" si="59"/>
        <v>11</v>
      </c>
      <c r="AQ567" s="123"/>
      <c r="AR567" s="23"/>
      <c r="AS567" s="54" t="s">
        <v>347</v>
      </c>
      <c r="AT567" s="136"/>
      <c r="AU567" s="70">
        <f t="shared" si="60"/>
        <v>1</v>
      </c>
      <c r="AV567" s="70" t="s">
        <v>68</v>
      </c>
    </row>
    <row r="568" spans="1:48" ht="38.25" hidden="1" x14ac:dyDescent="0.2">
      <c r="A568" s="86">
        <v>20545</v>
      </c>
      <c r="B568" s="3" t="s">
        <v>3834</v>
      </c>
      <c r="C568" s="3" t="s">
        <v>3835</v>
      </c>
      <c r="D568" s="86"/>
      <c r="E568" s="36" t="s">
        <v>94</v>
      </c>
      <c r="F568" s="48">
        <v>33058</v>
      </c>
      <c r="G568" s="36" t="s">
        <v>1255</v>
      </c>
      <c r="H568" s="81" t="s">
        <v>3836</v>
      </c>
      <c r="I568" s="36" t="s">
        <v>3837</v>
      </c>
      <c r="J568" s="48">
        <v>38659</v>
      </c>
      <c r="K568" s="36" t="s">
        <v>1255</v>
      </c>
      <c r="L568" s="36" t="s">
        <v>341</v>
      </c>
      <c r="M568" s="36" t="s">
        <v>3838</v>
      </c>
      <c r="N568" s="36" t="s">
        <v>3839</v>
      </c>
      <c r="O568" s="101">
        <v>2011</v>
      </c>
      <c r="P568" s="81" t="s">
        <v>3840</v>
      </c>
      <c r="Q568" s="36"/>
      <c r="R568" s="36" t="s">
        <v>3841</v>
      </c>
      <c r="S568" s="36" t="str">
        <f>HYPERLINK("mailto:nguyen_le0407@yahoo.com","nguyen_le0407@yahoo.com")</f>
        <v>nguyen_le0407@yahoo.com</v>
      </c>
      <c r="T568" s="81" t="s">
        <v>3842</v>
      </c>
      <c r="U568" s="81" t="s">
        <v>3843</v>
      </c>
      <c r="V568" s="36"/>
      <c r="W568" s="36"/>
      <c r="X568" s="36"/>
      <c r="Y568" s="36" t="s">
        <v>616</v>
      </c>
      <c r="Z568" s="81"/>
      <c r="AA568" s="54"/>
      <c r="AB568" s="81" t="s">
        <v>285</v>
      </c>
      <c r="AC568" s="81" t="s">
        <v>236</v>
      </c>
      <c r="AD568" s="36" t="s">
        <v>866</v>
      </c>
      <c r="AE568" s="81" t="s">
        <v>867</v>
      </c>
      <c r="AF568" s="81" t="s">
        <v>231</v>
      </c>
      <c r="AG568" s="48">
        <v>41372</v>
      </c>
      <c r="AH568" s="134">
        <f t="shared" si="58"/>
        <v>4</v>
      </c>
      <c r="AI568" s="134"/>
      <c r="AJ568" s="48">
        <v>41435</v>
      </c>
      <c r="AK568" s="134">
        <f t="shared" si="55"/>
        <v>6</v>
      </c>
      <c r="AL568" s="54" t="s">
        <v>82</v>
      </c>
      <c r="AM568" s="54"/>
      <c r="AN568" s="54"/>
      <c r="AO568" s="190">
        <v>41556</v>
      </c>
      <c r="AP568" s="65">
        <f t="shared" si="59"/>
        <v>10</v>
      </c>
      <c r="AQ568" s="123"/>
      <c r="AR568" s="23"/>
      <c r="AS568" s="54" t="s">
        <v>347</v>
      </c>
      <c r="AT568" s="136"/>
      <c r="AU568" s="70">
        <f t="shared" si="60"/>
        <v>7</v>
      </c>
      <c r="AV568" s="70" t="s">
        <v>68</v>
      </c>
    </row>
    <row r="569" spans="1:48" ht="25.5" hidden="1" x14ac:dyDescent="0.2">
      <c r="A569" s="86">
        <v>20546</v>
      </c>
      <c r="B569" s="3" t="s">
        <v>965</v>
      </c>
      <c r="C569" s="3" t="s">
        <v>3844</v>
      </c>
      <c r="D569" s="86"/>
      <c r="E569" s="36" t="s">
        <v>94</v>
      </c>
      <c r="F569" s="48">
        <v>33255</v>
      </c>
      <c r="G569" s="36" t="s">
        <v>1139</v>
      </c>
      <c r="H569" s="81" t="s">
        <v>380</v>
      </c>
      <c r="I569" s="36" t="s">
        <v>3845</v>
      </c>
      <c r="J569" s="48">
        <v>39688</v>
      </c>
      <c r="K569" s="36" t="s">
        <v>1139</v>
      </c>
      <c r="L569" s="36" t="s">
        <v>341</v>
      </c>
      <c r="M569" s="36" t="s">
        <v>3846</v>
      </c>
      <c r="N569" s="36" t="s">
        <v>368</v>
      </c>
      <c r="O569" s="101">
        <v>2012</v>
      </c>
      <c r="P569" s="81" t="s">
        <v>3847</v>
      </c>
      <c r="Q569" s="36"/>
      <c r="R569" s="36" t="s">
        <v>3848</v>
      </c>
      <c r="S569" s="36" t="str">
        <f>HYPERLINK("mailto:phanchinh17@gmail.com","phanchinh17@gmail.com")</f>
        <v>phanchinh17@gmail.com</v>
      </c>
      <c r="T569" s="81" t="s">
        <v>3849</v>
      </c>
      <c r="U569" s="81" t="s">
        <v>3850</v>
      </c>
      <c r="V569" s="36" t="s">
        <v>3851</v>
      </c>
      <c r="W569" s="36"/>
      <c r="X569" s="36" t="s">
        <v>3852</v>
      </c>
      <c r="Y569" s="36" t="s">
        <v>616</v>
      </c>
      <c r="Z569" s="81"/>
      <c r="AA569" s="54"/>
      <c r="AB569" s="81" t="s">
        <v>285</v>
      </c>
      <c r="AC569" s="81" t="s">
        <v>236</v>
      </c>
      <c r="AD569" s="36" t="s">
        <v>866</v>
      </c>
      <c r="AE569" s="81" t="s">
        <v>867</v>
      </c>
      <c r="AF569" s="81" t="s">
        <v>231</v>
      </c>
      <c r="AG569" s="48">
        <v>41372</v>
      </c>
      <c r="AH569" s="134">
        <f t="shared" si="58"/>
        <v>4</v>
      </c>
      <c r="AI569" s="134"/>
      <c r="AJ569" s="48"/>
      <c r="AK569" s="134" t="str">
        <f t="shared" si="55"/>
        <v/>
      </c>
      <c r="AL569" s="54" t="s">
        <v>82</v>
      </c>
      <c r="AM569" s="54"/>
      <c r="AN569" s="54"/>
      <c r="AO569" s="190"/>
      <c r="AP569" s="23"/>
      <c r="AQ569" s="123"/>
      <c r="AR569" s="23"/>
      <c r="AS569" s="54"/>
      <c r="AT569" s="136"/>
      <c r="AU569" s="70">
        <f t="shared" si="60"/>
        <v>1</v>
      </c>
      <c r="AV569" s="70" t="s">
        <v>68</v>
      </c>
    </row>
    <row r="570" spans="1:48" ht="25.5" hidden="1" x14ac:dyDescent="0.2">
      <c r="A570" s="87">
        <v>20547</v>
      </c>
      <c r="B570" s="80" t="s">
        <v>199</v>
      </c>
      <c r="C570" s="80" t="s">
        <v>364</v>
      </c>
      <c r="D570" s="87"/>
      <c r="E570" s="123" t="s">
        <v>94</v>
      </c>
      <c r="F570" s="140">
        <v>32605</v>
      </c>
      <c r="G570" s="123" t="s">
        <v>171</v>
      </c>
      <c r="H570" s="54" t="s">
        <v>3853</v>
      </c>
      <c r="I570" s="123" t="s">
        <v>3854</v>
      </c>
      <c r="J570" s="140">
        <v>39107</v>
      </c>
      <c r="K570" s="123" t="s">
        <v>52</v>
      </c>
      <c r="L570" s="123" t="s">
        <v>123</v>
      </c>
      <c r="M570" s="123" t="s">
        <v>3855</v>
      </c>
      <c r="N570" s="123" t="s">
        <v>3856</v>
      </c>
      <c r="O570" s="106">
        <v>2012</v>
      </c>
      <c r="P570" s="153" t="str">
        <f>HYPERLINK("mailto:ngantt4@topica.edu.vn","ngantt4@topica.edu.vn")</f>
        <v>ngantt4@topica.edu.vn</v>
      </c>
      <c r="Q570" s="123"/>
      <c r="R570" s="123" t="s">
        <v>3857</v>
      </c>
      <c r="S570" s="123" t="str">
        <f>HYPERLINK("mailto:thanhnga1989hn@gmail.com","thanhnga1989hn@gmail.com")</f>
        <v>thanhnga1989hn@gmail.com</v>
      </c>
      <c r="T570" s="54" t="s">
        <v>3858</v>
      </c>
      <c r="U570" s="54" t="s">
        <v>3859</v>
      </c>
      <c r="V570" s="123" t="s">
        <v>3860</v>
      </c>
      <c r="W570" s="123" t="s">
        <v>745</v>
      </c>
      <c r="X570" s="123" t="s">
        <v>3861</v>
      </c>
      <c r="Y570" s="123" t="s">
        <v>312</v>
      </c>
      <c r="Z570" s="54"/>
      <c r="AA570" s="54"/>
      <c r="AB570" s="54" t="s">
        <v>285</v>
      </c>
      <c r="AC570" s="54" t="s">
        <v>236</v>
      </c>
      <c r="AD570" s="123" t="s">
        <v>207</v>
      </c>
      <c r="AE570" s="54" t="s">
        <v>1128</v>
      </c>
      <c r="AF570" s="54" t="s">
        <v>65</v>
      </c>
      <c r="AG570" s="140">
        <v>41387</v>
      </c>
      <c r="AH570" s="65">
        <f t="shared" si="58"/>
        <v>4</v>
      </c>
      <c r="AI570" s="65"/>
      <c r="AJ570" s="140">
        <v>41450</v>
      </c>
      <c r="AK570" s="65">
        <f t="shared" si="55"/>
        <v>6</v>
      </c>
      <c r="AL570" s="54" t="s">
        <v>66</v>
      </c>
      <c r="AM570" s="54"/>
      <c r="AN570" s="54"/>
      <c r="AO570" s="190"/>
      <c r="AP570" s="136" t="str">
        <f t="shared" ref="AP570:AP601" si="61">IF((AO570=""),"",MONTH(AO570))</f>
        <v/>
      </c>
      <c r="AQ570" s="123"/>
      <c r="AR570" s="23"/>
      <c r="AS570" s="54" t="s">
        <v>347</v>
      </c>
      <c r="AT570" s="136"/>
      <c r="AU570" s="70">
        <f t="shared" si="60"/>
        <v>4</v>
      </c>
      <c r="AV570" s="70" t="s">
        <v>68</v>
      </c>
    </row>
    <row r="571" spans="1:48" ht="25.5" hidden="1" x14ac:dyDescent="0.2">
      <c r="A571" s="86">
        <v>20548</v>
      </c>
      <c r="B571" s="3" t="s">
        <v>3862</v>
      </c>
      <c r="C571" s="3" t="s">
        <v>3863</v>
      </c>
      <c r="D571" s="86"/>
      <c r="E571" s="36" t="s">
        <v>3864</v>
      </c>
      <c r="F571" s="48">
        <v>31218</v>
      </c>
      <c r="G571" s="36" t="s">
        <v>3865</v>
      </c>
      <c r="H571" s="81" t="s">
        <v>303</v>
      </c>
      <c r="I571" s="36" t="s">
        <v>3866</v>
      </c>
      <c r="J571" s="48">
        <v>37649</v>
      </c>
      <c r="K571" s="36" t="s">
        <v>1870</v>
      </c>
      <c r="L571" s="36" t="s">
        <v>123</v>
      </c>
      <c r="M571" s="36" t="s">
        <v>3867</v>
      </c>
      <c r="N571" s="36" t="s">
        <v>3868</v>
      </c>
      <c r="O571" s="101">
        <v>2009</v>
      </c>
      <c r="P571" s="81" t="str">
        <f>HYPERLINK("mailto:phultc@topica.edu.vn","phultc@topica.edu.vn")</f>
        <v>phultc@topica.edu.vn</v>
      </c>
      <c r="Q571" s="36"/>
      <c r="R571" s="36" t="s">
        <v>3869</v>
      </c>
      <c r="S571" s="36" t="str">
        <f>HYPERLINK("mailto:camphu46c@gmail.com","camphu46c@gmail.com")</f>
        <v>camphu46c@gmail.com</v>
      </c>
      <c r="T571" s="81" t="s">
        <v>3870</v>
      </c>
      <c r="U571" s="81" t="s">
        <v>3871</v>
      </c>
      <c r="V571" s="36" t="s">
        <v>3872</v>
      </c>
      <c r="W571" s="36" t="s">
        <v>2989</v>
      </c>
      <c r="X571" s="36" t="s">
        <v>3873</v>
      </c>
      <c r="Y571" s="36" t="s">
        <v>3626</v>
      </c>
      <c r="Z571" s="81"/>
      <c r="AA571" s="54"/>
      <c r="AB571" s="81" t="s">
        <v>285</v>
      </c>
      <c r="AC571" s="81" t="s">
        <v>236</v>
      </c>
      <c r="AD571" s="36" t="s">
        <v>1183</v>
      </c>
      <c r="AE571" s="81" t="s">
        <v>1184</v>
      </c>
      <c r="AF571" s="81" t="s">
        <v>231</v>
      </c>
      <c r="AG571" s="48">
        <v>41402</v>
      </c>
      <c r="AH571" s="134">
        <f t="shared" si="58"/>
        <v>5</v>
      </c>
      <c r="AI571" s="134"/>
      <c r="AJ571" s="48"/>
      <c r="AK571" s="134" t="str">
        <f t="shared" si="55"/>
        <v/>
      </c>
      <c r="AL571" s="54" t="s">
        <v>82</v>
      </c>
      <c r="AM571" s="54"/>
      <c r="AN571" s="54"/>
      <c r="AO571" s="190"/>
      <c r="AP571" s="65" t="str">
        <f t="shared" si="61"/>
        <v/>
      </c>
      <c r="AQ571" s="123"/>
      <c r="AR571" s="23"/>
      <c r="AS571" s="54" t="s">
        <v>347</v>
      </c>
      <c r="AT571" s="136"/>
      <c r="AU571" s="70">
        <f t="shared" si="60"/>
        <v>6</v>
      </c>
      <c r="AV571" s="70" t="s">
        <v>68</v>
      </c>
    </row>
    <row r="572" spans="1:48" ht="25.5" hidden="1" x14ac:dyDescent="0.2">
      <c r="A572" s="86">
        <v>20549</v>
      </c>
      <c r="B572" s="3" t="s">
        <v>1010</v>
      </c>
      <c r="C572" s="3" t="s">
        <v>256</v>
      </c>
      <c r="D572" s="86"/>
      <c r="E572" s="36" t="s">
        <v>94</v>
      </c>
      <c r="F572" s="48">
        <v>32203</v>
      </c>
      <c r="G572" s="36" t="s">
        <v>3677</v>
      </c>
      <c r="H572" s="81" t="s">
        <v>3874</v>
      </c>
      <c r="I572" s="36" t="s">
        <v>3875</v>
      </c>
      <c r="J572" s="48">
        <v>38545</v>
      </c>
      <c r="K572" s="36" t="s">
        <v>1139</v>
      </c>
      <c r="L572" s="36" t="s">
        <v>123</v>
      </c>
      <c r="M572" s="36" t="s">
        <v>3876</v>
      </c>
      <c r="N572" s="36" t="s">
        <v>3877</v>
      </c>
      <c r="O572" s="101">
        <v>2010</v>
      </c>
      <c r="P572" s="81" t="s">
        <v>3878</v>
      </c>
      <c r="Q572" s="36"/>
      <c r="R572" s="36" t="s">
        <v>3879</v>
      </c>
      <c r="S572" s="36" t="str">
        <f>HYPERLINK("mailto:thanhthaotran03@gmail.com","thanhthaotran03@gmail.com")</f>
        <v>thanhthaotran03@gmail.com</v>
      </c>
      <c r="T572" s="81" t="s">
        <v>3880</v>
      </c>
      <c r="U572" s="81" t="s">
        <v>3881</v>
      </c>
      <c r="V572" s="36" t="s">
        <v>3882</v>
      </c>
      <c r="W572" s="36" t="s">
        <v>3658</v>
      </c>
      <c r="X572" s="36" t="s">
        <v>3883</v>
      </c>
      <c r="Y572" s="36" t="s">
        <v>3626</v>
      </c>
      <c r="Z572" s="81"/>
      <c r="AA572" s="54"/>
      <c r="AB572" s="81" t="s">
        <v>285</v>
      </c>
      <c r="AC572" s="81" t="s">
        <v>236</v>
      </c>
      <c r="AD572" s="36" t="s">
        <v>1183</v>
      </c>
      <c r="AE572" s="81" t="s">
        <v>1184</v>
      </c>
      <c r="AF572" s="81" t="s">
        <v>231</v>
      </c>
      <c r="AG572" s="48">
        <v>41402</v>
      </c>
      <c r="AH572" s="134">
        <f t="shared" si="58"/>
        <v>5</v>
      </c>
      <c r="AI572" s="134"/>
      <c r="AJ572" s="48">
        <v>41463</v>
      </c>
      <c r="AK572" s="134">
        <f t="shared" si="55"/>
        <v>7</v>
      </c>
      <c r="AL572" s="54" t="s">
        <v>82</v>
      </c>
      <c r="AM572" s="54"/>
      <c r="AN572" s="54"/>
      <c r="AO572" s="190"/>
      <c r="AP572" s="65" t="str">
        <f t="shared" si="61"/>
        <v/>
      </c>
      <c r="AQ572" s="123"/>
      <c r="AR572" s="23"/>
      <c r="AS572" s="54" t="s">
        <v>347</v>
      </c>
      <c r="AT572" s="136"/>
      <c r="AU572" s="70">
        <f t="shared" si="60"/>
        <v>3</v>
      </c>
      <c r="AV572" s="70" t="s">
        <v>68</v>
      </c>
    </row>
    <row r="573" spans="1:48" ht="25.5" hidden="1" x14ac:dyDescent="0.2">
      <c r="A573" s="87">
        <v>20550</v>
      </c>
      <c r="B573" s="80" t="s">
        <v>199</v>
      </c>
      <c r="C573" s="80" t="s">
        <v>576</v>
      </c>
      <c r="D573" s="87"/>
      <c r="E573" s="123" t="s">
        <v>94</v>
      </c>
      <c r="F573" s="140">
        <v>32630</v>
      </c>
      <c r="G573" s="123" t="s">
        <v>2706</v>
      </c>
      <c r="H573" s="54" t="s">
        <v>2706</v>
      </c>
      <c r="I573" s="123" t="s">
        <v>3884</v>
      </c>
      <c r="J573" s="140">
        <v>38883</v>
      </c>
      <c r="K573" s="123" t="s">
        <v>3885</v>
      </c>
      <c r="L573" s="123" t="s">
        <v>123</v>
      </c>
      <c r="M573" s="123" t="s">
        <v>3886</v>
      </c>
      <c r="N573" s="123" t="s">
        <v>368</v>
      </c>
      <c r="O573" s="106">
        <v>2011</v>
      </c>
      <c r="P573" s="54" t="str">
        <f>HYPERLINK("mailto:thuyntt3@topica.edu.vn","thuyntt3@topica.edu.vn")</f>
        <v>thuyntt3@topica.edu.vn</v>
      </c>
      <c r="Q573" s="123"/>
      <c r="R573" s="123" t="s">
        <v>3887</v>
      </c>
      <c r="S573" s="123" t="str">
        <f>HYPERLINK("mailto:thuynguyendak@gmail.com","thuynguyendak@gmail.com")</f>
        <v>thuynguyendak@gmail.com</v>
      </c>
      <c r="T573" s="54" t="s">
        <v>3888</v>
      </c>
      <c r="U573" s="54" t="s">
        <v>3889</v>
      </c>
      <c r="V573" s="123" t="s">
        <v>3890</v>
      </c>
      <c r="W573" s="123" t="s">
        <v>3658</v>
      </c>
      <c r="X573" s="123" t="s">
        <v>3891</v>
      </c>
      <c r="Y573" s="123" t="s">
        <v>312</v>
      </c>
      <c r="Z573" s="54"/>
      <c r="AA573" s="54"/>
      <c r="AB573" s="54" t="s">
        <v>285</v>
      </c>
      <c r="AC573" s="54" t="s">
        <v>236</v>
      </c>
      <c r="AD573" s="123" t="s">
        <v>1183</v>
      </c>
      <c r="AE573" s="54" t="s">
        <v>1807</v>
      </c>
      <c r="AF573" s="54" t="s">
        <v>231</v>
      </c>
      <c r="AG573" s="140">
        <v>41395</v>
      </c>
      <c r="AH573" s="65">
        <f t="shared" si="58"/>
        <v>5</v>
      </c>
      <c r="AI573" s="65"/>
      <c r="AJ573" s="140">
        <v>41426</v>
      </c>
      <c r="AK573" s="65">
        <f t="shared" si="55"/>
        <v>6</v>
      </c>
      <c r="AL573" s="54" t="s">
        <v>66</v>
      </c>
      <c r="AM573" s="54"/>
      <c r="AN573" s="54"/>
      <c r="AO573" s="190"/>
      <c r="AP573" s="65" t="str">
        <f t="shared" si="61"/>
        <v/>
      </c>
      <c r="AQ573" s="123"/>
      <c r="AR573" s="23"/>
      <c r="AS573" s="54" t="s">
        <v>67</v>
      </c>
      <c r="AT573" s="136"/>
      <c r="AU573" s="70">
        <f t="shared" si="60"/>
        <v>5</v>
      </c>
      <c r="AV573" s="70" t="s">
        <v>68</v>
      </c>
    </row>
    <row r="574" spans="1:48" ht="25.5" hidden="1" x14ac:dyDescent="0.2">
      <c r="A574" s="87">
        <v>20551</v>
      </c>
      <c r="B574" s="80" t="s">
        <v>2700</v>
      </c>
      <c r="C574" s="80" t="s">
        <v>266</v>
      </c>
      <c r="D574" s="87"/>
      <c r="E574" s="123" t="s">
        <v>94</v>
      </c>
      <c r="F574" s="140">
        <v>33264</v>
      </c>
      <c r="G574" s="123" t="s">
        <v>52</v>
      </c>
      <c r="H574" s="54" t="s">
        <v>52</v>
      </c>
      <c r="I574" s="123" t="s">
        <v>3892</v>
      </c>
      <c r="J574" s="140">
        <v>40073</v>
      </c>
      <c r="K574" s="123" t="s">
        <v>52</v>
      </c>
      <c r="L574" s="123" t="s">
        <v>123</v>
      </c>
      <c r="M574" s="123" t="s">
        <v>1295</v>
      </c>
      <c r="N574" s="123" t="s">
        <v>3893</v>
      </c>
      <c r="O574" s="106">
        <v>2013</v>
      </c>
      <c r="P574" s="54" t="s">
        <v>3894</v>
      </c>
      <c r="Q574" s="123" t="s">
        <v>3895</v>
      </c>
      <c r="R574" s="123" t="s">
        <v>3896</v>
      </c>
      <c r="S574" s="123" t="str">
        <f>HYPERLINK("mailto:thanhhuyen260191@gmail","thanhhuyen260191@gmail")</f>
        <v>thanhhuyen260191@gmail</v>
      </c>
      <c r="T574" s="54" t="s">
        <v>3897</v>
      </c>
      <c r="U574" s="54" t="s">
        <v>3898</v>
      </c>
      <c r="V574" s="123" t="s">
        <v>3899</v>
      </c>
      <c r="W574" s="123" t="s">
        <v>745</v>
      </c>
      <c r="X574" s="123" t="s">
        <v>3900</v>
      </c>
      <c r="Y574" s="123" t="s">
        <v>312</v>
      </c>
      <c r="Z574" s="54"/>
      <c r="AA574" s="54"/>
      <c r="AB574" s="54" t="s">
        <v>285</v>
      </c>
      <c r="AC574" s="54" t="s">
        <v>236</v>
      </c>
      <c r="AD574" s="123" t="s">
        <v>207</v>
      </c>
      <c r="AE574" s="54" t="s">
        <v>1128</v>
      </c>
      <c r="AF574" s="54" t="s">
        <v>65</v>
      </c>
      <c r="AG574" s="140">
        <v>41407</v>
      </c>
      <c r="AH574" s="65">
        <f t="shared" si="58"/>
        <v>5</v>
      </c>
      <c r="AI574" s="65"/>
      <c r="AJ574" s="140">
        <v>41469</v>
      </c>
      <c r="AK574" s="65">
        <f t="shared" si="55"/>
        <v>7</v>
      </c>
      <c r="AL574" s="54" t="s">
        <v>66</v>
      </c>
      <c r="AM574" s="54"/>
      <c r="AN574" s="54"/>
      <c r="AO574" s="190"/>
      <c r="AP574" s="65" t="str">
        <f t="shared" si="61"/>
        <v/>
      </c>
      <c r="AQ574" s="123"/>
      <c r="AR574" s="23"/>
      <c r="AS574" s="54" t="s">
        <v>347</v>
      </c>
      <c r="AT574" s="136"/>
      <c r="AU574" s="70">
        <f t="shared" si="60"/>
        <v>1</v>
      </c>
      <c r="AV574" s="70" t="s">
        <v>68</v>
      </c>
    </row>
    <row r="575" spans="1:48" ht="25.5" hidden="1" x14ac:dyDescent="0.2">
      <c r="A575" s="87">
        <v>20552</v>
      </c>
      <c r="B575" s="80" t="s">
        <v>3901</v>
      </c>
      <c r="C575" s="80" t="s">
        <v>170</v>
      </c>
      <c r="D575" s="87"/>
      <c r="E575" s="123" t="s">
        <v>94</v>
      </c>
      <c r="F575" s="140">
        <v>31701</v>
      </c>
      <c r="G575" s="123" t="s">
        <v>231</v>
      </c>
      <c r="H575" s="54" t="s">
        <v>397</v>
      </c>
      <c r="I575" s="123" t="s">
        <v>3902</v>
      </c>
      <c r="J575" s="140">
        <v>39748</v>
      </c>
      <c r="K575" s="123" t="s">
        <v>3389</v>
      </c>
      <c r="L575" s="123" t="s">
        <v>123</v>
      </c>
      <c r="M575" s="123" t="s">
        <v>3903</v>
      </c>
      <c r="N575" s="123" t="s">
        <v>3904</v>
      </c>
      <c r="O575" s="106">
        <v>2008</v>
      </c>
      <c r="P575" s="54" t="str">
        <f>HYPERLINK("mailto:tutnb@topica.edu.vn","tutnb@topica.edu.vn")</f>
        <v>tutnb@topica.edu.vn</v>
      </c>
      <c r="Q575" s="123" t="s">
        <v>3905</v>
      </c>
      <c r="R575" s="123" t="s">
        <v>3906</v>
      </c>
      <c r="S575" s="123" t="str">
        <f>HYPERLINK("mailto:colin8x@yahoo.com.vn","colin8x@yahoo.com.vn")</f>
        <v>colin8x@yahoo.com.vn</v>
      </c>
      <c r="T575" s="54" t="s">
        <v>3907</v>
      </c>
      <c r="U575" s="54" t="s">
        <v>3907</v>
      </c>
      <c r="V575" s="123" t="s">
        <v>3908</v>
      </c>
      <c r="W575" s="123" t="s">
        <v>283</v>
      </c>
      <c r="X575" s="123" t="s">
        <v>3909</v>
      </c>
      <c r="Y575" s="123" t="s">
        <v>865</v>
      </c>
      <c r="Z575" s="54"/>
      <c r="AA575" s="54"/>
      <c r="AB575" s="54" t="s">
        <v>285</v>
      </c>
      <c r="AC575" s="54" t="s">
        <v>236</v>
      </c>
      <c r="AD575" s="123" t="s">
        <v>866</v>
      </c>
      <c r="AE575" s="54" t="s">
        <v>867</v>
      </c>
      <c r="AF575" s="54" t="s">
        <v>231</v>
      </c>
      <c r="AG575" s="140">
        <v>41396</v>
      </c>
      <c r="AH575" s="65">
        <f t="shared" si="58"/>
        <v>5</v>
      </c>
      <c r="AI575" s="65"/>
      <c r="AJ575" s="140">
        <v>41461</v>
      </c>
      <c r="AK575" s="65">
        <f t="shared" si="55"/>
        <v>7</v>
      </c>
      <c r="AL575" s="54" t="s">
        <v>66</v>
      </c>
      <c r="AM575" s="54"/>
      <c r="AN575" s="54"/>
      <c r="AO575" s="190"/>
      <c r="AP575" s="65" t="str">
        <f t="shared" si="61"/>
        <v/>
      </c>
      <c r="AQ575" s="123"/>
      <c r="AR575" s="23"/>
      <c r="AS575" s="54" t="s">
        <v>347</v>
      </c>
      <c r="AT575" s="136"/>
      <c r="AU575" s="70">
        <f t="shared" si="60"/>
        <v>10</v>
      </c>
      <c r="AV575" s="70" t="s">
        <v>68</v>
      </c>
    </row>
    <row r="576" spans="1:48" ht="38.25" hidden="1" x14ac:dyDescent="0.2">
      <c r="A576" s="87">
        <v>20553</v>
      </c>
      <c r="B576" s="80" t="s">
        <v>1083</v>
      </c>
      <c r="C576" s="80" t="s">
        <v>94</v>
      </c>
      <c r="D576" s="87"/>
      <c r="E576" s="123" t="s">
        <v>94</v>
      </c>
      <c r="F576" s="140">
        <v>32422</v>
      </c>
      <c r="G576" s="123" t="s">
        <v>303</v>
      </c>
      <c r="H576" s="54" t="s">
        <v>3910</v>
      </c>
      <c r="I576" s="123" t="s">
        <v>3911</v>
      </c>
      <c r="J576" s="140">
        <v>38822</v>
      </c>
      <c r="K576" s="123" t="s">
        <v>303</v>
      </c>
      <c r="L576" s="123" t="s">
        <v>123</v>
      </c>
      <c r="M576" s="123" t="s">
        <v>1838</v>
      </c>
      <c r="N576" s="123" t="s">
        <v>458</v>
      </c>
      <c r="O576" s="106">
        <v>2012</v>
      </c>
      <c r="P576" s="153" t="str">
        <f>HYPERLINK("mailto:nuht@topica.edu.vn","nuht@topica.edu.vn")</f>
        <v>nuht@topica.edu.vn</v>
      </c>
      <c r="Q576" s="123"/>
      <c r="R576" s="123" t="s">
        <v>3912</v>
      </c>
      <c r="S576" s="123"/>
      <c r="T576" s="54" t="s">
        <v>3913</v>
      </c>
      <c r="U576" s="54" t="s">
        <v>3914</v>
      </c>
      <c r="V576" s="123" t="s">
        <v>3915</v>
      </c>
      <c r="W576" s="123" t="s">
        <v>283</v>
      </c>
      <c r="X576" s="123" t="s">
        <v>3916</v>
      </c>
      <c r="Y576" s="123" t="s">
        <v>865</v>
      </c>
      <c r="Z576" s="54"/>
      <c r="AA576" s="54"/>
      <c r="AB576" s="54" t="s">
        <v>285</v>
      </c>
      <c r="AC576" s="54" t="s">
        <v>236</v>
      </c>
      <c r="AD576" s="123" t="s">
        <v>207</v>
      </c>
      <c r="AE576" s="54" t="s">
        <v>585</v>
      </c>
      <c r="AF576" s="54" t="s">
        <v>65</v>
      </c>
      <c r="AG576" s="140">
        <v>41407</v>
      </c>
      <c r="AH576" s="65">
        <f t="shared" si="58"/>
        <v>5</v>
      </c>
      <c r="AI576" s="65"/>
      <c r="AJ576" s="140">
        <v>41456</v>
      </c>
      <c r="AK576" s="65">
        <f t="shared" si="55"/>
        <v>7</v>
      </c>
      <c r="AL576" s="54" t="s">
        <v>66</v>
      </c>
      <c r="AM576" s="54"/>
      <c r="AN576" s="54"/>
      <c r="AO576" s="190"/>
      <c r="AP576" s="65" t="str">
        <f t="shared" si="61"/>
        <v/>
      </c>
      <c r="AQ576" s="123"/>
      <c r="AR576" s="23"/>
      <c r="AS576" s="54" t="s">
        <v>347</v>
      </c>
      <c r="AT576" s="136"/>
      <c r="AU576" s="70">
        <f t="shared" si="60"/>
        <v>10</v>
      </c>
      <c r="AV576" s="70" t="s">
        <v>68</v>
      </c>
    </row>
    <row r="577" spans="1:48" ht="25.5" hidden="1" x14ac:dyDescent="0.2">
      <c r="A577" s="86">
        <v>20554</v>
      </c>
      <c r="B577" s="3" t="s">
        <v>1220</v>
      </c>
      <c r="C577" s="3" t="s">
        <v>3835</v>
      </c>
      <c r="D577" s="86"/>
      <c r="E577" s="36" t="s">
        <v>94</v>
      </c>
      <c r="F577" s="48">
        <v>32628</v>
      </c>
      <c r="G577" s="36" t="s">
        <v>2056</v>
      </c>
      <c r="H577" s="81" t="s">
        <v>2056</v>
      </c>
      <c r="I577" s="36" t="s">
        <v>3917</v>
      </c>
      <c r="J577" s="48">
        <v>40060</v>
      </c>
      <c r="K577" s="36" t="s">
        <v>2056</v>
      </c>
      <c r="L577" s="36" t="s">
        <v>123</v>
      </c>
      <c r="M577" s="36" t="s">
        <v>3918</v>
      </c>
      <c r="N577" s="36" t="s">
        <v>3904</v>
      </c>
      <c r="O577" s="101">
        <v>2011</v>
      </c>
      <c r="P577" s="81" t="str">
        <f>HYPERLINK("mailto:diemntn@topica.edu.vn","diemntn@topica.edu.vn")</f>
        <v>diemntn@topica.edu.vn</v>
      </c>
      <c r="Q577" s="36"/>
      <c r="R577" s="36" t="s">
        <v>3919</v>
      </c>
      <c r="S577" s="36" t="str">
        <f>HYPERLINK("mailto:diem30489@gmail.com","diem30489@gmail.com")</f>
        <v>diem30489@gmail.com</v>
      </c>
      <c r="T577" s="81" t="s">
        <v>3920</v>
      </c>
      <c r="U577" s="81" t="s">
        <v>3921</v>
      </c>
      <c r="V577" s="36" t="s">
        <v>3922</v>
      </c>
      <c r="W577" s="36" t="s">
        <v>3646</v>
      </c>
      <c r="X577" s="36" t="s">
        <v>3923</v>
      </c>
      <c r="Y577" s="36" t="s">
        <v>616</v>
      </c>
      <c r="Z577" s="81"/>
      <c r="AA577" s="54"/>
      <c r="AB577" s="81" t="s">
        <v>285</v>
      </c>
      <c r="AC577" s="81" t="s">
        <v>236</v>
      </c>
      <c r="AD577" s="36" t="s">
        <v>866</v>
      </c>
      <c r="AE577" s="81" t="s">
        <v>867</v>
      </c>
      <c r="AF577" s="81" t="s">
        <v>231</v>
      </c>
      <c r="AG577" s="48">
        <v>41396</v>
      </c>
      <c r="AH577" s="134">
        <f t="shared" si="58"/>
        <v>5</v>
      </c>
      <c r="AI577" s="134"/>
      <c r="AJ577" s="48"/>
      <c r="AK577" s="134" t="str">
        <f t="shared" si="55"/>
        <v/>
      </c>
      <c r="AL577" s="54" t="s">
        <v>82</v>
      </c>
      <c r="AM577" s="54"/>
      <c r="AN577" s="54"/>
      <c r="AO577" s="190">
        <v>41461</v>
      </c>
      <c r="AP577" s="65">
        <f t="shared" si="61"/>
        <v>7</v>
      </c>
      <c r="AQ577" s="123"/>
      <c r="AR577" s="23"/>
      <c r="AS577" s="54" t="s">
        <v>347</v>
      </c>
      <c r="AT577" s="136"/>
      <c r="AU577" s="70">
        <f t="shared" si="60"/>
        <v>4</v>
      </c>
      <c r="AV577" s="70" t="s">
        <v>68</v>
      </c>
    </row>
    <row r="578" spans="1:48" ht="38.25" hidden="1" x14ac:dyDescent="0.2">
      <c r="A578" s="86">
        <v>20555</v>
      </c>
      <c r="B578" s="3" t="s">
        <v>3924</v>
      </c>
      <c r="C578" s="3" t="s">
        <v>3925</v>
      </c>
      <c r="D578" s="86"/>
      <c r="E578" s="36" t="s">
        <v>94</v>
      </c>
      <c r="F578" s="48">
        <v>33126</v>
      </c>
      <c r="G578" s="36" t="s">
        <v>1139</v>
      </c>
      <c r="H578" s="81" t="s">
        <v>824</v>
      </c>
      <c r="I578" s="36" t="s">
        <v>3926</v>
      </c>
      <c r="J578" s="48">
        <v>38896</v>
      </c>
      <c r="K578" s="36" t="s">
        <v>1139</v>
      </c>
      <c r="L578" s="36" t="s">
        <v>341</v>
      </c>
      <c r="M578" s="36" t="s">
        <v>3927</v>
      </c>
      <c r="N578" s="36" t="s">
        <v>368</v>
      </c>
      <c r="O578" s="101">
        <v>2011</v>
      </c>
      <c r="P578" s="81" t="str">
        <f>HYPERLINK("mailto:doannt@topica.edu.vn","doannt@topica.edu.vn")</f>
        <v>doannt@topica.edu.vn</v>
      </c>
      <c r="Q578" s="36"/>
      <c r="R578" s="36" t="s">
        <v>3928</v>
      </c>
      <c r="S578" s="36" t="str">
        <f>HYPERLINK("mailto:thucdoan.nguyen49@gmail.com","thucdoan.nguyen49@gmail.com")</f>
        <v>thucdoan.nguyen49@gmail.com</v>
      </c>
      <c r="T578" s="81" t="s">
        <v>3929</v>
      </c>
      <c r="U578" s="81" t="s">
        <v>3930</v>
      </c>
      <c r="V578" s="36" t="s">
        <v>3931</v>
      </c>
      <c r="W578" s="36" t="s">
        <v>3658</v>
      </c>
      <c r="X578" s="36" t="s">
        <v>3932</v>
      </c>
      <c r="Y578" s="36" t="s">
        <v>616</v>
      </c>
      <c r="Z578" s="81"/>
      <c r="AA578" s="54"/>
      <c r="AB578" s="81" t="s">
        <v>285</v>
      </c>
      <c r="AC578" s="81" t="s">
        <v>236</v>
      </c>
      <c r="AD578" s="36" t="s">
        <v>866</v>
      </c>
      <c r="AE578" s="81" t="s">
        <v>867</v>
      </c>
      <c r="AF578" s="81" t="s">
        <v>231</v>
      </c>
      <c r="AG578" s="48">
        <v>41396</v>
      </c>
      <c r="AH578" s="134">
        <f t="shared" si="58"/>
        <v>5</v>
      </c>
      <c r="AI578" s="134"/>
      <c r="AJ578" s="48"/>
      <c r="AK578" s="134" t="str">
        <f t="shared" si="55"/>
        <v/>
      </c>
      <c r="AL578" s="54" t="s">
        <v>82</v>
      </c>
      <c r="AM578" s="54"/>
      <c r="AN578" s="54"/>
      <c r="AO578" s="190">
        <v>41451</v>
      </c>
      <c r="AP578" s="65">
        <f t="shared" si="61"/>
        <v>6</v>
      </c>
      <c r="AQ578" s="123"/>
      <c r="AR578" s="23"/>
      <c r="AS578" s="54" t="s">
        <v>347</v>
      </c>
      <c r="AT578" s="136"/>
      <c r="AU578" s="70">
        <f t="shared" si="60"/>
        <v>9</v>
      </c>
      <c r="AV578" s="70" t="s">
        <v>68</v>
      </c>
    </row>
    <row r="579" spans="1:48" ht="25.5" x14ac:dyDescent="0.2">
      <c r="A579" s="87">
        <v>20556</v>
      </c>
      <c r="B579" s="80" t="s">
        <v>3933</v>
      </c>
      <c r="C579" s="80" t="s">
        <v>3635</v>
      </c>
      <c r="D579" s="87"/>
      <c r="E579" s="123" t="s">
        <v>94</v>
      </c>
      <c r="F579" s="140">
        <v>32095</v>
      </c>
      <c r="G579" s="123" t="s">
        <v>3004</v>
      </c>
      <c r="H579" s="54"/>
      <c r="I579" s="123" t="s">
        <v>3934</v>
      </c>
      <c r="J579" s="140">
        <v>38021</v>
      </c>
      <c r="K579" s="123" t="s">
        <v>3935</v>
      </c>
      <c r="L579" s="123" t="s">
        <v>123</v>
      </c>
      <c r="M579" s="123" t="s">
        <v>3936</v>
      </c>
      <c r="N579" s="123" t="s">
        <v>368</v>
      </c>
      <c r="O579" s="106">
        <v>2010</v>
      </c>
      <c r="P579" s="54" t="str">
        <f>HYPERLINK("mailto:phucvtt@topica.edu.vn","phucvtt@topica.edu.vn")</f>
        <v>phucvtt@topica.edu.vn</v>
      </c>
      <c r="Q579" s="123"/>
      <c r="R579" s="123" t="s">
        <v>3937</v>
      </c>
      <c r="S579" s="123" t="str">
        <f>HYPERLINK("mailto:phucvo1487@gmail.com","phucvo1487@gmail.com")</f>
        <v>phucvo1487@gmail.com</v>
      </c>
      <c r="T579" s="54" t="s">
        <v>3938</v>
      </c>
      <c r="U579" s="54" t="s">
        <v>3939</v>
      </c>
      <c r="V579" s="123" t="s">
        <v>3940</v>
      </c>
      <c r="W579" s="123" t="s">
        <v>745</v>
      </c>
      <c r="X579" s="123" t="s">
        <v>3941</v>
      </c>
      <c r="Y579" s="123" t="s">
        <v>972</v>
      </c>
      <c r="Z579" s="54"/>
      <c r="AA579" s="54"/>
      <c r="AB579" s="54" t="s">
        <v>285</v>
      </c>
      <c r="AC579" s="54" t="s">
        <v>236</v>
      </c>
      <c r="AD579" s="123" t="s">
        <v>1183</v>
      </c>
      <c r="AE579" s="54" t="s">
        <v>1184</v>
      </c>
      <c r="AF579" s="54" t="s">
        <v>231</v>
      </c>
      <c r="AG579" s="140">
        <v>41407</v>
      </c>
      <c r="AH579" s="65">
        <f t="shared" si="58"/>
        <v>5</v>
      </c>
      <c r="AI579" s="65"/>
      <c r="AJ579" s="140">
        <v>41468</v>
      </c>
      <c r="AK579" s="65">
        <f t="shared" ref="AK579:AK642" si="62">IF((AJ579=""),"",MONTH(AJ579))</f>
        <v>7</v>
      </c>
      <c r="AL579" s="54" t="s">
        <v>66</v>
      </c>
      <c r="AM579" s="54"/>
      <c r="AN579" s="54"/>
      <c r="AO579" s="190"/>
      <c r="AP579" s="65" t="str">
        <f t="shared" si="61"/>
        <v/>
      </c>
      <c r="AQ579" s="123"/>
      <c r="AR579" s="23"/>
      <c r="AS579" s="54" t="s">
        <v>347</v>
      </c>
      <c r="AT579" s="136"/>
      <c r="AU579" s="70">
        <f t="shared" si="60"/>
        <v>11</v>
      </c>
      <c r="AV579" s="70" t="s">
        <v>68</v>
      </c>
    </row>
    <row r="580" spans="1:48" ht="38.25" hidden="1" x14ac:dyDescent="0.2">
      <c r="A580" s="86">
        <v>20557</v>
      </c>
      <c r="B580" s="3" t="s">
        <v>3942</v>
      </c>
      <c r="C580" s="3" t="s">
        <v>256</v>
      </c>
      <c r="D580" s="86"/>
      <c r="E580" s="36" t="s">
        <v>94</v>
      </c>
      <c r="F580" s="48">
        <v>32896</v>
      </c>
      <c r="G580" s="36" t="s">
        <v>1103</v>
      </c>
      <c r="H580" s="81"/>
      <c r="I580" s="36" t="s">
        <v>3943</v>
      </c>
      <c r="J580" s="48">
        <v>38588</v>
      </c>
      <c r="K580" s="36" t="s">
        <v>1103</v>
      </c>
      <c r="L580" s="36" t="s">
        <v>123</v>
      </c>
      <c r="M580" s="36" t="s">
        <v>1508</v>
      </c>
      <c r="N580" s="36" t="s">
        <v>152</v>
      </c>
      <c r="O580" s="101">
        <v>2012</v>
      </c>
      <c r="P580" s="81" t="str">
        <f>HYPERLINK("mailto:thaodct@topica.edu.vn","thaodct@topica.edu.vn")</f>
        <v>thaodct@topica.edu.vn</v>
      </c>
      <c r="Q580" s="36"/>
      <c r="R580" s="36" t="s">
        <v>3944</v>
      </c>
      <c r="S580" s="36" t="str">
        <f>HYPERLINK("mailto:tamthao.vt@gmail.com","tamthao.vt@gmail.com")</f>
        <v>tamthao.vt@gmail.com</v>
      </c>
      <c r="T580" s="81" t="s">
        <v>3945</v>
      </c>
      <c r="U580" s="81" t="s">
        <v>3946</v>
      </c>
      <c r="V580" s="36" t="s">
        <v>3947</v>
      </c>
      <c r="W580" s="36" t="s">
        <v>283</v>
      </c>
      <c r="X580" s="36" t="s">
        <v>3948</v>
      </c>
      <c r="Y580" s="36" t="s">
        <v>616</v>
      </c>
      <c r="Z580" s="81"/>
      <c r="AA580" s="54"/>
      <c r="AB580" s="81" t="s">
        <v>285</v>
      </c>
      <c r="AC580" s="81" t="s">
        <v>236</v>
      </c>
      <c r="AD580" s="36" t="s">
        <v>866</v>
      </c>
      <c r="AE580" s="81" t="s">
        <v>867</v>
      </c>
      <c r="AF580" s="81" t="s">
        <v>231</v>
      </c>
      <c r="AG580" s="48">
        <v>41383</v>
      </c>
      <c r="AH580" s="134">
        <f t="shared" si="58"/>
        <v>4</v>
      </c>
      <c r="AI580" s="134"/>
      <c r="AJ580" s="48">
        <v>41447</v>
      </c>
      <c r="AK580" s="134">
        <f t="shared" si="62"/>
        <v>6</v>
      </c>
      <c r="AL580" s="54" t="s">
        <v>82</v>
      </c>
      <c r="AM580" s="54"/>
      <c r="AN580" s="54"/>
      <c r="AO580" s="190">
        <v>41491</v>
      </c>
      <c r="AP580" s="65">
        <f t="shared" si="61"/>
        <v>8</v>
      </c>
      <c r="AQ580" s="123"/>
      <c r="AR580" s="23"/>
      <c r="AS580" s="54" t="s">
        <v>347</v>
      </c>
      <c r="AT580" s="136"/>
      <c r="AU580" s="70">
        <f t="shared" si="60"/>
        <v>1</v>
      </c>
      <c r="AV580" s="70" t="s">
        <v>68</v>
      </c>
    </row>
    <row r="581" spans="1:48" ht="25.5" hidden="1" x14ac:dyDescent="0.2">
      <c r="A581" s="87">
        <v>20558</v>
      </c>
      <c r="B581" s="80" t="s">
        <v>255</v>
      </c>
      <c r="C581" s="80" t="s">
        <v>256</v>
      </c>
      <c r="D581" s="87"/>
      <c r="E581" s="123" t="s">
        <v>94</v>
      </c>
      <c r="F581" s="140">
        <v>33219</v>
      </c>
      <c r="G581" s="123" t="s">
        <v>2056</v>
      </c>
      <c r="H581" s="54" t="s">
        <v>2056</v>
      </c>
      <c r="I581" s="123" t="s">
        <v>3949</v>
      </c>
      <c r="J581" s="140">
        <v>39508</v>
      </c>
      <c r="K581" s="123" t="s">
        <v>3950</v>
      </c>
      <c r="L581" s="123" t="s">
        <v>123</v>
      </c>
      <c r="M581" s="123" t="s">
        <v>3951</v>
      </c>
      <c r="N581" s="123" t="s">
        <v>3952</v>
      </c>
      <c r="O581" s="106">
        <v>2012</v>
      </c>
      <c r="P581" s="54" t="str">
        <f>HYPERLINK("mailto:thaontp2@topica.edu.vn","thaontp2@topica.edu.vn")</f>
        <v>thaontp2@topica.edu.vn</v>
      </c>
      <c r="Q581" s="123" t="s">
        <v>3953</v>
      </c>
      <c r="R581" s="123" t="s">
        <v>3954</v>
      </c>
      <c r="S581" s="123" t="str">
        <f>HYPERLINK("mailto:pthao_tg@yahoo.com","pthao_tg@yahoo.com")</f>
        <v>pthao_tg@yahoo.com</v>
      </c>
      <c r="T581" s="54" t="s">
        <v>3955</v>
      </c>
      <c r="U581" s="54" t="s">
        <v>3956</v>
      </c>
      <c r="V581" s="123" t="s">
        <v>3957</v>
      </c>
      <c r="W581" s="123" t="s">
        <v>283</v>
      </c>
      <c r="X581" s="123" t="s">
        <v>3958</v>
      </c>
      <c r="Y581" s="123" t="s">
        <v>312</v>
      </c>
      <c r="Z581" s="54"/>
      <c r="AA581" s="54"/>
      <c r="AB581" s="54" t="s">
        <v>285</v>
      </c>
      <c r="AC581" s="54" t="s">
        <v>236</v>
      </c>
      <c r="AD581" s="123" t="s">
        <v>1183</v>
      </c>
      <c r="AE581" s="54" t="s">
        <v>1219</v>
      </c>
      <c r="AF581" s="54" t="s">
        <v>231</v>
      </c>
      <c r="AG581" s="140">
        <v>41395</v>
      </c>
      <c r="AH581" s="65">
        <f t="shared" si="58"/>
        <v>5</v>
      </c>
      <c r="AI581" s="65"/>
      <c r="AJ581" s="140">
        <v>41426</v>
      </c>
      <c r="AK581" s="65">
        <f t="shared" si="62"/>
        <v>6</v>
      </c>
      <c r="AL581" s="54" t="s">
        <v>66</v>
      </c>
      <c r="AM581" s="54"/>
      <c r="AN581" s="54"/>
      <c r="AO581" s="190"/>
      <c r="AP581" s="65" t="str">
        <f t="shared" si="61"/>
        <v/>
      </c>
      <c r="AQ581" s="123" t="s">
        <v>3959</v>
      </c>
      <c r="AR581" s="23"/>
      <c r="AS581" s="54" t="s">
        <v>67</v>
      </c>
      <c r="AT581" s="136"/>
      <c r="AU581" s="70">
        <f t="shared" si="60"/>
        <v>12</v>
      </c>
      <c r="AV581" s="70" t="s">
        <v>68</v>
      </c>
    </row>
    <row r="582" spans="1:48" ht="12.75" hidden="1" x14ac:dyDescent="0.2">
      <c r="A582" s="86">
        <v>20559</v>
      </c>
      <c r="B582" s="3" t="s">
        <v>3960</v>
      </c>
      <c r="C582" s="3" t="s">
        <v>160</v>
      </c>
      <c r="D582" s="86"/>
      <c r="E582" s="36" t="s">
        <v>94</v>
      </c>
      <c r="F582" s="48">
        <v>33523</v>
      </c>
      <c r="G582" s="36"/>
      <c r="H582" s="81" t="s">
        <v>121</v>
      </c>
      <c r="I582" s="36" t="s">
        <v>3961</v>
      </c>
      <c r="J582" s="48">
        <v>40784</v>
      </c>
      <c r="K582" s="36" t="s">
        <v>120</v>
      </c>
      <c r="L582" s="36"/>
      <c r="M582" s="36"/>
      <c r="N582" s="36"/>
      <c r="O582" s="101"/>
      <c r="P582" s="81" t="str">
        <f>HYPERLINK("mailto:anhntv@topica.edu.vn","anhntv@topica.edu.vn")</f>
        <v>anhntv@topica.edu.vn</v>
      </c>
      <c r="Q582" s="36"/>
      <c r="R582" s="36" t="s">
        <v>3962</v>
      </c>
      <c r="S582" s="36"/>
      <c r="T582" s="81"/>
      <c r="U582" s="81"/>
      <c r="V582" s="36"/>
      <c r="W582" s="36"/>
      <c r="X582" s="36"/>
      <c r="Y582" s="36" t="s">
        <v>284</v>
      </c>
      <c r="Z582" s="81"/>
      <c r="AA582" s="54"/>
      <c r="AB582" s="81" t="s">
        <v>285</v>
      </c>
      <c r="AC582" s="81" t="s">
        <v>236</v>
      </c>
      <c r="AD582" s="123" t="s">
        <v>375</v>
      </c>
      <c r="AE582" s="81" t="s">
        <v>2099</v>
      </c>
      <c r="AF582" s="81" t="s">
        <v>65</v>
      </c>
      <c r="AG582" s="48"/>
      <c r="AH582" s="116"/>
      <c r="AI582" s="134"/>
      <c r="AJ582" s="48">
        <v>41435</v>
      </c>
      <c r="AK582" s="134">
        <f t="shared" si="62"/>
        <v>6</v>
      </c>
      <c r="AL582" s="54" t="s">
        <v>82</v>
      </c>
      <c r="AM582" s="37"/>
      <c r="AN582" s="161"/>
      <c r="AO582" s="190">
        <v>41517</v>
      </c>
      <c r="AP582" s="65">
        <f t="shared" si="61"/>
        <v>8</v>
      </c>
      <c r="AQ582" s="23"/>
      <c r="AR582" s="23"/>
      <c r="AS582" s="54" t="s">
        <v>107</v>
      </c>
      <c r="AT582" s="136"/>
      <c r="AU582" s="70">
        <f t="shared" si="60"/>
        <v>10</v>
      </c>
      <c r="AV582" s="70" t="s">
        <v>68</v>
      </c>
    </row>
    <row r="583" spans="1:48" ht="38.25" hidden="1" x14ac:dyDescent="0.2">
      <c r="A583" s="86">
        <v>20560</v>
      </c>
      <c r="B583" s="3" t="s">
        <v>3963</v>
      </c>
      <c r="C583" s="3" t="s">
        <v>3964</v>
      </c>
      <c r="D583" s="86"/>
      <c r="E583" s="36" t="s">
        <v>94</v>
      </c>
      <c r="F583" s="48">
        <v>32995</v>
      </c>
      <c r="G583" s="36" t="s">
        <v>921</v>
      </c>
      <c r="H583" s="81" t="s">
        <v>922</v>
      </c>
      <c r="I583" s="36" t="s">
        <v>3965</v>
      </c>
      <c r="J583" s="48">
        <v>39413</v>
      </c>
      <c r="K583" s="36" t="s">
        <v>921</v>
      </c>
      <c r="L583" s="36" t="s">
        <v>123</v>
      </c>
      <c r="M583" s="36" t="s">
        <v>3571</v>
      </c>
      <c r="N583" s="36" t="s">
        <v>307</v>
      </c>
      <c r="O583" s="101">
        <v>2012</v>
      </c>
      <c r="P583" s="81" t="str">
        <f>HYPERLINK("mailto:lamntt@topica.edu.vn","lamntt@topica.edu.vn")</f>
        <v>lamntt@topica.edu.vn</v>
      </c>
      <c r="Q583" s="36"/>
      <c r="R583" s="36" t="s">
        <v>3966</v>
      </c>
      <c r="S583" s="36" t="str">
        <f>HYPERLINK("mailto:nguyentruclam90@gmail.com","nguyentruclam90@gmail.com")</f>
        <v>nguyentruclam90@gmail.com</v>
      </c>
      <c r="T583" s="81" t="s">
        <v>3967</v>
      </c>
      <c r="U583" s="81" t="s">
        <v>3968</v>
      </c>
      <c r="V583" s="36" t="s">
        <v>3969</v>
      </c>
      <c r="W583" s="36" t="s">
        <v>3646</v>
      </c>
      <c r="X583" s="36" t="s">
        <v>3970</v>
      </c>
      <c r="Y583" s="36" t="s">
        <v>616</v>
      </c>
      <c r="Z583" s="81"/>
      <c r="AA583" s="54"/>
      <c r="AB583" s="81" t="s">
        <v>285</v>
      </c>
      <c r="AC583" s="81" t="s">
        <v>236</v>
      </c>
      <c r="AD583" s="36" t="s">
        <v>866</v>
      </c>
      <c r="AE583" s="81" t="s">
        <v>867</v>
      </c>
      <c r="AF583" s="81" t="s">
        <v>231</v>
      </c>
      <c r="AG583" s="48">
        <v>41383</v>
      </c>
      <c r="AH583" s="134">
        <f t="shared" ref="AH583:AH603" si="63">IF((AG583=""),"",MONTH(AG583))</f>
        <v>4</v>
      </c>
      <c r="AI583" s="134"/>
      <c r="AJ583" s="48">
        <v>41447</v>
      </c>
      <c r="AK583" s="134">
        <f t="shared" si="62"/>
        <v>6</v>
      </c>
      <c r="AL583" s="54" t="s">
        <v>82</v>
      </c>
      <c r="AM583" s="54"/>
      <c r="AN583" s="54"/>
      <c r="AO583" s="190"/>
      <c r="AP583" s="65" t="str">
        <f t="shared" si="61"/>
        <v/>
      </c>
      <c r="AQ583" s="123"/>
      <c r="AR583" s="23"/>
      <c r="AS583" s="54" t="s">
        <v>347</v>
      </c>
      <c r="AT583" s="136"/>
      <c r="AU583" s="70">
        <f t="shared" si="60"/>
        <v>5</v>
      </c>
      <c r="AV583" s="70" t="s">
        <v>68</v>
      </c>
    </row>
    <row r="584" spans="1:48" ht="25.5" hidden="1" x14ac:dyDescent="0.2">
      <c r="A584" s="87">
        <v>20561</v>
      </c>
      <c r="B584" s="80" t="s">
        <v>1965</v>
      </c>
      <c r="C584" s="80" t="s">
        <v>1715</v>
      </c>
      <c r="D584" s="87"/>
      <c r="E584" s="123" t="s">
        <v>94</v>
      </c>
      <c r="F584" s="140">
        <v>33129</v>
      </c>
      <c r="G584" s="123" t="s">
        <v>1967</v>
      </c>
      <c r="H584" s="54" t="s">
        <v>1968</v>
      </c>
      <c r="I584" s="123" t="s">
        <v>3971</v>
      </c>
      <c r="J584" s="140">
        <v>38795</v>
      </c>
      <c r="K584" s="123" t="s">
        <v>3972</v>
      </c>
      <c r="L584" s="123" t="s">
        <v>341</v>
      </c>
      <c r="M584" s="123" t="s">
        <v>2038</v>
      </c>
      <c r="N584" s="123" t="s">
        <v>458</v>
      </c>
      <c r="O584" s="106">
        <v>2011</v>
      </c>
      <c r="P584" s="54" t="s">
        <v>3973</v>
      </c>
      <c r="Q584" s="123" t="s">
        <v>3974</v>
      </c>
      <c r="R584" s="123" t="s">
        <v>3975</v>
      </c>
      <c r="S584" s="123" t="str">
        <f>HYPERLINK("mailto:chungthihuyentrinh@gmail.com","chungthihuyentrinh@gmail.com")</f>
        <v>chungthihuyentrinh@gmail.com</v>
      </c>
      <c r="T584" s="54" t="s">
        <v>1973</v>
      </c>
      <c r="U584" s="54" t="s">
        <v>3976</v>
      </c>
      <c r="V584" s="123" t="s">
        <v>3977</v>
      </c>
      <c r="W584" s="123" t="s">
        <v>3658</v>
      </c>
      <c r="X584" s="123" t="s">
        <v>3978</v>
      </c>
      <c r="Y584" s="123" t="s">
        <v>312</v>
      </c>
      <c r="Z584" s="54"/>
      <c r="AA584" s="54"/>
      <c r="AB584" s="54" t="s">
        <v>285</v>
      </c>
      <c r="AC584" s="54" t="s">
        <v>236</v>
      </c>
      <c r="AD584" s="123" t="s">
        <v>866</v>
      </c>
      <c r="AE584" s="54" t="s">
        <v>901</v>
      </c>
      <c r="AF584" s="54" t="s">
        <v>231</v>
      </c>
      <c r="AG584" s="140">
        <v>41426</v>
      </c>
      <c r="AH584" s="65">
        <f t="shared" si="63"/>
        <v>6</v>
      </c>
      <c r="AI584" s="65"/>
      <c r="AJ584" s="140">
        <v>41487</v>
      </c>
      <c r="AK584" s="65">
        <f t="shared" si="62"/>
        <v>8</v>
      </c>
      <c r="AL584" s="54" t="s">
        <v>66</v>
      </c>
      <c r="AM584" s="54"/>
      <c r="AN584" s="54"/>
      <c r="AO584" s="190"/>
      <c r="AP584" s="65" t="str">
        <f t="shared" si="61"/>
        <v/>
      </c>
      <c r="AQ584" s="123"/>
      <c r="AR584" s="23"/>
      <c r="AS584" s="54" t="s">
        <v>347</v>
      </c>
      <c r="AT584" s="136"/>
      <c r="AU584" s="70">
        <f t="shared" si="60"/>
        <v>9</v>
      </c>
      <c r="AV584" s="70" t="s">
        <v>68</v>
      </c>
    </row>
    <row r="585" spans="1:48" ht="25.5" hidden="1" x14ac:dyDescent="0.2">
      <c r="A585" s="87">
        <v>20562</v>
      </c>
      <c r="B585" s="80" t="s">
        <v>848</v>
      </c>
      <c r="C585" s="80" t="s">
        <v>266</v>
      </c>
      <c r="D585" s="87"/>
      <c r="E585" s="123" t="s">
        <v>94</v>
      </c>
      <c r="F585" s="140">
        <v>32446</v>
      </c>
      <c r="G585" s="123" t="s">
        <v>884</v>
      </c>
      <c r="H585" s="54" t="s">
        <v>2193</v>
      </c>
      <c r="I585" s="123" t="s">
        <v>3979</v>
      </c>
      <c r="J585" s="140">
        <v>38540</v>
      </c>
      <c r="K585" s="123" t="s">
        <v>3980</v>
      </c>
      <c r="L585" s="123" t="s">
        <v>341</v>
      </c>
      <c r="M585" s="123" t="s">
        <v>3796</v>
      </c>
      <c r="N585" s="123" t="s">
        <v>1815</v>
      </c>
      <c r="O585" s="106">
        <v>2010</v>
      </c>
      <c r="P585" s="153" t="str">
        <f>HYPERLINK("mailto:huyenntt3@topica.edu.vn","huyenntt3@topica.edu.vn")</f>
        <v>huyenntt3@topica.edu.vn</v>
      </c>
      <c r="Q585" s="123"/>
      <c r="R585" s="123" t="s">
        <v>3981</v>
      </c>
      <c r="S585" s="123" t="str">
        <f>HYPERLINK("mailto:nguyenhuyen3010@yahoo.com","nguyenhuyen3010@yahoo.com")</f>
        <v>nguyenhuyen3010@yahoo.com</v>
      </c>
      <c r="T585" s="54" t="s">
        <v>3982</v>
      </c>
      <c r="U585" s="54" t="s">
        <v>3983</v>
      </c>
      <c r="V585" s="123"/>
      <c r="W585" s="123"/>
      <c r="X585" s="123"/>
      <c r="Y585" s="123" t="s">
        <v>865</v>
      </c>
      <c r="Z585" s="54"/>
      <c r="AA585" s="54"/>
      <c r="AB585" s="54" t="s">
        <v>285</v>
      </c>
      <c r="AC585" s="54" t="s">
        <v>236</v>
      </c>
      <c r="AD585" s="123" t="s">
        <v>866</v>
      </c>
      <c r="AE585" s="54" t="s">
        <v>867</v>
      </c>
      <c r="AF585" s="54" t="s">
        <v>231</v>
      </c>
      <c r="AG585" s="140">
        <v>41418</v>
      </c>
      <c r="AH585" s="65">
        <f t="shared" si="63"/>
        <v>5</v>
      </c>
      <c r="AI585" s="65"/>
      <c r="AJ585" s="140">
        <v>41479</v>
      </c>
      <c r="AK585" s="65">
        <f t="shared" si="62"/>
        <v>7</v>
      </c>
      <c r="AL585" s="54" t="s">
        <v>66</v>
      </c>
      <c r="AM585" s="54"/>
      <c r="AN585" s="54"/>
      <c r="AO585" s="190"/>
      <c r="AP585" s="65" t="str">
        <f t="shared" si="61"/>
        <v/>
      </c>
      <c r="AQ585" s="123"/>
      <c r="AR585" s="23"/>
      <c r="AS585" s="54" t="s">
        <v>347</v>
      </c>
      <c r="AT585" s="136"/>
      <c r="AU585" s="70">
        <f t="shared" si="60"/>
        <v>10</v>
      </c>
      <c r="AV585" s="70" t="s">
        <v>68</v>
      </c>
    </row>
    <row r="586" spans="1:48" ht="25.5" hidden="1" x14ac:dyDescent="0.2">
      <c r="A586" s="87">
        <v>20563</v>
      </c>
      <c r="B586" s="80" t="s">
        <v>596</v>
      </c>
      <c r="C586" s="80" t="s">
        <v>869</v>
      </c>
      <c r="D586" s="87"/>
      <c r="E586" s="123" t="s">
        <v>94</v>
      </c>
      <c r="F586" s="140">
        <v>32742</v>
      </c>
      <c r="G586" s="123" t="s">
        <v>365</v>
      </c>
      <c r="H586" s="54" t="s">
        <v>365</v>
      </c>
      <c r="I586" s="123" t="s">
        <v>3984</v>
      </c>
      <c r="J586" s="140">
        <v>39811</v>
      </c>
      <c r="K586" s="123" t="s">
        <v>365</v>
      </c>
      <c r="L586" s="123" t="s">
        <v>341</v>
      </c>
      <c r="M586" s="123" t="s">
        <v>3985</v>
      </c>
      <c r="N586" s="123" t="s">
        <v>3986</v>
      </c>
      <c r="O586" s="106">
        <v>2011</v>
      </c>
      <c r="P586" s="54" t="str">
        <f>HYPERLINK("mailto:hoapt@topica.edu.vn","hoapt@topica.edu.vn")</f>
        <v>hoapt@topica.edu.vn</v>
      </c>
      <c r="Q586" s="123"/>
      <c r="R586" s="123" t="s">
        <v>3987</v>
      </c>
      <c r="S586" s="123"/>
      <c r="T586" s="54" t="s">
        <v>3988</v>
      </c>
      <c r="U586" s="54" t="s">
        <v>3989</v>
      </c>
      <c r="V586" s="123" t="s">
        <v>3990</v>
      </c>
      <c r="W586" s="123"/>
      <c r="X586" s="123"/>
      <c r="Y586" s="123" t="s">
        <v>865</v>
      </c>
      <c r="Z586" s="54"/>
      <c r="AA586" s="54"/>
      <c r="AB586" s="54" t="s">
        <v>285</v>
      </c>
      <c r="AC586" s="54" t="s">
        <v>236</v>
      </c>
      <c r="AD586" s="123" t="s">
        <v>207</v>
      </c>
      <c r="AE586" s="54" t="s">
        <v>585</v>
      </c>
      <c r="AF586" s="54" t="s">
        <v>65</v>
      </c>
      <c r="AG586" s="140">
        <v>41421</v>
      </c>
      <c r="AH586" s="65">
        <f t="shared" si="63"/>
        <v>5</v>
      </c>
      <c r="AI586" s="65"/>
      <c r="AJ586" s="140">
        <v>41496</v>
      </c>
      <c r="AK586" s="65">
        <f t="shared" si="62"/>
        <v>8</v>
      </c>
      <c r="AL586" s="54" t="s">
        <v>66</v>
      </c>
      <c r="AM586" s="54"/>
      <c r="AN586" s="54"/>
      <c r="AO586" s="190"/>
      <c r="AP586" s="65" t="str">
        <f t="shared" si="61"/>
        <v/>
      </c>
      <c r="AQ586" s="123"/>
      <c r="AR586" s="23"/>
      <c r="AS586" s="54" t="s">
        <v>347</v>
      </c>
      <c r="AT586" s="136"/>
      <c r="AU586" s="70">
        <f t="shared" si="60"/>
        <v>8</v>
      </c>
      <c r="AV586" s="70" t="s">
        <v>68</v>
      </c>
    </row>
    <row r="587" spans="1:48" ht="38.25" hidden="1" x14ac:dyDescent="0.2">
      <c r="A587" s="87">
        <v>20564</v>
      </c>
      <c r="B587" s="80" t="s">
        <v>3991</v>
      </c>
      <c r="C587" s="80" t="s">
        <v>3992</v>
      </c>
      <c r="D587" s="87"/>
      <c r="E587" s="123" t="s">
        <v>94</v>
      </c>
      <c r="F587" s="140">
        <v>30709</v>
      </c>
      <c r="G587" s="123" t="s">
        <v>3993</v>
      </c>
      <c r="H587" s="54" t="s">
        <v>3994</v>
      </c>
      <c r="I587" s="123" t="s">
        <v>3995</v>
      </c>
      <c r="J587" s="140">
        <v>38285</v>
      </c>
      <c r="K587" s="123" t="s">
        <v>0</v>
      </c>
      <c r="L587" s="123" t="s">
        <v>123</v>
      </c>
      <c r="M587" s="123" t="s">
        <v>578</v>
      </c>
      <c r="N587" s="123" t="s">
        <v>3996</v>
      </c>
      <c r="O587" s="106">
        <v>2008</v>
      </c>
      <c r="P587" s="54" t="s">
        <v>3997</v>
      </c>
      <c r="Q587" s="123"/>
      <c r="R587" s="123" t="s">
        <v>3998</v>
      </c>
      <c r="S587" s="123"/>
      <c r="T587" s="54" t="s">
        <v>3999</v>
      </c>
      <c r="U587" s="54"/>
      <c r="V587" s="123"/>
      <c r="W587" s="123"/>
      <c r="X587" s="123"/>
      <c r="Y587" s="123" t="s">
        <v>865</v>
      </c>
      <c r="Z587" s="54"/>
      <c r="AA587" s="54"/>
      <c r="AB587" s="54" t="s">
        <v>285</v>
      </c>
      <c r="AC587" s="54" t="s">
        <v>236</v>
      </c>
      <c r="AD587" s="123" t="s">
        <v>207</v>
      </c>
      <c r="AE587" s="54" t="s">
        <v>585</v>
      </c>
      <c r="AF587" s="54" t="s">
        <v>65</v>
      </c>
      <c r="AG587" s="140">
        <v>41421</v>
      </c>
      <c r="AH587" s="65">
        <f t="shared" si="63"/>
        <v>5</v>
      </c>
      <c r="AI587" s="65"/>
      <c r="AJ587" s="140">
        <v>41533</v>
      </c>
      <c r="AK587" s="65">
        <f t="shared" si="62"/>
        <v>9</v>
      </c>
      <c r="AL587" s="54" t="s">
        <v>66</v>
      </c>
      <c r="AM587" s="54"/>
      <c r="AN587" s="54"/>
      <c r="AO587" s="190"/>
      <c r="AP587" s="65" t="str">
        <f t="shared" si="61"/>
        <v/>
      </c>
      <c r="AQ587" s="123"/>
      <c r="AR587" s="23"/>
      <c r="AS587" s="54" t="s">
        <v>347</v>
      </c>
      <c r="AT587" s="136"/>
      <c r="AU587" s="70">
        <f t="shared" si="60"/>
        <v>1</v>
      </c>
      <c r="AV587" s="70" t="s">
        <v>68</v>
      </c>
    </row>
    <row r="588" spans="1:48" ht="38.25" hidden="1" x14ac:dyDescent="0.2">
      <c r="A588" s="86">
        <v>20565</v>
      </c>
      <c r="B588" s="3" t="s">
        <v>4000</v>
      </c>
      <c r="C588" s="3" t="s">
        <v>1017</v>
      </c>
      <c r="D588" s="86"/>
      <c r="E588" s="36" t="s">
        <v>94</v>
      </c>
      <c r="F588" s="48">
        <v>32212</v>
      </c>
      <c r="G588" s="36" t="s">
        <v>379</v>
      </c>
      <c r="H588" s="81" t="s">
        <v>380</v>
      </c>
      <c r="I588" s="36" t="s">
        <v>4001</v>
      </c>
      <c r="J588" s="48">
        <v>38762</v>
      </c>
      <c r="K588" s="36" t="s">
        <v>379</v>
      </c>
      <c r="L588" s="36" t="s">
        <v>341</v>
      </c>
      <c r="M588" s="36" t="s">
        <v>4002</v>
      </c>
      <c r="N588" s="36" t="s">
        <v>458</v>
      </c>
      <c r="O588" s="101">
        <v>2011</v>
      </c>
      <c r="P588" s="159" t="str">
        <f>HYPERLINK("mailto:quynhntn@topica.edu.vn","quynhntn@topica.edu.vn")</f>
        <v>quynhntn@topica.edu.vn</v>
      </c>
      <c r="Q588" s="36"/>
      <c r="R588" s="36" t="s">
        <v>4003</v>
      </c>
      <c r="S588" s="156" t="str">
        <f>HYPERLINK("mailto:nhuquynhnguyen103@gmail.com","nhuquynhnguyen103@gmail.com")</f>
        <v>nhuquynhnguyen103@gmail.com</v>
      </c>
      <c r="T588" s="81" t="s">
        <v>4004</v>
      </c>
      <c r="U588" s="81" t="s">
        <v>4005</v>
      </c>
      <c r="V588" s="36" t="s">
        <v>4006</v>
      </c>
      <c r="W588" s="36" t="s">
        <v>745</v>
      </c>
      <c r="X588" s="36" t="s">
        <v>4007</v>
      </c>
      <c r="Y588" s="36" t="s">
        <v>616</v>
      </c>
      <c r="Z588" s="81"/>
      <c r="AA588" s="54"/>
      <c r="AB588" s="81" t="s">
        <v>285</v>
      </c>
      <c r="AC588" s="81" t="s">
        <v>236</v>
      </c>
      <c r="AD588" s="36" t="s">
        <v>207</v>
      </c>
      <c r="AE588" s="81" t="s">
        <v>585</v>
      </c>
      <c r="AF588" s="81" t="s">
        <v>65</v>
      </c>
      <c r="AG588" s="48">
        <v>41421</v>
      </c>
      <c r="AH588" s="134">
        <f t="shared" si="63"/>
        <v>5</v>
      </c>
      <c r="AI588" s="134"/>
      <c r="AJ588" s="48"/>
      <c r="AK588" s="134" t="str">
        <f t="shared" si="62"/>
        <v/>
      </c>
      <c r="AL588" s="54" t="s">
        <v>82</v>
      </c>
      <c r="AM588" s="54"/>
      <c r="AN588" s="54"/>
      <c r="AO588" s="190">
        <v>41498</v>
      </c>
      <c r="AP588" s="65">
        <f t="shared" si="61"/>
        <v>8</v>
      </c>
      <c r="AQ588" s="123"/>
      <c r="AR588" s="23"/>
      <c r="AS588" s="54" t="s">
        <v>347</v>
      </c>
      <c r="AT588" s="136"/>
      <c r="AU588" s="70">
        <f t="shared" si="60"/>
        <v>3</v>
      </c>
      <c r="AV588" s="70" t="s">
        <v>68</v>
      </c>
    </row>
    <row r="589" spans="1:48" ht="25.5" hidden="1" x14ac:dyDescent="0.2">
      <c r="A589" s="87">
        <v>20566</v>
      </c>
      <c r="B589" s="80" t="s">
        <v>265</v>
      </c>
      <c r="C589" s="80" t="s">
        <v>1940</v>
      </c>
      <c r="D589" s="87"/>
      <c r="E589" s="123" t="s">
        <v>94</v>
      </c>
      <c r="F589" s="140">
        <v>32922</v>
      </c>
      <c r="G589" s="123" t="s">
        <v>551</v>
      </c>
      <c r="H589" s="54" t="s">
        <v>552</v>
      </c>
      <c r="I589" s="123" t="s">
        <v>4008</v>
      </c>
      <c r="J589" s="140">
        <v>38369</v>
      </c>
      <c r="K589" s="123" t="s">
        <v>551</v>
      </c>
      <c r="L589" s="123" t="s">
        <v>123</v>
      </c>
      <c r="M589" s="123" t="s">
        <v>543</v>
      </c>
      <c r="N589" s="123" t="s">
        <v>4009</v>
      </c>
      <c r="O589" s="106">
        <v>2012</v>
      </c>
      <c r="P589" s="153" t="str">
        <f>HYPERLINK("mailto:thunt2@topica.edu.vn","thunt2@topica.edu.vn")</f>
        <v>thunt2@topica.edu.vn</v>
      </c>
      <c r="Q589" s="123"/>
      <c r="R589" s="123" t="s">
        <v>4010</v>
      </c>
      <c r="S589" s="123"/>
      <c r="T589" s="54" t="s">
        <v>4011</v>
      </c>
      <c r="U589" s="54" t="s">
        <v>4011</v>
      </c>
      <c r="V589" s="123" t="s">
        <v>4012</v>
      </c>
      <c r="W589" s="123" t="s">
        <v>283</v>
      </c>
      <c r="X589" s="123"/>
      <c r="Y589" s="123" t="s">
        <v>865</v>
      </c>
      <c r="Z589" s="54"/>
      <c r="AA589" s="54"/>
      <c r="AB589" s="54" t="s">
        <v>285</v>
      </c>
      <c r="AC589" s="54" t="s">
        <v>236</v>
      </c>
      <c r="AD589" s="123" t="s">
        <v>207</v>
      </c>
      <c r="AE589" s="54" t="s">
        <v>585</v>
      </c>
      <c r="AF589" s="54" t="s">
        <v>65</v>
      </c>
      <c r="AG589" s="140">
        <v>41421</v>
      </c>
      <c r="AH589" s="65">
        <f t="shared" si="63"/>
        <v>5</v>
      </c>
      <c r="AI589" s="65"/>
      <c r="AJ589" s="140">
        <v>41496</v>
      </c>
      <c r="AK589" s="65">
        <f t="shared" si="62"/>
        <v>8</v>
      </c>
      <c r="AL589" s="54" t="s">
        <v>66</v>
      </c>
      <c r="AM589" s="54"/>
      <c r="AN589" s="54"/>
      <c r="AO589" s="190"/>
      <c r="AP589" s="65" t="str">
        <f t="shared" si="61"/>
        <v/>
      </c>
      <c r="AQ589" s="123"/>
      <c r="AR589" s="23"/>
      <c r="AS589" s="54" t="s">
        <v>347</v>
      </c>
      <c r="AT589" s="136"/>
      <c r="AU589" s="70">
        <f t="shared" si="60"/>
        <v>2</v>
      </c>
      <c r="AV589" s="70" t="s">
        <v>68</v>
      </c>
    </row>
    <row r="590" spans="1:48" ht="25.5" hidden="1" x14ac:dyDescent="0.2">
      <c r="A590" s="87">
        <v>20567</v>
      </c>
      <c r="B590" s="80" t="s">
        <v>4013</v>
      </c>
      <c r="C590" s="80" t="s">
        <v>3754</v>
      </c>
      <c r="D590" s="87"/>
      <c r="E590" s="123" t="s">
        <v>51</v>
      </c>
      <c r="F590" s="140">
        <v>29735</v>
      </c>
      <c r="G590" s="123" t="s">
        <v>316</v>
      </c>
      <c r="H590" s="54" t="s">
        <v>380</v>
      </c>
      <c r="I590" s="123" t="s">
        <v>4014</v>
      </c>
      <c r="J590" s="140">
        <v>40765</v>
      </c>
      <c r="K590" s="123" t="s">
        <v>52</v>
      </c>
      <c r="L590" s="123" t="s">
        <v>86</v>
      </c>
      <c r="M590" s="123" t="s">
        <v>4015</v>
      </c>
      <c r="N590" s="123" t="s">
        <v>3277</v>
      </c>
      <c r="O590" s="106">
        <v>2011</v>
      </c>
      <c r="P590" s="54" t="s">
        <v>4016</v>
      </c>
      <c r="Q590" s="123"/>
      <c r="R590" s="123" t="s">
        <v>4017</v>
      </c>
      <c r="S590" s="173" t="str">
        <f>HYPERLINK("mailto:longqv79@gmail.com","longqv79@gmail.com")</f>
        <v>longqv79@gmail.com</v>
      </c>
      <c r="T590" s="65" t="s">
        <v>4018</v>
      </c>
      <c r="U590" s="181" t="s">
        <v>4018</v>
      </c>
      <c r="V590" s="65" t="s">
        <v>4019</v>
      </c>
      <c r="W590" s="65" t="s">
        <v>4020</v>
      </c>
      <c r="X590" s="123" t="s">
        <v>4021</v>
      </c>
      <c r="Y590" s="123" t="s">
        <v>360</v>
      </c>
      <c r="Z590" s="54"/>
      <c r="AA590" s="54"/>
      <c r="AB590" s="54">
        <v>1</v>
      </c>
      <c r="AC590" s="54" t="s">
        <v>236</v>
      </c>
      <c r="AD590" s="123" t="s">
        <v>158</v>
      </c>
      <c r="AE590" s="54"/>
      <c r="AF590" s="54" t="s">
        <v>65</v>
      </c>
      <c r="AG590" s="140"/>
      <c r="AH590" s="65" t="str">
        <f t="shared" si="63"/>
        <v/>
      </c>
      <c r="AI590" s="65"/>
      <c r="AJ590" s="140">
        <v>41426</v>
      </c>
      <c r="AK590" s="65">
        <f t="shared" si="62"/>
        <v>6</v>
      </c>
      <c r="AL590" s="54" t="s">
        <v>66</v>
      </c>
      <c r="AM590" s="54"/>
      <c r="AN590" s="54"/>
      <c r="AO590" s="190"/>
      <c r="AP590" s="65" t="str">
        <f t="shared" si="61"/>
        <v/>
      </c>
      <c r="AQ590" s="123"/>
      <c r="AR590" s="23"/>
      <c r="AS590" s="54" t="s">
        <v>107</v>
      </c>
      <c r="AT590" s="136"/>
      <c r="AU590" s="70">
        <f t="shared" si="60"/>
        <v>5</v>
      </c>
      <c r="AV590" s="70" t="s">
        <v>68</v>
      </c>
    </row>
    <row r="591" spans="1:48" ht="25.5" hidden="1" x14ac:dyDescent="0.2">
      <c r="A591" s="87">
        <f>A590+1</f>
        <v>20568</v>
      </c>
      <c r="B591" s="80" t="s">
        <v>4022</v>
      </c>
      <c r="C591" s="80" t="s">
        <v>3668</v>
      </c>
      <c r="D591" s="87"/>
      <c r="E591" s="123" t="s">
        <v>51</v>
      </c>
      <c r="F591" s="140">
        <v>32385</v>
      </c>
      <c r="G591" s="123" t="s">
        <v>303</v>
      </c>
      <c r="H591" s="54" t="s">
        <v>303</v>
      </c>
      <c r="I591" s="123" t="s">
        <v>4023</v>
      </c>
      <c r="J591" s="140">
        <v>38559</v>
      </c>
      <c r="K591" s="123" t="s">
        <v>303</v>
      </c>
      <c r="L591" s="123"/>
      <c r="M591" s="123"/>
      <c r="N591" s="123"/>
      <c r="O591" s="106"/>
      <c r="P591" s="54" t="s">
        <v>4024</v>
      </c>
      <c r="Q591" s="123"/>
      <c r="R591" s="123" t="s">
        <v>4025</v>
      </c>
      <c r="S591" s="123"/>
      <c r="T591" s="54" t="s">
        <v>4026</v>
      </c>
      <c r="U591" s="178" t="s">
        <v>4026</v>
      </c>
      <c r="V591" s="123" t="s">
        <v>4027</v>
      </c>
      <c r="W591" s="123" t="s">
        <v>4028</v>
      </c>
      <c r="X591" s="123"/>
      <c r="Y591" s="123" t="s">
        <v>312</v>
      </c>
      <c r="Z591" s="54"/>
      <c r="AA591" s="54"/>
      <c r="AB591" s="54" t="s">
        <v>285</v>
      </c>
      <c r="AC591" s="54" t="s">
        <v>236</v>
      </c>
      <c r="AD591" s="123" t="s">
        <v>221</v>
      </c>
      <c r="AE591" s="54" t="s">
        <v>4029</v>
      </c>
      <c r="AF591" s="54" t="s">
        <v>65</v>
      </c>
      <c r="AG591" s="140"/>
      <c r="AH591" s="65" t="str">
        <f t="shared" si="63"/>
        <v/>
      </c>
      <c r="AI591" s="65"/>
      <c r="AJ591" s="140">
        <v>41426</v>
      </c>
      <c r="AK591" s="65">
        <f t="shared" si="62"/>
        <v>6</v>
      </c>
      <c r="AL591" s="54" t="s">
        <v>66</v>
      </c>
      <c r="AM591" s="54"/>
      <c r="AN591" s="54"/>
      <c r="AO591" s="190"/>
      <c r="AP591" s="65" t="str">
        <f t="shared" si="61"/>
        <v/>
      </c>
      <c r="AQ591" s="123"/>
      <c r="AR591" s="23"/>
      <c r="AS591" s="54" t="s">
        <v>107</v>
      </c>
      <c r="AT591" s="136"/>
      <c r="AU591" s="70">
        <f t="shared" si="60"/>
        <v>8</v>
      </c>
      <c r="AV591" s="70" t="s">
        <v>68</v>
      </c>
    </row>
    <row r="592" spans="1:48" ht="25.5" hidden="1" x14ac:dyDescent="0.2">
      <c r="A592" s="86">
        <f>A591+1</f>
        <v>20569</v>
      </c>
      <c r="B592" s="3" t="s">
        <v>2344</v>
      </c>
      <c r="C592" s="3" t="s">
        <v>561</v>
      </c>
      <c r="D592" s="86"/>
      <c r="E592" s="36" t="s">
        <v>94</v>
      </c>
      <c r="F592" s="48">
        <v>32635</v>
      </c>
      <c r="G592" s="36" t="s">
        <v>303</v>
      </c>
      <c r="H592" s="81" t="s">
        <v>303</v>
      </c>
      <c r="I592" s="36" t="s">
        <v>4030</v>
      </c>
      <c r="J592" s="48">
        <v>40721</v>
      </c>
      <c r="K592" s="36" t="s">
        <v>303</v>
      </c>
      <c r="L592" s="36" t="s">
        <v>123</v>
      </c>
      <c r="M592" s="36" t="s">
        <v>4031</v>
      </c>
      <c r="N592" s="36" t="s">
        <v>4032</v>
      </c>
      <c r="O592" s="101">
        <v>2011</v>
      </c>
      <c r="P592" s="159" t="str">
        <f>HYPERLINK("mailto:hongct@topica.edu.vn","hongct@topica.edu.vn")</f>
        <v>hongct@topica.edu.vn</v>
      </c>
      <c r="Q592" s="36"/>
      <c r="R592" s="36" t="s">
        <v>4033</v>
      </c>
      <c r="S592" s="156" t="str">
        <f>HYPERLINK("mailto:hongct75@gmail.com","hongct75@gmail.com")</f>
        <v>hongct75@gmail.com</v>
      </c>
      <c r="T592" s="81" t="s">
        <v>4034</v>
      </c>
      <c r="U592" s="81" t="s">
        <v>4034</v>
      </c>
      <c r="V592" s="36" t="s">
        <v>4035</v>
      </c>
      <c r="W592" s="36" t="s">
        <v>283</v>
      </c>
      <c r="X592" s="36"/>
      <c r="Y592" s="36" t="s">
        <v>972</v>
      </c>
      <c r="Z592" s="81"/>
      <c r="AA592" s="54"/>
      <c r="AB592" s="81" t="s">
        <v>285</v>
      </c>
      <c r="AC592" s="81" t="s">
        <v>236</v>
      </c>
      <c r="AD592" s="36" t="s">
        <v>129</v>
      </c>
      <c r="AE592" s="81" t="s">
        <v>1090</v>
      </c>
      <c r="AF592" s="81" t="s">
        <v>65</v>
      </c>
      <c r="AG592" s="48">
        <v>41438</v>
      </c>
      <c r="AH592" s="134">
        <f t="shared" si="63"/>
        <v>6</v>
      </c>
      <c r="AI592" s="134"/>
      <c r="AJ592" s="48">
        <v>41500</v>
      </c>
      <c r="AK592" s="134">
        <f t="shared" si="62"/>
        <v>8</v>
      </c>
      <c r="AL592" s="81" t="s">
        <v>82</v>
      </c>
      <c r="AM592" s="81"/>
      <c r="AN592" s="81"/>
      <c r="AO592" s="48">
        <v>41608</v>
      </c>
      <c r="AP592" s="134">
        <f t="shared" si="61"/>
        <v>11</v>
      </c>
      <c r="AQ592" s="36"/>
      <c r="AR592" s="116"/>
      <c r="AS592" s="81" t="s">
        <v>347</v>
      </c>
      <c r="AT592" s="134"/>
      <c r="AU592" s="172">
        <f t="shared" si="60"/>
        <v>5</v>
      </c>
      <c r="AV592" s="172" t="s">
        <v>68</v>
      </c>
    </row>
    <row r="593" spans="1:48" ht="38.25" hidden="1" x14ac:dyDescent="0.2">
      <c r="A593" s="86">
        <f>A592+1</f>
        <v>20570</v>
      </c>
      <c r="B593" s="3" t="s">
        <v>4036</v>
      </c>
      <c r="C593" s="3" t="s">
        <v>607</v>
      </c>
      <c r="D593" s="86"/>
      <c r="E593" s="36" t="s">
        <v>94</v>
      </c>
      <c r="F593" s="48">
        <v>32436</v>
      </c>
      <c r="G593" s="36" t="s">
        <v>52</v>
      </c>
      <c r="H593" s="81" t="s">
        <v>52</v>
      </c>
      <c r="I593" s="36" t="s">
        <v>4037</v>
      </c>
      <c r="J593" s="48">
        <v>37883</v>
      </c>
      <c r="K593" s="36" t="s">
        <v>52</v>
      </c>
      <c r="L593" s="36" t="s">
        <v>123</v>
      </c>
      <c r="M593" s="36" t="s">
        <v>4038</v>
      </c>
      <c r="N593" s="36" t="s">
        <v>1597</v>
      </c>
      <c r="O593" s="101">
        <v>2012</v>
      </c>
      <c r="P593" s="81" t="s">
        <v>4039</v>
      </c>
      <c r="Q593" s="36"/>
      <c r="R593" s="36" t="s">
        <v>4040</v>
      </c>
      <c r="S593" s="36"/>
      <c r="T593" s="81" t="s">
        <v>4041</v>
      </c>
      <c r="U593" s="81" t="s">
        <v>4041</v>
      </c>
      <c r="V593" s="36" t="s">
        <v>4042</v>
      </c>
      <c r="W593" s="36" t="s">
        <v>4028</v>
      </c>
      <c r="X593" s="36"/>
      <c r="Y593" s="36" t="s">
        <v>972</v>
      </c>
      <c r="Z593" s="81"/>
      <c r="AA593" s="54"/>
      <c r="AB593" s="81" t="s">
        <v>285</v>
      </c>
      <c r="AC593" s="81" t="s">
        <v>236</v>
      </c>
      <c r="AD593" s="36" t="s">
        <v>404</v>
      </c>
      <c r="AE593" s="81" t="s">
        <v>700</v>
      </c>
      <c r="AF593" s="81" t="s">
        <v>65</v>
      </c>
      <c r="AG593" s="48">
        <v>41438</v>
      </c>
      <c r="AH593" s="134">
        <f t="shared" si="63"/>
        <v>6</v>
      </c>
      <c r="AI593" s="134"/>
      <c r="AJ593" s="48">
        <v>41500</v>
      </c>
      <c r="AK593" s="134">
        <f t="shared" si="62"/>
        <v>8</v>
      </c>
      <c r="AL593" s="81" t="s">
        <v>82</v>
      </c>
      <c r="AM593" s="81"/>
      <c r="AN593" s="81"/>
      <c r="AO593" s="48">
        <v>42004</v>
      </c>
      <c r="AP593" s="134">
        <f t="shared" si="61"/>
        <v>12</v>
      </c>
      <c r="AQ593" s="36"/>
      <c r="AR593" s="116"/>
      <c r="AS593" s="81" t="s">
        <v>347</v>
      </c>
      <c r="AT593" s="134"/>
      <c r="AU593" s="172">
        <f t="shared" si="60"/>
        <v>10</v>
      </c>
      <c r="AV593" s="172" t="s">
        <v>68</v>
      </c>
    </row>
    <row r="594" spans="1:48" ht="25.5" hidden="1" x14ac:dyDescent="0.2">
      <c r="A594" s="86">
        <f>A593+1</f>
        <v>20571</v>
      </c>
      <c r="B594" s="3" t="s">
        <v>701</v>
      </c>
      <c r="C594" s="3" t="s">
        <v>200</v>
      </c>
      <c r="D594" s="86"/>
      <c r="E594" s="36" t="s">
        <v>94</v>
      </c>
      <c r="F594" s="48">
        <v>33158</v>
      </c>
      <c r="G594" s="36" t="s">
        <v>132</v>
      </c>
      <c r="H594" s="81" t="s">
        <v>133</v>
      </c>
      <c r="I594" s="36" t="s">
        <v>4043</v>
      </c>
      <c r="J594" s="48">
        <v>40862</v>
      </c>
      <c r="K594" s="36" t="s">
        <v>132</v>
      </c>
      <c r="L594" s="36" t="s">
        <v>123</v>
      </c>
      <c r="M594" s="36" t="s">
        <v>877</v>
      </c>
      <c r="N594" s="36" t="s">
        <v>786</v>
      </c>
      <c r="O594" s="101">
        <v>2012</v>
      </c>
      <c r="P594" s="159" t="str">
        <f>HYPERLINK("mailto:thubt@topica.edu.vn","thubt@topica.edu.vn")</f>
        <v>thubt@topica.edu.vn</v>
      </c>
      <c r="Q594" s="36" t="s">
        <v>4044</v>
      </c>
      <c r="R594" s="36" t="s">
        <v>4045</v>
      </c>
      <c r="S594" s="156" t="str">
        <f>HYPERLINK("mailto:hathuxhh@gmail.com","hathuxhh@gmail.com")</f>
        <v>hathuxhh@gmail.com</v>
      </c>
      <c r="T594" s="81" t="s">
        <v>4046</v>
      </c>
      <c r="U594" s="81" t="s">
        <v>4047</v>
      </c>
      <c r="V594" s="36" t="s">
        <v>4048</v>
      </c>
      <c r="W594" s="36" t="s">
        <v>283</v>
      </c>
      <c r="X594" s="36"/>
      <c r="Y594" s="36" t="s">
        <v>616</v>
      </c>
      <c r="Z594" s="81"/>
      <c r="AA594" s="54"/>
      <c r="AB594" s="81" t="s">
        <v>285</v>
      </c>
      <c r="AC594" s="81" t="s">
        <v>236</v>
      </c>
      <c r="AD594" s="36" t="s">
        <v>207</v>
      </c>
      <c r="AE594" s="81" t="s">
        <v>585</v>
      </c>
      <c r="AF594" s="81" t="s">
        <v>65</v>
      </c>
      <c r="AG594" s="48">
        <v>41435</v>
      </c>
      <c r="AH594" s="134">
        <f t="shared" si="63"/>
        <v>6</v>
      </c>
      <c r="AI594" s="134"/>
      <c r="AJ594" s="48">
        <v>41496</v>
      </c>
      <c r="AK594" s="134">
        <f t="shared" si="62"/>
        <v>8</v>
      </c>
      <c r="AL594" s="54" t="s">
        <v>82</v>
      </c>
      <c r="AM594" s="54"/>
      <c r="AN594" s="54"/>
      <c r="AO594" s="190">
        <v>41596</v>
      </c>
      <c r="AP594" s="65">
        <f t="shared" si="61"/>
        <v>11</v>
      </c>
      <c r="AQ594" s="123"/>
      <c r="AR594" s="23"/>
      <c r="AS594" s="54" t="s">
        <v>347</v>
      </c>
      <c r="AT594" s="136"/>
      <c r="AU594" s="70">
        <f t="shared" si="60"/>
        <v>10</v>
      </c>
      <c r="AV594" s="70" t="s">
        <v>68</v>
      </c>
    </row>
    <row r="595" spans="1:48" ht="25.5" hidden="1" x14ac:dyDescent="0.2">
      <c r="A595" s="86">
        <v>20572</v>
      </c>
      <c r="B595" s="3" t="s">
        <v>4049</v>
      </c>
      <c r="C595" s="3" t="s">
        <v>576</v>
      </c>
      <c r="D595" s="86"/>
      <c r="E595" s="36" t="s">
        <v>94</v>
      </c>
      <c r="F595" s="48">
        <v>32644</v>
      </c>
      <c r="G595" s="36" t="s">
        <v>52</v>
      </c>
      <c r="H595" s="81" t="s">
        <v>412</v>
      </c>
      <c r="I595" s="36" t="s">
        <v>4050</v>
      </c>
      <c r="J595" s="48">
        <v>40794</v>
      </c>
      <c r="K595" s="36" t="s">
        <v>52</v>
      </c>
      <c r="L595" s="36" t="s">
        <v>123</v>
      </c>
      <c r="M595" s="36" t="s">
        <v>382</v>
      </c>
      <c r="N595" s="36" t="s">
        <v>4051</v>
      </c>
      <c r="O595" s="101">
        <v>2010</v>
      </c>
      <c r="P595" s="159" t="str">
        <f>HYPERLINK("mailto:thuyhtm@topica.edu.vn","thuyhtm@topica.edu.vn")</f>
        <v>thuyhtm@topica.edu.vn</v>
      </c>
      <c r="Q595" s="36"/>
      <c r="R595" s="36" t="s">
        <v>4052</v>
      </c>
      <c r="S595" s="36"/>
      <c r="T595" s="81" t="s">
        <v>4053</v>
      </c>
      <c r="U595" s="81" t="s">
        <v>4054</v>
      </c>
      <c r="V595" s="36"/>
      <c r="W595" s="36"/>
      <c r="X595" s="36"/>
      <c r="Y595" s="36" t="s">
        <v>284</v>
      </c>
      <c r="Z595" s="81"/>
      <c r="AA595" s="54"/>
      <c r="AB595" s="81" t="s">
        <v>285</v>
      </c>
      <c r="AC595" s="81" t="s">
        <v>236</v>
      </c>
      <c r="AD595" s="36" t="s">
        <v>207</v>
      </c>
      <c r="AE595" s="81" t="s">
        <v>1128</v>
      </c>
      <c r="AF595" s="81" t="s">
        <v>65</v>
      </c>
      <c r="AG595" s="48">
        <v>41449</v>
      </c>
      <c r="AH595" s="134">
        <f t="shared" si="63"/>
        <v>6</v>
      </c>
      <c r="AI595" s="134"/>
      <c r="AJ595" s="48"/>
      <c r="AK595" s="134" t="str">
        <f t="shared" si="62"/>
        <v/>
      </c>
      <c r="AL595" s="54" t="s">
        <v>82</v>
      </c>
      <c r="AM595" s="54"/>
      <c r="AN595" s="54"/>
      <c r="AO595" s="190">
        <v>41540</v>
      </c>
      <c r="AP595" s="65">
        <f t="shared" si="61"/>
        <v>9</v>
      </c>
      <c r="AQ595" s="123"/>
      <c r="AR595" s="23"/>
      <c r="AS595" s="54" t="s">
        <v>347</v>
      </c>
      <c r="AT595" s="136"/>
      <c r="AU595" s="70">
        <f t="shared" si="60"/>
        <v>5</v>
      </c>
      <c r="AV595" s="70" t="s">
        <v>68</v>
      </c>
    </row>
    <row r="596" spans="1:48" ht="25.5" hidden="1" x14ac:dyDescent="0.2">
      <c r="A596" s="86">
        <f t="shared" ref="A596:A659" si="64">A595+1</f>
        <v>20573</v>
      </c>
      <c r="B596" s="3" t="s">
        <v>4055</v>
      </c>
      <c r="C596" s="3" t="s">
        <v>685</v>
      </c>
      <c r="D596" s="86"/>
      <c r="E596" s="36" t="s">
        <v>94</v>
      </c>
      <c r="F596" s="48">
        <v>32028</v>
      </c>
      <c r="G596" s="36" t="s">
        <v>120</v>
      </c>
      <c r="H596" s="81" t="s">
        <v>121</v>
      </c>
      <c r="I596" s="36" t="s">
        <v>4056</v>
      </c>
      <c r="J596" s="48">
        <v>40876</v>
      </c>
      <c r="K596" s="36" t="s">
        <v>52</v>
      </c>
      <c r="L596" s="36" t="s">
        <v>123</v>
      </c>
      <c r="M596" s="36" t="s">
        <v>632</v>
      </c>
      <c r="N596" s="36" t="s">
        <v>3904</v>
      </c>
      <c r="O596" s="101">
        <v>2009</v>
      </c>
      <c r="P596" s="159" t="str">
        <f>HYPERLINK("mailto:tranglh2@topica.edu.vn","tranglh2@topica.edu.vn")</f>
        <v>tranglh2@topica.edu.vn</v>
      </c>
      <c r="Q596" s="36"/>
      <c r="R596" s="36" t="s">
        <v>4057</v>
      </c>
      <c r="S596" s="36"/>
      <c r="T596" s="81" t="s">
        <v>4058</v>
      </c>
      <c r="U596" s="81" t="s">
        <v>4058</v>
      </c>
      <c r="V596" s="36" t="s">
        <v>4059</v>
      </c>
      <c r="W596" s="36" t="s">
        <v>4060</v>
      </c>
      <c r="X596" s="36" t="s">
        <v>4061</v>
      </c>
      <c r="Y596" s="36" t="s">
        <v>616</v>
      </c>
      <c r="Z596" s="81"/>
      <c r="AA596" s="54"/>
      <c r="AB596" s="81" t="s">
        <v>285</v>
      </c>
      <c r="AC596" s="81" t="s">
        <v>236</v>
      </c>
      <c r="AD596" s="36" t="s">
        <v>207</v>
      </c>
      <c r="AE596" s="81" t="s">
        <v>585</v>
      </c>
      <c r="AF596" s="81" t="s">
        <v>65</v>
      </c>
      <c r="AG596" s="48">
        <v>41435</v>
      </c>
      <c r="AH596" s="134">
        <f t="shared" si="63"/>
        <v>6</v>
      </c>
      <c r="AI596" s="134"/>
      <c r="AJ596" s="48">
        <v>41496</v>
      </c>
      <c r="AK596" s="134">
        <f t="shared" si="62"/>
        <v>8</v>
      </c>
      <c r="AL596" s="81" t="s">
        <v>82</v>
      </c>
      <c r="AM596" s="81"/>
      <c r="AN596" s="81"/>
      <c r="AO596" s="48">
        <v>41614</v>
      </c>
      <c r="AP596" s="134">
        <f t="shared" si="61"/>
        <v>12</v>
      </c>
      <c r="AQ596" s="36"/>
      <c r="AR596" s="116"/>
      <c r="AS596" s="81" t="s">
        <v>347</v>
      </c>
      <c r="AT596" s="134"/>
      <c r="AU596" s="172">
        <f t="shared" si="60"/>
        <v>9</v>
      </c>
      <c r="AV596" s="172" t="s">
        <v>68</v>
      </c>
    </row>
    <row r="597" spans="1:48" ht="51" hidden="1" x14ac:dyDescent="0.2">
      <c r="A597" s="86">
        <f t="shared" si="64"/>
        <v>20574</v>
      </c>
      <c r="B597" s="3" t="s">
        <v>982</v>
      </c>
      <c r="C597" s="3" t="s">
        <v>131</v>
      </c>
      <c r="D597" s="86"/>
      <c r="E597" s="36" t="s">
        <v>94</v>
      </c>
      <c r="F597" s="48">
        <v>32307</v>
      </c>
      <c r="G597" s="36" t="s">
        <v>997</v>
      </c>
      <c r="H597" s="81" t="s">
        <v>998</v>
      </c>
      <c r="I597" s="36" t="s">
        <v>4062</v>
      </c>
      <c r="J597" s="48">
        <v>39997</v>
      </c>
      <c r="K597" s="36" t="s">
        <v>997</v>
      </c>
      <c r="L597" s="36" t="s">
        <v>123</v>
      </c>
      <c r="M597" s="36" t="s">
        <v>96</v>
      </c>
      <c r="N597" s="36" t="s">
        <v>4063</v>
      </c>
      <c r="O597" s="101">
        <v>2010</v>
      </c>
      <c r="P597" s="159" t="str">
        <f>HYPERLINK("mailto:hiendt2@topica.edu.vn","hiendt2@topica.edu.vn")</f>
        <v>hiendt2@topica.edu.vn</v>
      </c>
      <c r="Q597" s="36"/>
      <c r="R597" s="36" t="s">
        <v>4064</v>
      </c>
      <c r="S597" s="156" t="str">
        <f>HYPERLINK("mailto:thuhien.kdtm@gmail.com","thuhien.kdtm@gmail.com")</f>
        <v>thuhien.kdtm@gmail.com</v>
      </c>
      <c r="T597" s="81" t="s">
        <v>4065</v>
      </c>
      <c r="U597" s="81" t="s">
        <v>4066</v>
      </c>
      <c r="V597" s="36" t="s">
        <v>757</v>
      </c>
      <c r="W597" s="36" t="s">
        <v>745</v>
      </c>
      <c r="X597" s="36" t="s">
        <v>4067</v>
      </c>
      <c r="Y597" s="36" t="s">
        <v>3626</v>
      </c>
      <c r="Z597" s="81"/>
      <c r="AA597" s="54"/>
      <c r="AB597" s="81" t="s">
        <v>285</v>
      </c>
      <c r="AC597" s="81" t="s">
        <v>236</v>
      </c>
      <c r="AD597" s="36" t="s">
        <v>404</v>
      </c>
      <c r="AE597" s="81" t="s">
        <v>700</v>
      </c>
      <c r="AF597" s="81" t="s">
        <v>65</v>
      </c>
      <c r="AG597" s="48">
        <v>41438</v>
      </c>
      <c r="AH597" s="134">
        <f t="shared" si="63"/>
        <v>6</v>
      </c>
      <c r="AI597" s="134"/>
      <c r="AJ597" s="48"/>
      <c r="AK597" s="134" t="str">
        <f t="shared" si="62"/>
        <v/>
      </c>
      <c r="AL597" s="54" t="s">
        <v>82</v>
      </c>
      <c r="AM597" s="138"/>
      <c r="AN597" s="54"/>
      <c r="AO597" s="190">
        <v>41470</v>
      </c>
      <c r="AP597" s="136">
        <f t="shared" si="61"/>
        <v>7</v>
      </c>
      <c r="AQ597" s="123"/>
      <c r="AR597" s="23"/>
      <c r="AS597" s="54" t="s">
        <v>347</v>
      </c>
      <c r="AT597" s="136"/>
      <c r="AU597" s="70">
        <f t="shared" si="60"/>
        <v>6</v>
      </c>
      <c r="AV597" s="70" t="s">
        <v>68</v>
      </c>
    </row>
    <row r="598" spans="1:48" ht="38.25" hidden="1" x14ac:dyDescent="0.2">
      <c r="A598" s="87">
        <f t="shared" si="64"/>
        <v>20575</v>
      </c>
      <c r="B598" s="80" t="s">
        <v>4068</v>
      </c>
      <c r="C598" s="80" t="s">
        <v>685</v>
      </c>
      <c r="D598" s="87"/>
      <c r="E598" s="123" t="s">
        <v>94</v>
      </c>
      <c r="F598" s="140">
        <v>33526</v>
      </c>
      <c r="G598" s="123" t="s">
        <v>52</v>
      </c>
      <c r="H598" s="54" t="s">
        <v>171</v>
      </c>
      <c r="I598" s="123" t="s">
        <v>4069</v>
      </c>
      <c r="J598" s="140">
        <v>38726</v>
      </c>
      <c r="K598" s="123" t="s">
        <v>52</v>
      </c>
      <c r="L598" s="123" t="s">
        <v>123</v>
      </c>
      <c r="M598" s="123" t="s">
        <v>96</v>
      </c>
      <c r="N598" s="123" t="s">
        <v>3651</v>
      </c>
      <c r="O598" s="106">
        <v>2012</v>
      </c>
      <c r="P598" s="153" t="str">
        <f>HYPERLINK("mailto:trangcth@topica.edu.vn","trangcth@topica.edu.vn")</f>
        <v>trangcth@topica.edu.vn</v>
      </c>
      <c r="Q598" s="123"/>
      <c r="R598" s="123" t="s">
        <v>4070</v>
      </c>
      <c r="S598" s="173" t="str">
        <f>HYPERLINK("mailto:hatrang369@gmail.com","hatrang369@gmail.com")</f>
        <v>hatrang369@gmail.com</v>
      </c>
      <c r="T598" s="54" t="s">
        <v>4071</v>
      </c>
      <c r="U598" s="54" t="s">
        <v>4071</v>
      </c>
      <c r="V598" s="123" t="s">
        <v>4072</v>
      </c>
      <c r="W598" s="123" t="s">
        <v>283</v>
      </c>
      <c r="X598" s="123" t="s">
        <v>4073</v>
      </c>
      <c r="Y598" s="123" t="s">
        <v>312</v>
      </c>
      <c r="Z598" s="54"/>
      <c r="AA598" s="54"/>
      <c r="AB598" s="54" t="s">
        <v>285</v>
      </c>
      <c r="AC598" s="54" t="s">
        <v>236</v>
      </c>
      <c r="AD598" s="123" t="s">
        <v>198</v>
      </c>
      <c r="AE598" s="54" t="s">
        <v>484</v>
      </c>
      <c r="AF598" s="54" t="s">
        <v>65</v>
      </c>
      <c r="AG598" s="140">
        <v>41438</v>
      </c>
      <c r="AH598" s="65">
        <f t="shared" si="63"/>
        <v>6</v>
      </c>
      <c r="AI598" s="65"/>
      <c r="AJ598" s="140">
        <v>41499</v>
      </c>
      <c r="AK598" s="65">
        <f t="shared" si="62"/>
        <v>8</v>
      </c>
      <c r="AL598" s="54" t="s">
        <v>66</v>
      </c>
      <c r="AM598" s="54"/>
      <c r="AN598" s="54"/>
      <c r="AO598" s="190"/>
      <c r="AP598" s="65" t="str">
        <f t="shared" si="61"/>
        <v/>
      </c>
      <c r="AQ598" s="123"/>
      <c r="AR598" s="23"/>
      <c r="AS598" s="54" t="s">
        <v>107</v>
      </c>
      <c r="AT598" s="136"/>
      <c r="AU598" s="70">
        <f t="shared" si="60"/>
        <v>10</v>
      </c>
      <c r="AV598" s="70" t="s">
        <v>68</v>
      </c>
    </row>
    <row r="599" spans="1:48" ht="12.75" hidden="1" x14ac:dyDescent="0.2">
      <c r="A599" s="86">
        <f t="shared" si="64"/>
        <v>20576</v>
      </c>
      <c r="B599" s="3" t="s">
        <v>4074</v>
      </c>
      <c r="C599" s="3" t="s">
        <v>232</v>
      </c>
      <c r="D599" s="86"/>
      <c r="E599" s="36" t="s">
        <v>94</v>
      </c>
      <c r="F599" s="48"/>
      <c r="G599" s="36"/>
      <c r="H599" s="81"/>
      <c r="I599" s="36"/>
      <c r="J599" s="48"/>
      <c r="K599" s="36"/>
      <c r="L599" s="36"/>
      <c r="M599" s="36"/>
      <c r="N599" s="36"/>
      <c r="O599" s="101"/>
      <c r="P599" s="159" t="str">
        <f>HYPERLINK("mailto:lannn@topica.edu.vn","lannn@topica.edu.vn")</f>
        <v>lannn@topica.edu.vn</v>
      </c>
      <c r="Q599" s="36"/>
      <c r="R599" s="36"/>
      <c r="S599" s="36"/>
      <c r="T599" s="81"/>
      <c r="U599" s="81"/>
      <c r="V599" s="36"/>
      <c r="W599" s="36"/>
      <c r="X599" s="36"/>
      <c r="Y599" s="36" t="s">
        <v>616</v>
      </c>
      <c r="Z599" s="81"/>
      <c r="AA599" s="54"/>
      <c r="AB599" s="81" t="s">
        <v>285</v>
      </c>
      <c r="AC599" s="81" t="s">
        <v>236</v>
      </c>
      <c r="AD599" s="36" t="s">
        <v>207</v>
      </c>
      <c r="AE599" s="81" t="s">
        <v>585</v>
      </c>
      <c r="AF599" s="81" t="s">
        <v>65</v>
      </c>
      <c r="AG599" s="48">
        <v>41435</v>
      </c>
      <c r="AH599" s="134">
        <f t="shared" si="63"/>
        <v>6</v>
      </c>
      <c r="AI599" s="134"/>
      <c r="AJ599" s="48"/>
      <c r="AK599" s="134" t="str">
        <f t="shared" si="62"/>
        <v/>
      </c>
      <c r="AL599" s="54" t="s">
        <v>82</v>
      </c>
      <c r="AM599" s="54"/>
      <c r="AN599" s="54"/>
      <c r="AO599" s="190">
        <v>41436</v>
      </c>
      <c r="AP599" s="136">
        <f t="shared" si="61"/>
        <v>6</v>
      </c>
      <c r="AQ599" s="123"/>
      <c r="AR599" s="23"/>
      <c r="AS599" s="54" t="s">
        <v>347</v>
      </c>
      <c r="AT599" s="136"/>
      <c r="AU599" s="70" t="str">
        <f t="shared" si="60"/>
        <v/>
      </c>
      <c r="AV599" s="70" t="s">
        <v>68</v>
      </c>
    </row>
    <row r="600" spans="1:48" ht="12.75" hidden="1" x14ac:dyDescent="0.2">
      <c r="A600" s="86">
        <f t="shared" si="64"/>
        <v>20577</v>
      </c>
      <c r="B600" s="3" t="s">
        <v>766</v>
      </c>
      <c r="C600" s="3" t="s">
        <v>920</v>
      </c>
      <c r="D600" s="86"/>
      <c r="E600" s="36" t="s">
        <v>94</v>
      </c>
      <c r="F600" s="48"/>
      <c r="G600" s="36"/>
      <c r="H600" s="81"/>
      <c r="I600" s="36"/>
      <c r="J600" s="48"/>
      <c r="K600" s="36"/>
      <c r="L600" s="36"/>
      <c r="M600" s="36"/>
      <c r="N600" s="36"/>
      <c r="O600" s="101"/>
      <c r="P600" s="159" t="str">
        <f>HYPERLINK("mailto:linhnt2@topica.edu.vn","linhnt2@topica.edu.vn")</f>
        <v>linhnt2@topica.edu.vn</v>
      </c>
      <c r="Q600" s="36"/>
      <c r="R600" s="36"/>
      <c r="S600" s="36"/>
      <c r="T600" s="81"/>
      <c r="U600" s="81"/>
      <c r="V600" s="36"/>
      <c r="W600" s="36"/>
      <c r="X600" s="36"/>
      <c r="Y600" s="36" t="s">
        <v>616</v>
      </c>
      <c r="Z600" s="81"/>
      <c r="AA600" s="54"/>
      <c r="AB600" s="81" t="s">
        <v>285</v>
      </c>
      <c r="AC600" s="81" t="s">
        <v>236</v>
      </c>
      <c r="AD600" s="36" t="s">
        <v>207</v>
      </c>
      <c r="AE600" s="81" t="s">
        <v>585</v>
      </c>
      <c r="AF600" s="81" t="s">
        <v>65</v>
      </c>
      <c r="AG600" s="48">
        <v>41435</v>
      </c>
      <c r="AH600" s="134">
        <f t="shared" si="63"/>
        <v>6</v>
      </c>
      <c r="AI600" s="134"/>
      <c r="AJ600" s="48"/>
      <c r="AK600" s="134" t="str">
        <f t="shared" si="62"/>
        <v/>
      </c>
      <c r="AL600" s="54" t="s">
        <v>82</v>
      </c>
      <c r="AM600" s="54"/>
      <c r="AN600" s="65" t="str">
        <f>IF((AM600=""),"",MONTH(AM600))</f>
        <v/>
      </c>
      <c r="AO600" s="190">
        <v>41445</v>
      </c>
      <c r="AP600" s="136">
        <f t="shared" si="61"/>
        <v>6</v>
      </c>
      <c r="AQ600" s="123"/>
      <c r="AR600" s="23"/>
      <c r="AS600" s="54" t="s">
        <v>347</v>
      </c>
      <c r="AT600" s="136"/>
      <c r="AU600" s="70" t="str">
        <f t="shared" si="60"/>
        <v/>
      </c>
      <c r="AV600" s="70" t="s">
        <v>68</v>
      </c>
    </row>
    <row r="601" spans="1:48" ht="12.75" hidden="1" x14ac:dyDescent="0.2">
      <c r="A601" s="86">
        <f t="shared" si="64"/>
        <v>20578</v>
      </c>
      <c r="B601" s="3" t="s">
        <v>4075</v>
      </c>
      <c r="C601" s="3" t="s">
        <v>160</v>
      </c>
      <c r="D601" s="86"/>
      <c r="E601" s="36" t="s">
        <v>94</v>
      </c>
      <c r="F601" s="48"/>
      <c r="G601" s="36"/>
      <c r="H601" s="81"/>
      <c r="I601" s="36"/>
      <c r="J601" s="48"/>
      <c r="K601" s="36"/>
      <c r="L601" s="36"/>
      <c r="M601" s="36"/>
      <c r="N601" s="36"/>
      <c r="O601" s="101"/>
      <c r="P601" s="159" t="s">
        <v>4076</v>
      </c>
      <c r="Q601" s="36"/>
      <c r="R601" s="36"/>
      <c r="S601" s="36"/>
      <c r="T601" s="81"/>
      <c r="U601" s="81"/>
      <c r="V601" s="36"/>
      <c r="W601" s="36"/>
      <c r="X601" s="36"/>
      <c r="Y601" s="36" t="s">
        <v>616</v>
      </c>
      <c r="Z601" s="81"/>
      <c r="AA601" s="54"/>
      <c r="AB601" s="81" t="s">
        <v>285</v>
      </c>
      <c r="AC601" s="81" t="s">
        <v>236</v>
      </c>
      <c r="AD601" s="36" t="s">
        <v>207</v>
      </c>
      <c r="AE601" s="81" t="s">
        <v>585</v>
      </c>
      <c r="AF601" s="81" t="s">
        <v>65</v>
      </c>
      <c r="AG601" s="48"/>
      <c r="AH601" s="134" t="str">
        <f t="shared" si="63"/>
        <v/>
      </c>
      <c r="AI601" s="134"/>
      <c r="AJ601" s="48"/>
      <c r="AK601" s="134" t="str">
        <f t="shared" si="62"/>
        <v/>
      </c>
      <c r="AL601" s="54" t="s">
        <v>82</v>
      </c>
      <c r="AM601" s="54"/>
      <c r="AN601" s="54"/>
      <c r="AO601" s="190"/>
      <c r="AP601" s="136" t="str">
        <f t="shared" si="61"/>
        <v/>
      </c>
      <c r="AQ601" s="123"/>
      <c r="AR601" s="23"/>
      <c r="AS601" s="54" t="s">
        <v>347</v>
      </c>
      <c r="AT601" s="136"/>
      <c r="AU601" s="70" t="str">
        <f t="shared" si="60"/>
        <v/>
      </c>
      <c r="AV601" s="70" t="s">
        <v>68</v>
      </c>
    </row>
    <row r="602" spans="1:48" ht="25.5" hidden="1" x14ac:dyDescent="0.2">
      <c r="A602" s="86">
        <f t="shared" si="64"/>
        <v>20579</v>
      </c>
      <c r="B602" s="3" t="s">
        <v>596</v>
      </c>
      <c r="C602" s="3" t="s">
        <v>70</v>
      </c>
      <c r="D602" s="86"/>
      <c r="E602" s="36" t="s">
        <v>94</v>
      </c>
      <c r="F602" s="48">
        <v>32938</v>
      </c>
      <c r="G602" s="36" t="s">
        <v>884</v>
      </c>
      <c r="H602" s="81" t="s">
        <v>412</v>
      </c>
      <c r="I602" s="36" t="s">
        <v>4077</v>
      </c>
      <c r="J602" s="48">
        <v>40137</v>
      </c>
      <c r="K602" s="36" t="s">
        <v>412</v>
      </c>
      <c r="L602" s="36" t="s">
        <v>123</v>
      </c>
      <c r="M602" s="36" t="s">
        <v>96</v>
      </c>
      <c r="N602" s="36" t="s">
        <v>2416</v>
      </c>
      <c r="O602" s="101">
        <v>2012</v>
      </c>
      <c r="P602" s="159" t="s">
        <v>4078</v>
      </c>
      <c r="Q602" s="36"/>
      <c r="R602" s="36" t="s">
        <v>4079</v>
      </c>
      <c r="S602" s="156" t="str">
        <f>HYPERLINK("mailto:phamgiang.silver@gmail.com","phamgiang.silver@gmail.com")</f>
        <v>phamgiang.silver@gmail.com</v>
      </c>
      <c r="T602" s="81" t="s">
        <v>4080</v>
      </c>
      <c r="U602" s="81" t="s">
        <v>4081</v>
      </c>
      <c r="V602" s="36" t="s">
        <v>4082</v>
      </c>
      <c r="W602" s="36" t="s">
        <v>283</v>
      </c>
      <c r="X602" s="36" t="s">
        <v>4083</v>
      </c>
      <c r="Y602" s="36" t="s">
        <v>616</v>
      </c>
      <c r="Z602" s="81"/>
      <c r="AA602" s="54"/>
      <c r="AB602" s="81" t="s">
        <v>285</v>
      </c>
      <c r="AC602" s="81" t="s">
        <v>236</v>
      </c>
      <c r="AD602" s="36" t="s">
        <v>207</v>
      </c>
      <c r="AE602" s="81" t="s">
        <v>585</v>
      </c>
      <c r="AF602" s="81" t="s">
        <v>65</v>
      </c>
      <c r="AG602" s="48">
        <v>41442</v>
      </c>
      <c r="AH602" s="134">
        <f t="shared" si="63"/>
        <v>6</v>
      </c>
      <c r="AI602" s="134"/>
      <c r="AJ602" s="48"/>
      <c r="AK602" s="134" t="str">
        <f t="shared" si="62"/>
        <v/>
      </c>
      <c r="AL602" s="54" t="s">
        <v>82</v>
      </c>
      <c r="AM602" s="54"/>
      <c r="AN602" s="54"/>
      <c r="AO602" s="190">
        <v>41542</v>
      </c>
      <c r="AP602" s="65">
        <f t="shared" ref="AP602:AP633" si="65">IF((AO602=""),"",MONTH(AO602))</f>
        <v>9</v>
      </c>
      <c r="AQ602" s="123"/>
      <c r="AR602" s="23"/>
      <c r="AS602" s="54" t="s">
        <v>347</v>
      </c>
      <c r="AT602" s="136"/>
      <c r="AU602" s="70">
        <f t="shared" si="60"/>
        <v>3</v>
      </c>
      <c r="AV602" s="70" t="s">
        <v>68</v>
      </c>
    </row>
    <row r="603" spans="1:48" ht="25.5" hidden="1" x14ac:dyDescent="0.2">
      <c r="A603" s="86">
        <f t="shared" si="64"/>
        <v>20580</v>
      </c>
      <c r="B603" s="3" t="s">
        <v>4084</v>
      </c>
      <c r="C603" s="3" t="s">
        <v>119</v>
      </c>
      <c r="D603" s="86"/>
      <c r="E603" s="36" t="s">
        <v>94</v>
      </c>
      <c r="F603" s="48">
        <v>32334</v>
      </c>
      <c r="G603" s="36" t="s">
        <v>4085</v>
      </c>
      <c r="H603" s="81" t="s">
        <v>4085</v>
      </c>
      <c r="I603" s="36" t="s">
        <v>4086</v>
      </c>
      <c r="J603" s="48">
        <v>39746</v>
      </c>
      <c r="K603" s="36" t="s">
        <v>52</v>
      </c>
      <c r="L603" s="36" t="s">
        <v>123</v>
      </c>
      <c r="M603" s="36" t="s">
        <v>4087</v>
      </c>
      <c r="N603" s="36" t="s">
        <v>4088</v>
      </c>
      <c r="O603" s="101">
        <v>2012</v>
      </c>
      <c r="P603" s="159" t="s">
        <v>4089</v>
      </c>
      <c r="Q603" s="116"/>
      <c r="R603" s="36" t="s">
        <v>4090</v>
      </c>
      <c r="S603" s="36"/>
      <c r="T603" s="81" t="s">
        <v>4091</v>
      </c>
      <c r="U603" s="81" t="s">
        <v>4092</v>
      </c>
      <c r="V603" s="36"/>
      <c r="W603" s="36"/>
      <c r="X603" s="36"/>
      <c r="Y603" s="36" t="s">
        <v>616</v>
      </c>
      <c r="Z603" s="81"/>
      <c r="AA603" s="54"/>
      <c r="AB603" s="81" t="s">
        <v>285</v>
      </c>
      <c r="AC603" s="81" t="s">
        <v>236</v>
      </c>
      <c r="AD603" s="36" t="s">
        <v>207</v>
      </c>
      <c r="AE603" s="81" t="s">
        <v>585</v>
      </c>
      <c r="AF603" s="81" t="s">
        <v>65</v>
      </c>
      <c r="AG603" s="48">
        <v>41435</v>
      </c>
      <c r="AH603" s="134">
        <f t="shared" si="63"/>
        <v>6</v>
      </c>
      <c r="AI603" s="134"/>
      <c r="AJ603" s="48">
        <v>41533</v>
      </c>
      <c r="AK603" s="134">
        <f t="shared" si="62"/>
        <v>9</v>
      </c>
      <c r="AL603" s="54" t="s">
        <v>82</v>
      </c>
      <c r="AM603" s="54"/>
      <c r="AN603" s="54"/>
      <c r="AO603" s="190"/>
      <c r="AP603" s="65" t="str">
        <f t="shared" si="65"/>
        <v/>
      </c>
      <c r="AQ603" s="123"/>
      <c r="AR603" s="23"/>
      <c r="AS603" s="54" t="s">
        <v>347</v>
      </c>
      <c r="AT603" s="136"/>
      <c r="AU603" s="70">
        <f t="shared" si="60"/>
        <v>7</v>
      </c>
      <c r="AV603" s="70" t="s">
        <v>68</v>
      </c>
    </row>
    <row r="604" spans="1:48" ht="25.5" hidden="1" x14ac:dyDescent="0.2">
      <c r="A604" s="87">
        <f t="shared" si="64"/>
        <v>20581</v>
      </c>
      <c r="B604" s="80" t="s">
        <v>4093</v>
      </c>
      <c r="C604" s="80" t="s">
        <v>2003</v>
      </c>
      <c r="D604" s="87"/>
      <c r="E604" s="123" t="s">
        <v>51</v>
      </c>
      <c r="F604" s="140">
        <v>32899</v>
      </c>
      <c r="G604" s="123"/>
      <c r="H604" s="54" t="s">
        <v>365</v>
      </c>
      <c r="I604" s="123" t="s">
        <v>4094</v>
      </c>
      <c r="J604" s="140">
        <v>39397</v>
      </c>
      <c r="K604" s="123" t="s">
        <v>365</v>
      </c>
      <c r="L604" s="123" t="s">
        <v>123</v>
      </c>
      <c r="M604" s="123" t="s">
        <v>4095</v>
      </c>
      <c r="N604" s="123" t="s">
        <v>3139</v>
      </c>
      <c r="O604" s="106">
        <v>2012</v>
      </c>
      <c r="P604" s="153" t="str">
        <f>HYPERLINK("mailto:conglx@topica.edu.vn","conglx@topica.edu.vn")</f>
        <v>conglx@topica.edu.vn</v>
      </c>
      <c r="Q604" s="123"/>
      <c r="R604" s="123" t="s">
        <v>4096</v>
      </c>
      <c r="S604" s="173"/>
      <c r="T604" s="54" t="s">
        <v>4097</v>
      </c>
      <c r="U604" s="54" t="s">
        <v>4098</v>
      </c>
      <c r="V604" s="123" t="s">
        <v>4099</v>
      </c>
      <c r="W604" s="123" t="s">
        <v>283</v>
      </c>
      <c r="X604" s="123"/>
      <c r="Y604" s="123" t="s">
        <v>312</v>
      </c>
      <c r="Z604" s="54"/>
      <c r="AA604" s="54"/>
      <c r="AB604" s="54" t="s">
        <v>285</v>
      </c>
      <c r="AC604" s="54" t="s">
        <v>236</v>
      </c>
      <c r="AD604" s="123" t="s">
        <v>1067</v>
      </c>
      <c r="AE604" s="54" t="s">
        <v>1118</v>
      </c>
      <c r="AF604" s="54" t="s">
        <v>65</v>
      </c>
      <c r="AG604" s="140"/>
      <c r="AH604" s="23"/>
      <c r="AI604" s="65"/>
      <c r="AJ604" s="140">
        <v>41487</v>
      </c>
      <c r="AK604" s="65">
        <f t="shared" si="62"/>
        <v>8</v>
      </c>
      <c r="AL604" s="54" t="s">
        <v>66</v>
      </c>
      <c r="AM604" s="54"/>
      <c r="AN604" s="54"/>
      <c r="AO604" s="190"/>
      <c r="AP604" s="65" t="str">
        <f t="shared" si="65"/>
        <v/>
      </c>
      <c r="AQ604" s="123"/>
      <c r="AR604" s="23"/>
      <c r="AS604" s="54" t="s">
        <v>107</v>
      </c>
      <c r="AT604" s="136"/>
      <c r="AU604" s="70">
        <f t="shared" si="60"/>
        <v>1</v>
      </c>
      <c r="AV604" s="70" t="s">
        <v>68</v>
      </c>
    </row>
    <row r="605" spans="1:48" s="136" customFormat="1" ht="25.5" hidden="1" x14ac:dyDescent="0.2">
      <c r="A605" s="86">
        <f t="shared" si="64"/>
        <v>20582</v>
      </c>
      <c r="B605" s="3" t="s">
        <v>265</v>
      </c>
      <c r="C605" s="3" t="s">
        <v>4100</v>
      </c>
      <c r="D605" s="86"/>
      <c r="E605" s="36" t="s">
        <v>94</v>
      </c>
      <c r="F605" s="48">
        <v>33039</v>
      </c>
      <c r="G605" s="36" t="s">
        <v>52</v>
      </c>
      <c r="H605" s="81" t="s">
        <v>4085</v>
      </c>
      <c r="I605" s="36" t="s">
        <v>4101</v>
      </c>
      <c r="J605" s="48">
        <v>39659</v>
      </c>
      <c r="K605" s="36" t="s">
        <v>52</v>
      </c>
      <c r="L605" s="36" t="s">
        <v>123</v>
      </c>
      <c r="M605" s="36" t="s">
        <v>543</v>
      </c>
      <c r="N605" s="36" t="s">
        <v>1597</v>
      </c>
      <c r="O605" s="101">
        <v>2013</v>
      </c>
      <c r="P605" s="159" t="s">
        <v>4102</v>
      </c>
      <c r="Q605" s="36"/>
      <c r="R605" s="36" t="s">
        <v>4103</v>
      </c>
      <c r="S605" s="156" t="str">
        <f>HYPERLINK("mailto:nguyentuoik54ctxh@gmail.com","nguyentuoik54ctxh@gmail.com")</f>
        <v>nguyentuoik54ctxh@gmail.com</v>
      </c>
      <c r="T605" s="81" t="s">
        <v>4104</v>
      </c>
      <c r="U605" s="81" t="s">
        <v>4105</v>
      </c>
      <c r="V605" s="36" t="s">
        <v>4106</v>
      </c>
      <c r="W605" s="36" t="s">
        <v>283</v>
      </c>
      <c r="X605" s="36" t="s">
        <v>4107</v>
      </c>
      <c r="Y605" s="36" t="s">
        <v>616</v>
      </c>
      <c r="Z605" s="81"/>
      <c r="AA605" s="54"/>
      <c r="AB605" s="81" t="s">
        <v>285</v>
      </c>
      <c r="AC605" s="81" t="s">
        <v>236</v>
      </c>
      <c r="AD605" s="36" t="s">
        <v>207</v>
      </c>
      <c r="AE605" s="81" t="s">
        <v>585</v>
      </c>
      <c r="AF605" s="81" t="s">
        <v>65</v>
      </c>
      <c r="AG605" s="48">
        <v>41442</v>
      </c>
      <c r="AH605" s="134">
        <f t="shared" ref="AH605:AH636" si="66">IF((AG605=""),"",MONTH(AG605))</f>
        <v>6</v>
      </c>
      <c r="AI605" s="134"/>
      <c r="AJ605" s="48"/>
      <c r="AK605" s="134" t="str">
        <f t="shared" si="62"/>
        <v/>
      </c>
      <c r="AL605" s="94" t="s">
        <v>82</v>
      </c>
      <c r="AM605" s="94"/>
      <c r="AN605" s="94"/>
      <c r="AO605" s="190">
        <v>41471</v>
      </c>
      <c r="AP605" s="136">
        <f t="shared" si="65"/>
        <v>7</v>
      </c>
      <c r="AQ605" s="127"/>
      <c r="AR605" s="23"/>
      <c r="AS605" s="54" t="s">
        <v>347</v>
      </c>
      <c r="AT605" s="23"/>
      <c r="AU605" s="70">
        <f t="shared" si="60"/>
        <v>6</v>
      </c>
      <c r="AV605" s="70" t="s">
        <v>68</v>
      </c>
    </row>
    <row r="606" spans="1:48" ht="25.5" x14ac:dyDescent="0.2">
      <c r="A606" s="87">
        <f t="shared" si="64"/>
        <v>20583</v>
      </c>
      <c r="B606" s="80" t="s">
        <v>4108</v>
      </c>
      <c r="C606" s="80" t="s">
        <v>200</v>
      </c>
      <c r="D606" s="87"/>
      <c r="E606" s="123" t="s">
        <v>94</v>
      </c>
      <c r="F606" s="140">
        <v>32772</v>
      </c>
      <c r="G606" s="123" t="s">
        <v>303</v>
      </c>
      <c r="H606" s="54" t="s">
        <v>303</v>
      </c>
      <c r="I606" s="123" t="s">
        <v>4109</v>
      </c>
      <c r="J606" s="140">
        <v>38952</v>
      </c>
      <c r="K606" s="123" t="s">
        <v>303</v>
      </c>
      <c r="L606" s="123" t="s">
        <v>123</v>
      </c>
      <c r="M606" s="123" t="s">
        <v>4110</v>
      </c>
      <c r="N606" s="123" t="s">
        <v>4111</v>
      </c>
      <c r="O606" s="106">
        <v>2011</v>
      </c>
      <c r="P606" s="153" t="s">
        <v>4112</v>
      </c>
      <c r="Q606" s="123"/>
      <c r="R606" s="123" t="s">
        <v>4113</v>
      </c>
      <c r="S606" s="123"/>
      <c r="T606" s="54" t="s">
        <v>4114</v>
      </c>
      <c r="U606" s="54" t="s">
        <v>4114</v>
      </c>
      <c r="V606" s="123" t="s">
        <v>4115</v>
      </c>
      <c r="W606" s="123" t="s">
        <v>745</v>
      </c>
      <c r="X606" s="123"/>
      <c r="Y606" s="123" t="s">
        <v>972</v>
      </c>
      <c r="Z606" s="54"/>
      <c r="AA606" s="54"/>
      <c r="AB606" s="54">
        <v>1</v>
      </c>
      <c r="AC606" s="54" t="s">
        <v>236</v>
      </c>
      <c r="AD606" s="123" t="s">
        <v>512</v>
      </c>
      <c r="AE606" s="54" t="s">
        <v>973</v>
      </c>
      <c r="AF606" s="54" t="s">
        <v>65</v>
      </c>
      <c r="AG606" s="140">
        <v>41442</v>
      </c>
      <c r="AH606" s="65">
        <f t="shared" si="66"/>
        <v>6</v>
      </c>
      <c r="AI606" s="65"/>
      <c r="AJ606" s="140">
        <v>41503</v>
      </c>
      <c r="AK606" s="65">
        <f t="shared" si="62"/>
        <v>8</v>
      </c>
      <c r="AL606" s="54" t="s">
        <v>66</v>
      </c>
      <c r="AM606" s="54"/>
      <c r="AN606" s="54"/>
      <c r="AO606" s="190"/>
      <c r="AP606" s="136" t="str">
        <f t="shared" si="65"/>
        <v/>
      </c>
      <c r="AQ606" s="123"/>
      <c r="AR606" s="23"/>
      <c r="AS606" s="54" t="s">
        <v>347</v>
      </c>
      <c r="AT606" s="136"/>
      <c r="AU606" s="70">
        <f t="shared" si="60"/>
        <v>9</v>
      </c>
      <c r="AV606" s="70" t="s">
        <v>68</v>
      </c>
    </row>
    <row r="607" spans="1:48" ht="12.75" hidden="1" x14ac:dyDescent="0.2">
      <c r="A607" s="86">
        <f t="shared" si="64"/>
        <v>20584</v>
      </c>
      <c r="B607" s="3" t="s">
        <v>4116</v>
      </c>
      <c r="C607" s="3" t="s">
        <v>4117</v>
      </c>
      <c r="D607" s="86"/>
      <c r="E607" s="36" t="s">
        <v>94</v>
      </c>
      <c r="F607" s="48"/>
      <c r="G607" s="36"/>
      <c r="H607" s="81"/>
      <c r="I607" s="36"/>
      <c r="J607" s="48"/>
      <c r="K607" s="36"/>
      <c r="L607" s="36"/>
      <c r="M607" s="36"/>
      <c r="N607" s="36"/>
      <c r="O607" s="101"/>
      <c r="P607" s="159" t="str">
        <f>HYPERLINK("mailto:diepnb@topica.edu.vn","diepnb@topica.edu.vn")</f>
        <v>diepnb@topica.edu.vn</v>
      </c>
      <c r="Q607" s="36"/>
      <c r="R607" s="36"/>
      <c r="S607" s="36"/>
      <c r="T607" s="81"/>
      <c r="U607" s="81"/>
      <c r="V607" s="36"/>
      <c r="W607" s="36"/>
      <c r="X607" s="36"/>
      <c r="Y607" s="36" t="s">
        <v>284</v>
      </c>
      <c r="Z607" s="81"/>
      <c r="AA607" s="54"/>
      <c r="AB607" s="81">
        <v>1</v>
      </c>
      <c r="AC607" s="81" t="s">
        <v>236</v>
      </c>
      <c r="AD607" s="36" t="s">
        <v>221</v>
      </c>
      <c r="AE607" s="81" t="s">
        <v>963</v>
      </c>
      <c r="AF607" s="81" t="s">
        <v>65</v>
      </c>
      <c r="AG607" s="48">
        <v>41429</v>
      </c>
      <c r="AH607" s="134">
        <f t="shared" si="66"/>
        <v>6</v>
      </c>
      <c r="AI607" s="134"/>
      <c r="AJ607" s="48"/>
      <c r="AK607" s="134" t="str">
        <f t="shared" si="62"/>
        <v/>
      </c>
      <c r="AL607" s="54" t="s">
        <v>82</v>
      </c>
      <c r="AM607" s="54"/>
      <c r="AN607" s="54"/>
      <c r="AO607" s="190">
        <v>41518</v>
      </c>
      <c r="AP607" s="65">
        <f t="shared" si="65"/>
        <v>9</v>
      </c>
      <c r="AQ607" s="123"/>
      <c r="AR607" s="23"/>
      <c r="AS607" s="54" t="s">
        <v>107</v>
      </c>
      <c r="AT607" s="136"/>
      <c r="AU607" s="70" t="str">
        <f t="shared" si="60"/>
        <v/>
      </c>
      <c r="AV607" s="70" t="s">
        <v>68</v>
      </c>
    </row>
    <row r="608" spans="1:48" ht="25.5" hidden="1" x14ac:dyDescent="0.2">
      <c r="A608" s="87">
        <f t="shared" si="64"/>
        <v>20585</v>
      </c>
      <c r="B608" s="80" t="s">
        <v>265</v>
      </c>
      <c r="C608" s="80" t="s">
        <v>3170</v>
      </c>
      <c r="D608" s="87"/>
      <c r="E608" s="123" t="s">
        <v>94</v>
      </c>
      <c r="F608" s="140">
        <v>32736</v>
      </c>
      <c r="G608" s="123" t="s">
        <v>750</v>
      </c>
      <c r="H608" s="54" t="s">
        <v>751</v>
      </c>
      <c r="I608" s="123" t="s">
        <v>4118</v>
      </c>
      <c r="J608" s="140">
        <v>40271</v>
      </c>
      <c r="K608" s="123" t="s">
        <v>52</v>
      </c>
      <c r="L608" s="123" t="s">
        <v>123</v>
      </c>
      <c r="M608" s="123" t="s">
        <v>96</v>
      </c>
      <c r="N608" s="123" t="s">
        <v>368</v>
      </c>
      <c r="O608" s="106">
        <v>2012</v>
      </c>
      <c r="P608" s="153" t="s">
        <v>4119</v>
      </c>
      <c r="Q608" s="123"/>
      <c r="R608" s="123" t="s">
        <v>4120</v>
      </c>
      <c r="S608" s="123" t="str">
        <f>HYPERLINK("mailto:nguyenhoan105@gmail.com","nguyenhoan105@gmail.com")</f>
        <v>nguyenhoan105@gmail.com</v>
      </c>
      <c r="T608" s="54" t="s">
        <v>4121</v>
      </c>
      <c r="U608" s="54" t="s">
        <v>4122</v>
      </c>
      <c r="V608" s="123"/>
      <c r="W608" s="123"/>
      <c r="X608" s="123"/>
      <c r="Y608" s="123" t="s">
        <v>865</v>
      </c>
      <c r="Z608" s="54"/>
      <c r="AA608" s="54"/>
      <c r="AB608" s="54">
        <v>1</v>
      </c>
      <c r="AC608" s="54" t="s">
        <v>236</v>
      </c>
      <c r="AD608" s="123" t="s">
        <v>207</v>
      </c>
      <c r="AE608" s="54" t="s">
        <v>585</v>
      </c>
      <c r="AF608" s="54" t="s">
        <v>65</v>
      </c>
      <c r="AG608" s="140">
        <v>41435</v>
      </c>
      <c r="AH608" s="65">
        <f t="shared" si="66"/>
        <v>6</v>
      </c>
      <c r="AI608" s="65"/>
      <c r="AJ608" s="140">
        <v>41533</v>
      </c>
      <c r="AK608" s="65">
        <f t="shared" si="62"/>
        <v>9</v>
      </c>
      <c r="AL608" s="54" t="s">
        <v>66</v>
      </c>
      <c r="AM608" s="54" t="s">
        <v>0</v>
      </c>
      <c r="AN608" s="54"/>
      <c r="AO608" s="190"/>
      <c r="AP608" s="65" t="str">
        <f t="shared" si="65"/>
        <v/>
      </c>
      <c r="AQ608" s="123"/>
      <c r="AR608" s="23"/>
      <c r="AS608" s="54" t="s">
        <v>347</v>
      </c>
      <c r="AT608" s="136"/>
      <c r="AU608" s="70">
        <f t="shared" si="60"/>
        <v>8</v>
      </c>
      <c r="AV608" s="70" t="s">
        <v>68</v>
      </c>
    </row>
    <row r="609" spans="1:48" ht="25.5" hidden="1" x14ac:dyDescent="0.2">
      <c r="A609" s="87">
        <f t="shared" si="64"/>
        <v>20586</v>
      </c>
      <c r="B609" s="80" t="s">
        <v>4123</v>
      </c>
      <c r="C609" s="80" t="s">
        <v>667</v>
      </c>
      <c r="D609" s="87"/>
      <c r="E609" s="123" t="s">
        <v>51</v>
      </c>
      <c r="F609" s="140">
        <v>31858</v>
      </c>
      <c r="G609" s="123" t="s">
        <v>52</v>
      </c>
      <c r="H609" s="54" t="s">
        <v>52</v>
      </c>
      <c r="I609" s="123" t="s">
        <v>4124</v>
      </c>
      <c r="J609" s="140">
        <v>39769</v>
      </c>
      <c r="K609" s="123" t="s">
        <v>52</v>
      </c>
      <c r="L609" s="123" t="s">
        <v>123</v>
      </c>
      <c r="M609" s="123" t="s">
        <v>4038</v>
      </c>
      <c r="N609" s="123" t="s">
        <v>1752</v>
      </c>
      <c r="O609" s="106"/>
      <c r="P609" s="153" t="s">
        <v>4125</v>
      </c>
      <c r="Q609" s="123"/>
      <c r="R609" s="123" t="s">
        <v>4126</v>
      </c>
      <c r="S609" s="123" t="str">
        <f>HYPERLINK("mailto:manhha22031987@gmail.com","manhha22031987@gmail.com")</f>
        <v>manhha22031987@gmail.com</v>
      </c>
      <c r="T609" s="54" t="s">
        <v>4127</v>
      </c>
      <c r="U609" s="54" t="s">
        <v>4127</v>
      </c>
      <c r="V609" s="123" t="s">
        <v>4128</v>
      </c>
      <c r="W609" s="123" t="s">
        <v>745</v>
      </c>
      <c r="X609" s="123" t="s">
        <v>4129</v>
      </c>
      <c r="Y609" s="123" t="s">
        <v>312</v>
      </c>
      <c r="Z609" s="54"/>
      <c r="AA609" s="54"/>
      <c r="AB609" s="54">
        <v>1</v>
      </c>
      <c r="AC609" s="54" t="s">
        <v>236</v>
      </c>
      <c r="AD609" s="123" t="s">
        <v>1166</v>
      </c>
      <c r="AE609" s="54" t="s">
        <v>1167</v>
      </c>
      <c r="AF609" s="54" t="s">
        <v>65</v>
      </c>
      <c r="AG609" s="140">
        <v>41430</v>
      </c>
      <c r="AH609" s="65">
        <f t="shared" si="66"/>
        <v>6</v>
      </c>
      <c r="AI609" s="65"/>
      <c r="AJ609" s="140">
        <v>41459</v>
      </c>
      <c r="AK609" s="65">
        <f t="shared" si="62"/>
        <v>7</v>
      </c>
      <c r="AL609" s="54" t="s">
        <v>66</v>
      </c>
      <c r="AM609" s="54"/>
      <c r="AN609" s="54"/>
      <c r="AO609" s="190"/>
      <c r="AP609" s="65" t="str">
        <f t="shared" si="65"/>
        <v/>
      </c>
      <c r="AQ609" s="123"/>
      <c r="AR609" s="23"/>
      <c r="AS609" s="54" t="s">
        <v>67</v>
      </c>
      <c r="AT609" s="136"/>
      <c r="AU609" s="70">
        <f t="shared" si="60"/>
        <v>3</v>
      </c>
      <c r="AV609" s="70" t="s">
        <v>68</v>
      </c>
    </row>
    <row r="610" spans="1:48" ht="25.5" hidden="1" x14ac:dyDescent="0.2">
      <c r="A610" s="86">
        <f t="shared" si="64"/>
        <v>20587</v>
      </c>
      <c r="B610" s="3" t="s">
        <v>4130</v>
      </c>
      <c r="C610" s="3" t="s">
        <v>160</v>
      </c>
      <c r="D610" s="86"/>
      <c r="E610" s="36" t="s">
        <v>94</v>
      </c>
      <c r="F610" s="48">
        <v>32716</v>
      </c>
      <c r="G610" s="36" t="s">
        <v>4131</v>
      </c>
      <c r="H610" s="81" t="s">
        <v>751</v>
      </c>
      <c r="I610" s="36" t="s">
        <v>4132</v>
      </c>
      <c r="J610" s="48">
        <v>40712</v>
      </c>
      <c r="K610" s="36" t="s">
        <v>750</v>
      </c>
      <c r="L610" s="36" t="s">
        <v>123</v>
      </c>
      <c r="M610" s="36" t="s">
        <v>448</v>
      </c>
      <c r="N610" s="36" t="s">
        <v>4133</v>
      </c>
      <c r="O610" s="101">
        <v>2013</v>
      </c>
      <c r="P610" s="159" t="s">
        <v>4134</v>
      </c>
      <c r="Q610" s="36"/>
      <c r="R610" s="36" t="s">
        <v>4135</v>
      </c>
      <c r="S610" s="36"/>
      <c r="T610" s="81" t="s">
        <v>4136</v>
      </c>
      <c r="U610" s="81" t="s">
        <v>4137</v>
      </c>
      <c r="V610" s="36" t="s">
        <v>4138</v>
      </c>
      <c r="W610" s="36" t="s">
        <v>283</v>
      </c>
      <c r="X610" s="36"/>
      <c r="Y610" s="36" t="s">
        <v>284</v>
      </c>
      <c r="Z610" s="81"/>
      <c r="AA610" s="54"/>
      <c r="AB610" s="81">
        <v>1</v>
      </c>
      <c r="AC610" s="81" t="s">
        <v>236</v>
      </c>
      <c r="AD610" s="36" t="s">
        <v>198</v>
      </c>
      <c r="AE610" s="81" t="s">
        <v>313</v>
      </c>
      <c r="AF610" s="81" t="s">
        <v>65</v>
      </c>
      <c r="AG610" s="48">
        <v>41449</v>
      </c>
      <c r="AH610" s="134">
        <f t="shared" si="66"/>
        <v>6</v>
      </c>
      <c r="AI610" s="134"/>
      <c r="AJ610" s="48"/>
      <c r="AK610" s="134" t="str">
        <f t="shared" si="62"/>
        <v/>
      </c>
      <c r="AL610" s="54" t="s">
        <v>82</v>
      </c>
      <c r="AM610" s="54"/>
      <c r="AN610" s="54"/>
      <c r="AO610" s="190">
        <v>41509</v>
      </c>
      <c r="AP610" s="65">
        <f t="shared" si="65"/>
        <v>8</v>
      </c>
      <c r="AQ610" s="123"/>
      <c r="AR610" s="23"/>
      <c r="AS610" s="54" t="s">
        <v>347</v>
      </c>
      <c r="AT610" s="136"/>
      <c r="AU610" s="70">
        <f t="shared" si="60"/>
        <v>7</v>
      </c>
      <c r="AV610" s="70" t="s">
        <v>68</v>
      </c>
    </row>
    <row r="611" spans="1:48" ht="25.5" hidden="1" x14ac:dyDescent="0.2">
      <c r="A611" s="86">
        <f t="shared" si="64"/>
        <v>20588</v>
      </c>
      <c r="B611" s="3" t="s">
        <v>982</v>
      </c>
      <c r="C611" s="3" t="s">
        <v>4139</v>
      </c>
      <c r="D611" s="86"/>
      <c r="E611" s="36" t="s">
        <v>94</v>
      </c>
      <c r="F611" s="48">
        <v>31941</v>
      </c>
      <c r="G611" s="36" t="s">
        <v>52</v>
      </c>
      <c r="H611" s="81" t="s">
        <v>171</v>
      </c>
      <c r="I611" s="36" t="s">
        <v>4140</v>
      </c>
      <c r="J611" s="48">
        <v>37329</v>
      </c>
      <c r="K611" s="36" t="s">
        <v>52</v>
      </c>
      <c r="L611" s="36" t="s">
        <v>123</v>
      </c>
      <c r="M611" s="36" t="s">
        <v>4141</v>
      </c>
      <c r="N611" s="36" t="s">
        <v>694</v>
      </c>
      <c r="O611" s="101">
        <v>2009</v>
      </c>
      <c r="P611" s="159" t="s">
        <v>4142</v>
      </c>
      <c r="Q611" s="36"/>
      <c r="R611" s="36" t="s">
        <v>4143</v>
      </c>
      <c r="S611" s="36"/>
      <c r="T611" s="81" t="s">
        <v>4144</v>
      </c>
      <c r="U611" s="81" t="s">
        <v>4144</v>
      </c>
      <c r="V611" s="36" t="s">
        <v>4145</v>
      </c>
      <c r="W611" s="36" t="s">
        <v>283</v>
      </c>
      <c r="X611" s="36"/>
      <c r="Y611" s="36" t="s">
        <v>3626</v>
      </c>
      <c r="Z611" s="81"/>
      <c r="AA611" s="54"/>
      <c r="AB611" s="81">
        <v>1</v>
      </c>
      <c r="AC611" s="81" t="s">
        <v>236</v>
      </c>
      <c r="AD611" s="36" t="s">
        <v>512</v>
      </c>
      <c r="AE611" s="81" t="s">
        <v>973</v>
      </c>
      <c r="AF611" s="81" t="s">
        <v>65</v>
      </c>
      <c r="AG611" s="48">
        <v>41450</v>
      </c>
      <c r="AH611" s="134">
        <f t="shared" si="66"/>
        <v>6</v>
      </c>
      <c r="AI611" s="134"/>
      <c r="AJ611" s="48"/>
      <c r="AK611" s="134" t="str">
        <f t="shared" si="62"/>
        <v/>
      </c>
      <c r="AL611" s="54" t="s">
        <v>82</v>
      </c>
      <c r="AM611" s="54"/>
      <c r="AN611" s="54"/>
      <c r="AO611" s="190">
        <v>41451</v>
      </c>
      <c r="AP611" s="136">
        <f t="shared" si="65"/>
        <v>6</v>
      </c>
      <c r="AQ611" s="123"/>
      <c r="AR611" s="23"/>
      <c r="AS611" s="54" t="s">
        <v>347</v>
      </c>
      <c r="AT611" s="136"/>
      <c r="AU611" s="70">
        <f t="shared" si="60"/>
        <v>6</v>
      </c>
      <c r="AV611" s="70" t="s">
        <v>68</v>
      </c>
    </row>
    <row r="612" spans="1:48" ht="25.5" hidden="1" x14ac:dyDescent="0.2">
      <c r="A612" s="86">
        <f t="shared" si="64"/>
        <v>20589</v>
      </c>
      <c r="B612" s="3" t="s">
        <v>4146</v>
      </c>
      <c r="C612" s="3" t="s">
        <v>1428</v>
      </c>
      <c r="D612" s="86"/>
      <c r="E612" s="36" t="s">
        <v>94</v>
      </c>
      <c r="F612" s="48">
        <v>32375</v>
      </c>
      <c r="G612" s="36" t="s">
        <v>365</v>
      </c>
      <c r="H612" s="81" t="s">
        <v>365</v>
      </c>
      <c r="I612" s="36" t="s">
        <v>4147</v>
      </c>
      <c r="J612" s="48">
        <v>40143</v>
      </c>
      <c r="K612" s="36" t="s">
        <v>365</v>
      </c>
      <c r="L612" s="36" t="s">
        <v>123</v>
      </c>
      <c r="M612" s="36" t="s">
        <v>3748</v>
      </c>
      <c r="N612" s="36" t="s">
        <v>4148</v>
      </c>
      <c r="O612" s="101">
        <v>2013</v>
      </c>
      <c r="P612" s="159" t="str">
        <f>HYPERLINK("mailto:loannt2@topica.edu.vn","loannt2@topica.edu.vn")</f>
        <v>loannt2@topica.edu.vn</v>
      </c>
      <c r="Q612" s="36"/>
      <c r="R612" s="36" t="s">
        <v>4149</v>
      </c>
      <c r="S612" s="38" t="str">
        <f>HYPERLINK("mailto:nguyenloan.epu@gmail.com","nguyenloan.epu@gmail.com")</f>
        <v>nguyenloan.epu@gmail.com</v>
      </c>
      <c r="T612" s="81" t="s">
        <v>4150</v>
      </c>
      <c r="U612" s="81" t="s">
        <v>4151</v>
      </c>
      <c r="V612" s="36" t="s">
        <v>4152</v>
      </c>
      <c r="W612" s="36" t="s">
        <v>3646</v>
      </c>
      <c r="X612" s="36" t="s">
        <v>4153</v>
      </c>
      <c r="Y612" s="36" t="s">
        <v>616</v>
      </c>
      <c r="Z612" s="81"/>
      <c r="AA612" s="54"/>
      <c r="AB612" s="81">
        <v>1</v>
      </c>
      <c r="AC612" s="81" t="s">
        <v>236</v>
      </c>
      <c r="AD612" s="36" t="s">
        <v>207</v>
      </c>
      <c r="AE612" s="81" t="s">
        <v>585</v>
      </c>
      <c r="AF612" s="81" t="s">
        <v>65</v>
      </c>
      <c r="AG612" s="48">
        <v>41456</v>
      </c>
      <c r="AH612" s="134">
        <f t="shared" si="66"/>
        <v>7</v>
      </c>
      <c r="AI612" s="134"/>
      <c r="AJ612" s="48">
        <v>41533</v>
      </c>
      <c r="AK612" s="134">
        <f t="shared" si="62"/>
        <v>9</v>
      </c>
      <c r="AL612" s="81" t="s">
        <v>82</v>
      </c>
      <c r="AM612" s="81"/>
      <c r="AN612" s="81"/>
      <c r="AO612" s="48">
        <v>41614</v>
      </c>
      <c r="AP612" s="134">
        <f t="shared" si="65"/>
        <v>12</v>
      </c>
      <c r="AQ612" s="36"/>
      <c r="AR612" s="116"/>
      <c r="AS612" s="81" t="s">
        <v>347</v>
      </c>
      <c r="AT612" s="134"/>
      <c r="AU612" s="172">
        <f t="shared" si="60"/>
        <v>8</v>
      </c>
      <c r="AV612" s="172" t="s">
        <v>68</v>
      </c>
    </row>
    <row r="613" spans="1:48" s="136" customFormat="1" ht="25.5" hidden="1" x14ac:dyDescent="0.2">
      <c r="A613" s="86">
        <f t="shared" si="64"/>
        <v>20590</v>
      </c>
      <c r="B613" s="3" t="s">
        <v>2172</v>
      </c>
      <c r="C613" s="3" t="s">
        <v>939</v>
      </c>
      <c r="D613" s="86"/>
      <c r="E613" s="36" t="s">
        <v>94</v>
      </c>
      <c r="F613" s="48">
        <v>32090</v>
      </c>
      <c r="G613" s="36" t="s">
        <v>52</v>
      </c>
      <c r="H613" s="81" t="s">
        <v>132</v>
      </c>
      <c r="I613" s="36" t="s">
        <v>4154</v>
      </c>
      <c r="J613" s="48">
        <v>40416</v>
      </c>
      <c r="K613" s="36" t="s">
        <v>52</v>
      </c>
      <c r="L613" s="36" t="s">
        <v>123</v>
      </c>
      <c r="M613" s="36" t="s">
        <v>382</v>
      </c>
      <c r="N613" s="36" t="s">
        <v>4063</v>
      </c>
      <c r="O613" s="101">
        <v>2009</v>
      </c>
      <c r="P613" s="159" t="str">
        <f>HYPERLINK("mailto:lienvth@topica.edu,vn","lienvth@topica.edu,vn")</f>
        <v>lienvth@topica.edu,vn</v>
      </c>
      <c r="Q613" s="36"/>
      <c r="R613" s="36" t="s">
        <v>4155</v>
      </c>
      <c r="S613" s="156" t="str">
        <f>HYPERLINK("mailto:vuhuonglien87@gmail.com","vuhuonglien87@gmail.com")</f>
        <v>vuhuonglien87@gmail.com</v>
      </c>
      <c r="T613" s="81" t="s">
        <v>4156</v>
      </c>
      <c r="U613" s="81" t="s">
        <v>4157</v>
      </c>
      <c r="V613" s="36" t="s">
        <v>4158</v>
      </c>
      <c r="W613" s="36" t="s">
        <v>2989</v>
      </c>
      <c r="X613" s="36" t="s">
        <v>4159</v>
      </c>
      <c r="Y613" s="36" t="s">
        <v>616</v>
      </c>
      <c r="Z613" s="81"/>
      <c r="AA613" s="54"/>
      <c r="AB613" s="81">
        <v>1</v>
      </c>
      <c r="AC613" s="81" t="s">
        <v>236</v>
      </c>
      <c r="AD613" s="36" t="s">
        <v>207</v>
      </c>
      <c r="AE613" s="81" t="s">
        <v>585</v>
      </c>
      <c r="AF613" s="81" t="s">
        <v>65</v>
      </c>
      <c r="AG613" s="48">
        <v>41456</v>
      </c>
      <c r="AH613" s="134">
        <f t="shared" si="66"/>
        <v>7</v>
      </c>
      <c r="AI613" s="134"/>
      <c r="AJ613" s="48"/>
      <c r="AK613" s="134" t="str">
        <f t="shared" si="62"/>
        <v/>
      </c>
      <c r="AL613" s="94" t="s">
        <v>82</v>
      </c>
      <c r="AM613" s="94"/>
      <c r="AN613" s="94"/>
      <c r="AO613" s="190">
        <v>41480</v>
      </c>
      <c r="AP613" s="65">
        <f t="shared" si="65"/>
        <v>7</v>
      </c>
      <c r="AQ613" s="127"/>
      <c r="AR613" s="23"/>
      <c r="AS613" s="54" t="s">
        <v>347</v>
      </c>
      <c r="AT613" s="23"/>
      <c r="AU613" s="70">
        <f t="shared" si="60"/>
        <v>11</v>
      </c>
      <c r="AV613" s="70" t="s">
        <v>68</v>
      </c>
    </row>
    <row r="614" spans="1:48" ht="38.25" hidden="1" x14ac:dyDescent="0.2">
      <c r="A614" s="86">
        <f t="shared" si="64"/>
        <v>20591</v>
      </c>
      <c r="B614" s="3" t="s">
        <v>982</v>
      </c>
      <c r="C614" s="3" t="s">
        <v>1272</v>
      </c>
      <c r="D614" s="86"/>
      <c r="E614" s="36" t="s">
        <v>94</v>
      </c>
      <c r="F614" s="48">
        <v>33348</v>
      </c>
      <c r="G614" s="36" t="s">
        <v>161</v>
      </c>
      <c r="H614" s="81" t="s">
        <v>161</v>
      </c>
      <c r="I614" s="36" t="s">
        <v>4160</v>
      </c>
      <c r="J614" s="48">
        <v>39461</v>
      </c>
      <c r="K614" s="36" t="s">
        <v>161</v>
      </c>
      <c r="L614" s="36" t="s">
        <v>123</v>
      </c>
      <c r="M614" s="36" t="s">
        <v>543</v>
      </c>
      <c r="N614" s="36" t="s">
        <v>786</v>
      </c>
      <c r="O614" s="101">
        <v>2012</v>
      </c>
      <c r="P614" s="159" t="s">
        <v>4161</v>
      </c>
      <c r="Q614" s="36"/>
      <c r="R614" s="36"/>
      <c r="S614" s="36"/>
      <c r="T614" s="81" t="s">
        <v>4162</v>
      </c>
      <c r="U614" s="81" t="s">
        <v>4163</v>
      </c>
      <c r="V614" s="36" t="s">
        <v>4164</v>
      </c>
      <c r="W614" s="36" t="s">
        <v>4165</v>
      </c>
      <c r="X614" s="36" t="s">
        <v>4166</v>
      </c>
      <c r="Y614" s="36" t="s">
        <v>616</v>
      </c>
      <c r="Z614" s="81"/>
      <c r="AA614" s="54"/>
      <c r="AB614" s="81">
        <v>1</v>
      </c>
      <c r="AC614" s="81" t="s">
        <v>236</v>
      </c>
      <c r="AD614" s="36" t="s">
        <v>207</v>
      </c>
      <c r="AE614" s="81" t="s">
        <v>585</v>
      </c>
      <c r="AF614" s="81" t="s">
        <v>65</v>
      </c>
      <c r="AG614" s="48">
        <v>41456</v>
      </c>
      <c r="AH614" s="134">
        <f t="shared" si="66"/>
        <v>7</v>
      </c>
      <c r="AI614" s="134"/>
      <c r="AJ614" s="48"/>
      <c r="AK614" s="134" t="str">
        <f t="shared" si="62"/>
        <v/>
      </c>
      <c r="AL614" s="54" t="s">
        <v>82</v>
      </c>
      <c r="AM614" s="54"/>
      <c r="AN614" s="54"/>
      <c r="AO614" s="190">
        <v>41542</v>
      </c>
      <c r="AP614" s="65">
        <f t="shared" si="65"/>
        <v>9</v>
      </c>
      <c r="AQ614" s="123"/>
      <c r="AR614" s="23"/>
      <c r="AS614" s="54" t="s">
        <v>347</v>
      </c>
      <c r="AT614" s="136"/>
      <c r="AU614" s="70">
        <f t="shared" si="60"/>
        <v>4</v>
      </c>
      <c r="AV614" s="70" t="s">
        <v>68</v>
      </c>
    </row>
    <row r="615" spans="1:48" ht="25.5" hidden="1" x14ac:dyDescent="0.2">
      <c r="A615" s="86">
        <f t="shared" si="64"/>
        <v>20592</v>
      </c>
      <c r="B615" s="3" t="s">
        <v>255</v>
      </c>
      <c r="C615" s="3" t="s">
        <v>191</v>
      </c>
      <c r="D615" s="86"/>
      <c r="E615" s="36" t="s">
        <v>94</v>
      </c>
      <c r="F615" s="48"/>
      <c r="G615" s="36"/>
      <c r="H615" s="81"/>
      <c r="I615" s="36"/>
      <c r="J615" s="48"/>
      <c r="K615" s="36"/>
      <c r="L615" s="36"/>
      <c r="M615" s="36"/>
      <c r="N615" s="36"/>
      <c r="O615" s="101"/>
      <c r="P615" s="159"/>
      <c r="Q615" s="36"/>
      <c r="R615" s="36"/>
      <c r="S615" s="36"/>
      <c r="T615" s="81"/>
      <c r="U615" s="81"/>
      <c r="V615" s="36"/>
      <c r="W615" s="36"/>
      <c r="X615" s="36"/>
      <c r="Y615" s="36" t="s">
        <v>616</v>
      </c>
      <c r="Z615" s="81"/>
      <c r="AA615" s="54"/>
      <c r="AB615" s="81">
        <v>1</v>
      </c>
      <c r="AC615" s="81" t="s">
        <v>236</v>
      </c>
      <c r="AD615" s="36" t="s">
        <v>207</v>
      </c>
      <c r="AE615" s="81" t="s">
        <v>585</v>
      </c>
      <c r="AF615" s="81" t="s">
        <v>65</v>
      </c>
      <c r="AG615" s="48">
        <v>41456</v>
      </c>
      <c r="AH615" s="134">
        <f t="shared" si="66"/>
        <v>7</v>
      </c>
      <c r="AI615" s="134"/>
      <c r="AJ615" s="48"/>
      <c r="AK615" s="134" t="str">
        <f t="shared" si="62"/>
        <v/>
      </c>
      <c r="AL615" s="54" t="s">
        <v>82</v>
      </c>
      <c r="AM615" s="54"/>
      <c r="AN615" s="54"/>
      <c r="AO615" s="190">
        <v>41456</v>
      </c>
      <c r="AP615" s="136">
        <f t="shared" si="65"/>
        <v>7</v>
      </c>
      <c r="AQ615" s="123"/>
      <c r="AR615" s="23"/>
      <c r="AS615" s="54" t="s">
        <v>347</v>
      </c>
      <c r="AT615" s="136"/>
      <c r="AU615" s="70" t="str">
        <f t="shared" si="60"/>
        <v/>
      </c>
      <c r="AV615" s="70" t="s">
        <v>68</v>
      </c>
    </row>
    <row r="616" spans="1:48" ht="25.5" hidden="1" x14ac:dyDescent="0.2">
      <c r="A616" s="87">
        <f t="shared" si="64"/>
        <v>20593</v>
      </c>
      <c r="B616" s="80" t="s">
        <v>265</v>
      </c>
      <c r="C616" s="80" t="s">
        <v>93</v>
      </c>
      <c r="D616" s="87"/>
      <c r="E616" s="123" t="s">
        <v>94</v>
      </c>
      <c r="F616" s="140">
        <v>33521</v>
      </c>
      <c r="G616" s="123" t="s">
        <v>1186</v>
      </c>
      <c r="H616" s="54" t="s">
        <v>379</v>
      </c>
      <c r="I616" s="123" t="s">
        <v>4167</v>
      </c>
      <c r="J616" s="140">
        <v>39240</v>
      </c>
      <c r="K616" s="123" t="s">
        <v>379</v>
      </c>
      <c r="L616" s="123" t="s">
        <v>123</v>
      </c>
      <c r="M616" s="123" t="s">
        <v>578</v>
      </c>
      <c r="N616" s="123" t="s">
        <v>2354</v>
      </c>
      <c r="O616" s="106">
        <v>2013</v>
      </c>
      <c r="P616" s="153" t="str">
        <f>HYPERLINK("mailto:hanhnt2@topica.edu.vn","hanhnt2@topica.edu.vn")</f>
        <v>hanhnt2@topica.edu.vn</v>
      </c>
      <c r="Q616" s="123"/>
      <c r="R616" s="123" t="s">
        <v>4168</v>
      </c>
      <c r="S616" s="123"/>
      <c r="T616" s="54" t="s">
        <v>4169</v>
      </c>
      <c r="U616" s="54" t="s">
        <v>4170</v>
      </c>
      <c r="V616" s="123" t="s">
        <v>4171</v>
      </c>
      <c r="W616" s="123" t="s">
        <v>4172</v>
      </c>
      <c r="X616" s="123" t="s">
        <v>4173</v>
      </c>
      <c r="Y616" s="123" t="s">
        <v>2281</v>
      </c>
      <c r="Z616" s="54"/>
      <c r="AA616" s="54"/>
      <c r="AB616" s="54">
        <v>1</v>
      </c>
      <c r="AC616" s="54" t="s">
        <v>236</v>
      </c>
      <c r="AD616" s="123" t="s">
        <v>512</v>
      </c>
      <c r="AE616" s="54" t="s">
        <v>1650</v>
      </c>
      <c r="AF616" s="54" t="s">
        <v>65</v>
      </c>
      <c r="AG616" s="140">
        <v>41463</v>
      </c>
      <c r="AH616" s="65">
        <f t="shared" si="66"/>
        <v>7</v>
      </c>
      <c r="AI616" s="65"/>
      <c r="AJ616" s="140">
        <v>41525</v>
      </c>
      <c r="AK616" s="65">
        <f t="shared" si="62"/>
        <v>9</v>
      </c>
      <c r="AL616" s="54" t="s">
        <v>66</v>
      </c>
      <c r="AM616" s="54"/>
      <c r="AN616" s="54"/>
      <c r="AO616" s="190"/>
      <c r="AP616" s="65" t="str">
        <f t="shared" si="65"/>
        <v/>
      </c>
      <c r="AQ616" s="123"/>
      <c r="AR616" s="23"/>
      <c r="AS616" s="54" t="s">
        <v>107</v>
      </c>
      <c r="AT616" s="136"/>
      <c r="AU616" s="70">
        <f t="shared" si="60"/>
        <v>10</v>
      </c>
      <c r="AV616" s="70" t="s">
        <v>68</v>
      </c>
    </row>
    <row r="617" spans="1:48" ht="25.5" hidden="1" x14ac:dyDescent="0.2">
      <c r="A617" s="86">
        <f t="shared" si="64"/>
        <v>20594</v>
      </c>
      <c r="B617" s="3" t="s">
        <v>4174</v>
      </c>
      <c r="C617" s="3" t="s">
        <v>685</v>
      </c>
      <c r="D617" s="86"/>
      <c r="E617" s="36" t="s">
        <v>94</v>
      </c>
      <c r="F617" s="48">
        <v>30182</v>
      </c>
      <c r="G617" s="36" t="s">
        <v>52</v>
      </c>
      <c r="H617" s="81" t="s">
        <v>397</v>
      </c>
      <c r="I617" s="36" t="s">
        <v>4175</v>
      </c>
      <c r="J617" s="48">
        <v>41223</v>
      </c>
      <c r="K617" s="36" t="s">
        <v>52</v>
      </c>
      <c r="L617" s="36" t="s">
        <v>123</v>
      </c>
      <c r="M617" s="36" t="s">
        <v>448</v>
      </c>
      <c r="N617" s="36" t="s">
        <v>4176</v>
      </c>
      <c r="O617" s="101"/>
      <c r="P617" s="159" t="s">
        <v>4177</v>
      </c>
      <c r="Q617" s="36"/>
      <c r="R617" s="36" t="s">
        <v>4178</v>
      </c>
      <c r="S617" s="156" t="str">
        <f>HYPERLINK("mailto:thuytrang3300@yahoo.com","thuytrang3300@yahoo.com")</f>
        <v>thuytrang3300@yahoo.com</v>
      </c>
      <c r="T617" s="81" t="s">
        <v>4179</v>
      </c>
      <c r="U617" s="81" t="s">
        <v>4179</v>
      </c>
      <c r="V617" s="36"/>
      <c r="W617" s="36"/>
      <c r="X617" s="36"/>
      <c r="Y617" s="36" t="s">
        <v>616</v>
      </c>
      <c r="Z617" s="81"/>
      <c r="AA617" s="54"/>
      <c r="AB617" s="81">
        <v>1</v>
      </c>
      <c r="AC617" s="81" t="s">
        <v>236</v>
      </c>
      <c r="AD617" s="36" t="s">
        <v>207</v>
      </c>
      <c r="AE617" s="81" t="s">
        <v>585</v>
      </c>
      <c r="AF617" s="81" t="s">
        <v>65</v>
      </c>
      <c r="AG617" s="48">
        <v>41456</v>
      </c>
      <c r="AH617" s="134">
        <f t="shared" si="66"/>
        <v>7</v>
      </c>
      <c r="AI617" s="134"/>
      <c r="AJ617" s="48">
        <v>41533</v>
      </c>
      <c r="AK617" s="134">
        <f t="shared" si="62"/>
        <v>9</v>
      </c>
      <c r="AL617" s="81" t="s">
        <v>82</v>
      </c>
      <c r="AM617" s="81"/>
      <c r="AN617" s="81"/>
      <c r="AO617" s="48">
        <v>41628</v>
      </c>
      <c r="AP617" s="134">
        <f t="shared" si="65"/>
        <v>12</v>
      </c>
      <c r="AQ617" s="36"/>
      <c r="AR617" s="116"/>
      <c r="AS617" s="81" t="s">
        <v>347</v>
      </c>
      <c r="AT617" s="134"/>
      <c r="AU617" s="172">
        <f t="shared" si="60"/>
        <v>8</v>
      </c>
      <c r="AV617" s="172" t="s">
        <v>68</v>
      </c>
    </row>
    <row r="618" spans="1:48" ht="38.25" hidden="1" x14ac:dyDescent="0.2">
      <c r="A618" s="86">
        <f t="shared" si="64"/>
        <v>20595</v>
      </c>
      <c r="B618" s="3" t="s">
        <v>735</v>
      </c>
      <c r="C618" s="3" t="s">
        <v>109</v>
      </c>
      <c r="D618" s="86"/>
      <c r="E618" s="36" t="s">
        <v>94</v>
      </c>
      <c r="F618" s="48">
        <v>32845</v>
      </c>
      <c r="G618" s="36" t="s">
        <v>365</v>
      </c>
      <c r="H618" s="81"/>
      <c r="I618" s="36" t="s">
        <v>4180</v>
      </c>
      <c r="J618" s="48">
        <v>38517</v>
      </c>
      <c r="K618" s="36" t="s">
        <v>365</v>
      </c>
      <c r="L618" s="36" t="s">
        <v>123</v>
      </c>
      <c r="M618" s="36" t="s">
        <v>1919</v>
      </c>
      <c r="N618" s="36" t="s">
        <v>4181</v>
      </c>
      <c r="O618" s="101"/>
      <c r="P618" s="159" t="s">
        <v>4182</v>
      </c>
      <c r="Q618" s="36"/>
      <c r="R618" s="36" t="s">
        <v>4183</v>
      </c>
      <c r="S618" s="156" t="str">
        <f>HYPERLINK("mailto:hangpham31190@gmail.com","hangpham31190@gmail.com")</f>
        <v>hangpham31190@gmail.com</v>
      </c>
      <c r="T618" s="81" t="s">
        <v>4184</v>
      </c>
      <c r="U618" s="81" t="s">
        <v>4185</v>
      </c>
      <c r="V618" s="36" t="s">
        <v>4186</v>
      </c>
      <c r="W618" s="36" t="s">
        <v>283</v>
      </c>
      <c r="X618" s="36" t="s">
        <v>4187</v>
      </c>
      <c r="Y618" s="36" t="s">
        <v>616</v>
      </c>
      <c r="Z618" s="81"/>
      <c r="AA618" s="54"/>
      <c r="AB618" s="81">
        <v>1</v>
      </c>
      <c r="AC618" s="81" t="s">
        <v>236</v>
      </c>
      <c r="AD618" s="36" t="s">
        <v>207</v>
      </c>
      <c r="AE618" s="81" t="s">
        <v>585</v>
      </c>
      <c r="AF618" s="81" t="s">
        <v>65</v>
      </c>
      <c r="AG618" s="48">
        <v>41456</v>
      </c>
      <c r="AH618" s="134">
        <f t="shared" si="66"/>
        <v>7</v>
      </c>
      <c r="AI618" s="134"/>
      <c r="AJ618" s="48">
        <v>41533</v>
      </c>
      <c r="AK618" s="134">
        <f t="shared" si="62"/>
        <v>9</v>
      </c>
      <c r="AL618" s="81" t="s">
        <v>82</v>
      </c>
      <c r="AM618" s="81"/>
      <c r="AN618" s="81"/>
      <c r="AO618" s="48">
        <v>41614</v>
      </c>
      <c r="AP618" s="134">
        <f t="shared" si="65"/>
        <v>12</v>
      </c>
      <c r="AQ618" s="36"/>
      <c r="AR618" s="116"/>
      <c r="AS618" s="81" t="s">
        <v>347</v>
      </c>
      <c r="AT618" s="134"/>
      <c r="AU618" s="172">
        <f t="shared" si="60"/>
        <v>12</v>
      </c>
      <c r="AV618" s="172" t="s">
        <v>68</v>
      </c>
    </row>
    <row r="619" spans="1:48" ht="12.75" hidden="1" x14ac:dyDescent="0.2">
      <c r="A619" s="86">
        <f t="shared" si="64"/>
        <v>20596</v>
      </c>
      <c r="B619" s="3" t="s">
        <v>4188</v>
      </c>
      <c r="C619" s="3" t="s">
        <v>1428</v>
      </c>
      <c r="D619" s="86"/>
      <c r="E619" s="36" t="s">
        <v>4189</v>
      </c>
      <c r="F619" s="48"/>
      <c r="G619" s="36"/>
      <c r="H619" s="81"/>
      <c r="I619" s="36"/>
      <c r="J619" s="48"/>
      <c r="K619" s="36"/>
      <c r="L619" s="36"/>
      <c r="M619" s="36"/>
      <c r="N619" s="36"/>
      <c r="O619" s="101"/>
      <c r="P619" s="159"/>
      <c r="Q619" s="36"/>
      <c r="R619" s="36"/>
      <c r="S619" s="36"/>
      <c r="T619" s="81"/>
      <c r="U619" s="81"/>
      <c r="V619" s="36"/>
      <c r="W619" s="36"/>
      <c r="X619" s="36"/>
      <c r="Y619" s="36"/>
      <c r="Z619" s="81"/>
      <c r="AA619" s="54"/>
      <c r="AB619" s="81"/>
      <c r="AC619" s="81" t="s">
        <v>236</v>
      </c>
      <c r="AD619" s="36"/>
      <c r="AE619" s="81"/>
      <c r="AF619" s="81"/>
      <c r="AG619" s="48"/>
      <c r="AH619" s="134" t="str">
        <f t="shared" si="66"/>
        <v/>
      </c>
      <c r="AI619" s="134"/>
      <c r="AJ619" s="48"/>
      <c r="AK619" s="134" t="str">
        <f t="shared" si="62"/>
        <v/>
      </c>
      <c r="AL619" s="54" t="s">
        <v>82</v>
      </c>
      <c r="AM619" s="54"/>
      <c r="AN619" s="54"/>
      <c r="AO619" s="190"/>
      <c r="AP619" s="136" t="str">
        <f t="shared" si="65"/>
        <v/>
      </c>
      <c r="AQ619" s="123"/>
      <c r="AR619" s="23"/>
      <c r="AS619" s="54"/>
      <c r="AT619" s="136"/>
      <c r="AU619" s="70" t="str">
        <f t="shared" si="60"/>
        <v/>
      </c>
      <c r="AV619" s="70" t="s">
        <v>68</v>
      </c>
    </row>
    <row r="620" spans="1:48" ht="38.25" hidden="1" x14ac:dyDescent="0.2">
      <c r="A620" s="86">
        <f t="shared" si="64"/>
        <v>20597</v>
      </c>
      <c r="B620" s="3" t="s">
        <v>1862</v>
      </c>
      <c r="C620" s="3" t="s">
        <v>209</v>
      </c>
      <c r="D620" s="86"/>
      <c r="E620" s="36" t="s">
        <v>94</v>
      </c>
      <c r="F620" s="48">
        <v>33017</v>
      </c>
      <c r="G620" s="36" t="s">
        <v>997</v>
      </c>
      <c r="H620" s="81" t="s">
        <v>998</v>
      </c>
      <c r="I620" s="36" t="s">
        <v>4190</v>
      </c>
      <c r="J620" s="48">
        <v>41279</v>
      </c>
      <c r="K620" s="36" t="s">
        <v>997</v>
      </c>
      <c r="L620" s="36" t="s">
        <v>123</v>
      </c>
      <c r="M620" s="36" t="s">
        <v>96</v>
      </c>
      <c r="N620" s="36" t="s">
        <v>1582</v>
      </c>
      <c r="O620" s="101">
        <v>2012</v>
      </c>
      <c r="P620" s="159" t="s">
        <v>4191</v>
      </c>
      <c r="Q620" s="36"/>
      <c r="R620" s="36" t="s">
        <v>4192</v>
      </c>
      <c r="S620" s="156" t="str">
        <f>HYPERLINK("mailto:duongneu90@gmail.com","duongneu90@gmail.com")</f>
        <v>duongneu90@gmail.com</v>
      </c>
      <c r="T620" s="81" t="s">
        <v>4193</v>
      </c>
      <c r="U620" s="81" t="s">
        <v>4194</v>
      </c>
      <c r="V620" s="36" t="s">
        <v>4195</v>
      </c>
      <c r="W620" s="36" t="s">
        <v>4196</v>
      </c>
      <c r="X620" s="36" t="s">
        <v>4197</v>
      </c>
      <c r="Y620" s="36" t="s">
        <v>616</v>
      </c>
      <c r="Z620" s="81"/>
      <c r="AA620" s="54"/>
      <c r="AB620" s="81">
        <v>1</v>
      </c>
      <c r="AC620" s="81" t="s">
        <v>236</v>
      </c>
      <c r="AD620" s="36" t="s">
        <v>1166</v>
      </c>
      <c r="AE620" s="81" t="s">
        <v>1167</v>
      </c>
      <c r="AF620" s="81" t="s">
        <v>65</v>
      </c>
      <c r="AG620" s="48">
        <v>41456</v>
      </c>
      <c r="AH620" s="134">
        <f t="shared" si="66"/>
        <v>7</v>
      </c>
      <c r="AI620" s="134"/>
      <c r="AJ620" s="48"/>
      <c r="AK620" s="134" t="str">
        <f t="shared" si="62"/>
        <v/>
      </c>
      <c r="AL620" s="54" t="s">
        <v>82</v>
      </c>
      <c r="AM620" s="54"/>
      <c r="AN620" s="54"/>
      <c r="AO620" s="190">
        <v>41506</v>
      </c>
      <c r="AP620" s="65">
        <f t="shared" si="65"/>
        <v>8</v>
      </c>
      <c r="AQ620" s="123"/>
      <c r="AR620" s="23"/>
      <c r="AS620" s="54" t="s">
        <v>67</v>
      </c>
      <c r="AT620" s="136"/>
      <c r="AU620" s="70">
        <f t="shared" si="60"/>
        <v>5</v>
      </c>
      <c r="AV620" s="70" t="s">
        <v>68</v>
      </c>
    </row>
    <row r="621" spans="1:48" ht="12.75" hidden="1" x14ac:dyDescent="0.2">
      <c r="A621" s="87">
        <f t="shared" si="64"/>
        <v>20598</v>
      </c>
      <c r="B621" s="80" t="s">
        <v>4198</v>
      </c>
      <c r="C621" s="80" t="s">
        <v>4199</v>
      </c>
      <c r="D621" s="87"/>
      <c r="E621" s="123" t="s">
        <v>51</v>
      </c>
      <c r="F621" s="140">
        <v>32812</v>
      </c>
      <c r="G621" s="123" t="s">
        <v>365</v>
      </c>
      <c r="H621" s="54" t="s">
        <v>365</v>
      </c>
      <c r="I621" s="123" t="s">
        <v>4200</v>
      </c>
      <c r="J621" s="140">
        <v>38116</v>
      </c>
      <c r="K621" s="123" t="s">
        <v>365</v>
      </c>
      <c r="L621" s="123" t="s">
        <v>123</v>
      </c>
      <c r="M621" s="123" t="s">
        <v>448</v>
      </c>
      <c r="N621" s="123" t="s">
        <v>458</v>
      </c>
      <c r="O621" s="106">
        <v>2011</v>
      </c>
      <c r="P621" s="153" t="str">
        <f>HYPERLINK("mailto:luongpq@topica.edu.vn","luongpq@topica.edu.vn")</f>
        <v>luongpq@topica.edu.vn</v>
      </c>
      <c r="Q621" s="123"/>
      <c r="R621" s="123" t="s">
        <v>4201</v>
      </c>
      <c r="S621" s="123"/>
      <c r="T621" s="54" t="s">
        <v>4202</v>
      </c>
      <c r="U621" s="54"/>
      <c r="V621" s="123"/>
      <c r="W621" s="123"/>
      <c r="X621" s="123"/>
      <c r="Y621" s="123" t="s">
        <v>2281</v>
      </c>
      <c r="Z621" s="54"/>
      <c r="AA621" s="54"/>
      <c r="AB621" s="54">
        <v>1</v>
      </c>
      <c r="AC621" s="54" t="s">
        <v>236</v>
      </c>
      <c r="AD621" s="123" t="s">
        <v>129</v>
      </c>
      <c r="AE621" s="54" t="s">
        <v>1843</v>
      </c>
      <c r="AF621" s="54" t="s">
        <v>65</v>
      </c>
      <c r="AG621" s="140">
        <v>41463</v>
      </c>
      <c r="AH621" s="65">
        <f t="shared" si="66"/>
        <v>7</v>
      </c>
      <c r="AI621" s="65"/>
      <c r="AJ621" s="140">
        <v>41525</v>
      </c>
      <c r="AK621" s="65">
        <f t="shared" si="62"/>
        <v>9</v>
      </c>
      <c r="AL621" s="54" t="s">
        <v>66</v>
      </c>
      <c r="AM621" s="54"/>
      <c r="AN621" s="54"/>
      <c r="AO621" s="190"/>
      <c r="AP621" s="65" t="str">
        <f t="shared" si="65"/>
        <v/>
      </c>
      <c r="AQ621" s="123"/>
      <c r="AR621" s="23"/>
      <c r="AS621" s="54" t="s">
        <v>107</v>
      </c>
      <c r="AT621" s="136"/>
      <c r="AU621" s="70">
        <f t="shared" si="60"/>
        <v>10</v>
      </c>
      <c r="AV621" s="70" t="s">
        <v>68</v>
      </c>
    </row>
    <row r="622" spans="1:48" ht="25.5" hidden="1" x14ac:dyDescent="0.2">
      <c r="A622" s="86">
        <f t="shared" si="64"/>
        <v>20599</v>
      </c>
      <c r="B622" s="3" t="s">
        <v>1208</v>
      </c>
      <c r="C622" s="3" t="s">
        <v>643</v>
      </c>
      <c r="D622" s="86"/>
      <c r="E622" s="36" t="s">
        <v>94</v>
      </c>
      <c r="F622" s="48">
        <v>32910</v>
      </c>
      <c r="G622" s="36" t="s">
        <v>815</v>
      </c>
      <c r="H622" s="81" t="s">
        <v>815</v>
      </c>
      <c r="I622" s="36" t="s">
        <v>4203</v>
      </c>
      <c r="J622" s="48">
        <v>38966</v>
      </c>
      <c r="K622" s="36" t="s">
        <v>815</v>
      </c>
      <c r="L622" s="36" t="s">
        <v>123</v>
      </c>
      <c r="M622" s="36" t="s">
        <v>2360</v>
      </c>
      <c r="N622" s="36" t="s">
        <v>4204</v>
      </c>
      <c r="O622" s="101">
        <v>2012</v>
      </c>
      <c r="P622" s="159" t="s">
        <v>4205</v>
      </c>
      <c r="Q622" s="36"/>
      <c r="R622" s="36"/>
      <c r="S622" s="36"/>
      <c r="T622" s="81" t="s">
        <v>4206</v>
      </c>
      <c r="U622" s="81"/>
      <c r="V622" s="36" t="s">
        <v>4207</v>
      </c>
      <c r="W622" s="36" t="s">
        <v>283</v>
      </c>
      <c r="X622" s="36"/>
      <c r="Y622" s="36" t="s">
        <v>616</v>
      </c>
      <c r="Z622" s="81"/>
      <c r="AA622" s="54"/>
      <c r="AB622" s="81">
        <v>1</v>
      </c>
      <c r="AC622" s="81" t="s">
        <v>236</v>
      </c>
      <c r="AD622" s="36" t="s">
        <v>866</v>
      </c>
      <c r="AE622" s="81" t="s">
        <v>867</v>
      </c>
      <c r="AF622" s="81" t="s">
        <v>231</v>
      </c>
      <c r="AG622" s="48">
        <v>41435</v>
      </c>
      <c r="AH622" s="134">
        <f t="shared" si="66"/>
        <v>6</v>
      </c>
      <c r="AI622" s="134"/>
      <c r="AJ622" s="48"/>
      <c r="AK622" s="134" t="str">
        <f t="shared" si="62"/>
        <v/>
      </c>
      <c r="AL622" s="54" t="s">
        <v>82</v>
      </c>
      <c r="AM622" s="54"/>
      <c r="AN622" s="54"/>
      <c r="AO622" s="190">
        <v>41514</v>
      </c>
      <c r="AP622" s="65">
        <f t="shared" si="65"/>
        <v>8</v>
      </c>
      <c r="AQ622" s="123"/>
      <c r="AR622" s="23"/>
      <c r="AS622" s="54" t="s">
        <v>347</v>
      </c>
      <c r="AT622" s="136"/>
      <c r="AU622" s="70">
        <f t="shared" si="60"/>
        <v>2</v>
      </c>
      <c r="AV622" s="70" t="s">
        <v>68</v>
      </c>
    </row>
    <row r="623" spans="1:48" ht="38.25" hidden="1" x14ac:dyDescent="0.2">
      <c r="A623" s="87">
        <f t="shared" si="64"/>
        <v>20600</v>
      </c>
      <c r="B623" s="80" t="s">
        <v>3777</v>
      </c>
      <c r="C623" s="80" t="s">
        <v>266</v>
      </c>
      <c r="D623" s="87"/>
      <c r="E623" s="123" t="s">
        <v>94</v>
      </c>
      <c r="F623" s="140">
        <v>33199</v>
      </c>
      <c r="G623" s="123" t="s">
        <v>1139</v>
      </c>
      <c r="H623" s="54" t="s">
        <v>726</v>
      </c>
      <c r="I623" s="123" t="s">
        <v>4208</v>
      </c>
      <c r="J623" s="140">
        <v>38252</v>
      </c>
      <c r="K623" s="123" t="s">
        <v>4209</v>
      </c>
      <c r="L623" s="123" t="s">
        <v>123</v>
      </c>
      <c r="M623" s="123" t="s">
        <v>4210</v>
      </c>
      <c r="N623" s="123" t="s">
        <v>2524</v>
      </c>
      <c r="O623" s="106">
        <v>2012</v>
      </c>
      <c r="P623" s="153" t="s">
        <v>4211</v>
      </c>
      <c r="Q623" s="123"/>
      <c r="R623" s="123" t="s">
        <v>4212</v>
      </c>
      <c r="S623" s="173" t="str">
        <f>HYPERLINK("mailto:buithanhhuyen2211@gmail.com","buithanhhuyen2211@gmail.com")</f>
        <v>buithanhhuyen2211@gmail.com</v>
      </c>
      <c r="T623" s="54" t="s">
        <v>4213</v>
      </c>
      <c r="U623" s="54" t="s">
        <v>4214</v>
      </c>
      <c r="V623" s="123" t="s">
        <v>4215</v>
      </c>
      <c r="W623" s="123" t="s">
        <v>3646</v>
      </c>
      <c r="X623" s="123" t="s">
        <v>4216</v>
      </c>
      <c r="Y623" s="123" t="s">
        <v>865</v>
      </c>
      <c r="Z623" s="54"/>
      <c r="AA623" s="54"/>
      <c r="AB623" s="54">
        <v>1</v>
      </c>
      <c r="AC623" s="54" t="s">
        <v>236</v>
      </c>
      <c r="AD623" s="123" t="s">
        <v>866</v>
      </c>
      <c r="AE623" s="54" t="s">
        <v>867</v>
      </c>
      <c r="AF623" s="54" t="s">
        <v>231</v>
      </c>
      <c r="AG623" s="140">
        <v>41435</v>
      </c>
      <c r="AH623" s="65">
        <f t="shared" si="66"/>
        <v>6</v>
      </c>
      <c r="AI623" s="65"/>
      <c r="AJ623" s="140">
        <v>41503</v>
      </c>
      <c r="AK623" s="65">
        <f t="shared" si="62"/>
        <v>8</v>
      </c>
      <c r="AL623" s="54" t="s">
        <v>66</v>
      </c>
      <c r="AM623" s="54"/>
      <c r="AN623" s="54"/>
      <c r="AO623" s="190"/>
      <c r="AP623" s="65" t="str">
        <f t="shared" si="65"/>
        <v/>
      </c>
      <c r="AQ623" s="123"/>
      <c r="AR623" s="23"/>
      <c r="AS623" s="54" t="s">
        <v>347</v>
      </c>
      <c r="AT623" s="136"/>
      <c r="AU623" s="70">
        <f t="shared" si="60"/>
        <v>11</v>
      </c>
      <c r="AV623" s="70" t="s">
        <v>68</v>
      </c>
    </row>
    <row r="624" spans="1:48" ht="38.25" hidden="1" x14ac:dyDescent="0.2">
      <c r="A624" s="86">
        <f t="shared" si="64"/>
        <v>20601</v>
      </c>
      <c r="B624" s="3" t="s">
        <v>4217</v>
      </c>
      <c r="C624" s="3" t="s">
        <v>1966</v>
      </c>
      <c r="D624" s="86"/>
      <c r="E624" s="36" t="s">
        <v>94</v>
      </c>
      <c r="F624" s="48">
        <v>33198</v>
      </c>
      <c r="G624" s="36" t="s">
        <v>1103</v>
      </c>
      <c r="H624" s="81" t="s">
        <v>1103</v>
      </c>
      <c r="I624" s="36" t="s">
        <v>4218</v>
      </c>
      <c r="J624" s="48">
        <v>38554</v>
      </c>
      <c r="K624" s="36" t="s">
        <v>1103</v>
      </c>
      <c r="L624" s="36" t="s">
        <v>123</v>
      </c>
      <c r="M624" s="36" t="s">
        <v>3680</v>
      </c>
      <c r="N624" s="36" t="s">
        <v>307</v>
      </c>
      <c r="O624" s="101">
        <v>2012</v>
      </c>
      <c r="P624" s="159" t="s">
        <v>4219</v>
      </c>
      <c r="Q624" s="36"/>
      <c r="R624" s="36" t="s">
        <v>4220</v>
      </c>
      <c r="S624" s="36"/>
      <c r="T624" s="81" t="s">
        <v>4221</v>
      </c>
      <c r="U624" s="81" t="s">
        <v>4222</v>
      </c>
      <c r="V624" s="36" t="s">
        <v>4223</v>
      </c>
      <c r="W624" s="36" t="s">
        <v>3646</v>
      </c>
      <c r="X624" s="36" t="s">
        <v>4224</v>
      </c>
      <c r="Y624" s="36" t="s">
        <v>616</v>
      </c>
      <c r="Z624" s="81"/>
      <c r="AA624" s="54"/>
      <c r="AB624" s="81">
        <v>1</v>
      </c>
      <c r="AC624" s="81" t="s">
        <v>236</v>
      </c>
      <c r="AD624" s="36" t="s">
        <v>866</v>
      </c>
      <c r="AE624" s="81" t="s">
        <v>867</v>
      </c>
      <c r="AF624" s="81" t="s">
        <v>231</v>
      </c>
      <c r="AG624" s="48">
        <v>41435</v>
      </c>
      <c r="AH624" s="134">
        <f t="shared" si="66"/>
        <v>6</v>
      </c>
      <c r="AI624" s="134"/>
      <c r="AJ624" s="48">
        <v>41503</v>
      </c>
      <c r="AK624" s="134">
        <f t="shared" si="62"/>
        <v>8</v>
      </c>
      <c r="AL624" s="54" t="s">
        <v>82</v>
      </c>
      <c r="AM624" s="54"/>
      <c r="AN624" s="54"/>
      <c r="AO624" s="190">
        <v>41583</v>
      </c>
      <c r="AP624" s="65">
        <f t="shared" si="65"/>
        <v>11</v>
      </c>
      <c r="AQ624" s="123"/>
      <c r="AR624" s="23"/>
      <c r="AS624" s="54" t="s">
        <v>347</v>
      </c>
      <c r="AT624" s="136"/>
      <c r="AU624" s="70">
        <f t="shared" si="60"/>
        <v>11</v>
      </c>
      <c r="AV624" s="70" t="s">
        <v>68</v>
      </c>
    </row>
    <row r="625" spans="1:48" ht="25.5" hidden="1" x14ac:dyDescent="0.2">
      <c r="A625" s="87">
        <f t="shared" si="64"/>
        <v>20602</v>
      </c>
      <c r="B625" s="80" t="s">
        <v>4225</v>
      </c>
      <c r="C625" s="80" t="s">
        <v>4226</v>
      </c>
      <c r="D625" s="87"/>
      <c r="E625" s="123" t="s">
        <v>94</v>
      </c>
      <c r="F625" s="140">
        <v>32825</v>
      </c>
      <c r="G625" s="123" t="s">
        <v>921</v>
      </c>
      <c r="H625" s="54" t="s">
        <v>922</v>
      </c>
      <c r="I625" s="123" t="s">
        <v>4227</v>
      </c>
      <c r="J625" s="140">
        <v>38657</v>
      </c>
      <c r="K625" s="123" t="s">
        <v>921</v>
      </c>
      <c r="L625" s="123" t="s">
        <v>123</v>
      </c>
      <c r="M625" s="123" t="s">
        <v>2246</v>
      </c>
      <c r="N625" s="123" t="s">
        <v>2524</v>
      </c>
      <c r="O625" s="106">
        <v>2011</v>
      </c>
      <c r="P625" s="153" t="s">
        <v>4228</v>
      </c>
      <c r="Q625" s="123"/>
      <c r="R625" s="123" t="s">
        <v>4229</v>
      </c>
      <c r="S625" s="173" t="str">
        <f>HYPERLINK("mailto:kimluyen05@yahoo.com","kimluyen05@yahoo.com")</f>
        <v>kimluyen05@yahoo.com</v>
      </c>
      <c r="T625" s="54" t="s">
        <v>4230</v>
      </c>
      <c r="U625" s="54" t="s">
        <v>4231</v>
      </c>
      <c r="V625" s="123" t="s">
        <v>4232</v>
      </c>
      <c r="W625" s="123" t="s">
        <v>160</v>
      </c>
      <c r="X625" s="123" t="s">
        <v>4233</v>
      </c>
      <c r="Y625" s="123" t="s">
        <v>865</v>
      </c>
      <c r="Z625" s="54"/>
      <c r="AA625" s="54"/>
      <c r="AB625" s="54">
        <v>1</v>
      </c>
      <c r="AC625" s="54" t="s">
        <v>236</v>
      </c>
      <c r="AD625" s="123" t="s">
        <v>866</v>
      </c>
      <c r="AE625" s="54" t="s">
        <v>867</v>
      </c>
      <c r="AF625" s="54" t="s">
        <v>231</v>
      </c>
      <c r="AG625" s="140">
        <v>41435</v>
      </c>
      <c r="AH625" s="65">
        <f t="shared" si="66"/>
        <v>6</v>
      </c>
      <c r="AI625" s="65"/>
      <c r="AJ625" s="140">
        <v>41503</v>
      </c>
      <c r="AK625" s="65">
        <f t="shared" si="62"/>
        <v>8</v>
      </c>
      <c r="AL625" s="54" t="s">
        <v>66</v>
      </c>
      <c r="AM625" s="54"/>
      <c r="AN625" s="54"/>
      <c r="AO625" s="190"/>
      <c r="AP625" s="65" t="str">
        <f t="shared" si="65"/>
        <v/>
      </c>
      <c r="AQ625" s="123"/>
      <c r="AR625" s="23"/>
      <c r="AS625" s="54" t="s">
        <v>347</v>
      </c>
      <c r="AT625" s="136"/>
      <c r="AU625" s="70">
        <f t="shared" si="60"/>
        <v>11</v>
      </c>
      <c r="AV625" s="70" t="s">
        <v>68</v>
      </c>
    </row>
    <row r="626" spans="1:48" ht="25.5" hidden="1" x14ac:dyDescent="0.2">
      <c r="A626" s="87">
        <f t="shared" si="64"/>
        <v>20603</v>
      </c>
      <c r="B626" s="80" t="s">
        <v>4234</v>
      </c>
      <c r="C626" s="80" t="s">
        <v>4235</v>
      </c>
      <c r="D626" s="87"/>
      <c r="E626" s="123" t="s">
        <v>94</v>
      </c>
      <c r="F626" s="140">
        <v>32897</v>
      </c>
      <c r="G626" s="123" t="s">
        <v>2777</v>
      </c>
      <c r="H626" s="123" t="s">
        <v>2777</v>
      </c>
      <c r="I626" s="123" t="s">
        <v>4236</v>
      </c>
      <c r="J626" s="140">
        <v>39229</v>
      </c>
      <c r="K626" s="123" t="s">
        <v>4237</v>
      </c>
      <c r="L626" s="123" t="s">
        <v>341</v>
      </c>
      <c r="M626" s="123" t="s">
        <v>4238</v>
      </c>
      <c r="N626" s="123" t="s">
        <v>2524</v>
      </c>
      <c r="O626" s="106">
        <v>2011</v>
      </c>
      <c r="P626" s="153" t="s">
        <v>4239</v>
      </c>
      <c r="Q626" s="123"/>
      <c r="R626" s="123" t="s">
        <v>4240</v>
      </c>
      <c r="S626" s="123"/>
      <c r="T626" s="54" t="s">
        <v>4241</v>
      </c>
      <c r="U626" s="54" t="s">
        <v>4242</v>
      </c>
      <c r="V626" s="123" t="s">
        <v>4243</v>
      </c>
      <c r="W626" s="123" t="s">
        <v>3646</v>
      </c>
      <c r="X626" s="123" t="s">
        <v>4244</v>
      </c>
      <c r="Y626" s="123" t="s">
        <v>865</v>
      </c>
      <c r="Z626" s="54"/>
      <c r="AA626" s="54"/>
      <c r="AB626" s="54">
        <v>1</v>
      </c>
      <c r="AC626" s="54" t="s">
        <v>236</v>
      </c>
      <c r="AD626" s="123" t="s">
        <v>866</v>
      </c>
      <c r="AE626" s="54" t="s">
        <v>867</v>
      </c>
      <c r="AF626" s="54" t="s">
        <v>231</v>
      </c>
      <c r="AG626" s="140">
        <v>41435</v>
      </c>
      <c r="AH626" s="65">
        <f t="shared" si="66"/>
        <v>6</v>
      </c>
      <c r="AI626" s="65"/>
      <c r="AJ626" s="140">
        <v>41503</v>
      </c>
      <c r="AK626" s="65">
        <f t="shared" si="62"/>
        <v>8</v>
      </c>
      <c r="AL626" s="54" t="s">
        <v>66</v>
      </c>
      <c r="AM626" s="54"/>
      <c r="AN626" s="54"/>
      <c r="AO626" s="190"/>
      <c r="AP626" s="65" t="str">
        <f t="shared" si="65"/>
        <v/>
      </c>
      <c r="AQ626" s="123"/>
      <c r="AR626" s="23"/>
      <c r="AS626" s="54" t="s">
        <v>347</v>
      </c>
      <c r="AT626" s="136"/>
      <c r="AU626" s="70">
        <f t="shared" ref="AU626:AU684" si="67">IF((F626=""),"",MONTH(F626))</f>
        <v>1</v>
      </c>
      <c r="AV626" s="70" t="s">
        <v>68</v>
      </c>
    </row>
    <row r="627" spans="1:48" ht="25.5" x14ac:dyDescent="0.2">
      <c r="A627" s="87">
        <f t="shared" si="64"/>
        <v>20604</v>
      </c>
      <c r="B627" s="80" t="s">
        <v>4245</v>
      </c>
      <c r="C627" s="80" t="s">
        <v>232</v>
      </c>
      <c r="D627" s="87"/>
      <c r="E627" s="123" t="s">
        <v>94</v>
      </c>
      <c r="F627" s="140">
        <v>32926</v>
      </c>
      <c r="G627" s="123" t="s">
        <v>2706</v>
      </c>
      <c r="H627" s="54" t="s">
        <v>1186</v>
      </c>
      <c r="I627" s="123" t="s">
        <v>4246</v>
      </c>
      <c r="J627" s="140">
        <v>38882</v>
      </c>
      <c r="K627" s="123" t="s">
        <v>4247</v>
      </c>
      <c r="L627" s="123" t="s">
        <v>341</v>
      </c>
      <c r="M627" s="123" t="s">
        <v>4248</v>
      </c>
      <c r="N627" s="123" t="s">
        <v>4249</v>
      </c>
      <c r="O627" s="106">
        <v>2011</v>
      </c>
      <c r="P627" s="153" t="s">
        <v>4250</v>
      </c>
      <c r="Q627" s="123"/>
      <c r="R627" s="123" t="s">
        <v>4251</v>
      </c>
      <c r="S627" s="173" t="str">
        <f>HYPERLINK("mailto:landhd.topica@gmail.com","landhd.topica@gmail.com")</f>
        <v>landhd.topica@gmail.com</v>
      </c>
      <c r="T627" s="54" t="s">
        <v>4252</v>
      </c>
      <c r="U627" s="54" t="s">
        <v>4253</v>
      </c>
      <c r="V627" s="123" t="s">
        <v>4254</v>
      </c>
      <c r="W627" s="123" t="s">
        <v>283</v>
      </c>
      <c r="X627" s="123" t="s">
        <v>4255</v>
      </c>
      <c r="Y627" s="123" t="s">
        <v>972</v>
      </c>
      <c r="Z627" s="54"/>
      <c r="AA627" s="54"/>
      <c r="AB627" s="54">
        <v>1</v>
      </c>
      <c r="AC627" s="54" t="s">
        <v>236</v>
      </c>
      <c r="AD627" s="123" t="s">
        <v>1183</v>
      </c>
      <c r="AE627" s="54" t="s">
        <v>1184</v>
      </c>
      <c r="AF627" s="54" t="s">
        <v>231</v>
      </c>
      <c r="AG627" s="140">
        <v>41445</v>
      </c>
      <c r="AH627" s="65">
        <f t="shared" si="66"/>
        <v>6</v>
      </c>
      <c r="AI627" s="65"/>
      <c r="AJ627" s="140">
        <v>41475</v>
      </c>
      <c r="AK627" s="65">
        <f t="shared" si="62"/>
        <v>7</v>
      </c>
      <c r="AL627" s="54" t="s">
        <v>66</v>
      </c>
      <c r="AM627" s="54"/>
      <c r="AN627" s="54"/>
      <c r="AO627" s="190"/>
      <c r="AP627" s="65" t="str">
        <f t="shared" si="65"/>
        <v/>
      </c>
      <c r="AQ627" s="123"/>
      <c r="AR627" s="23"/>
      <c r="AS627" s="54" t="s">
        <v>67</v>
      </c>
      <c r="AT627" s="136"/>
      <c r="AU627" s="70">
        <f t="shared" si="67"/>
        <v>2</v>
      </c>
      <c r="AV627" s="70" t="s">
        <v>68</v>
      </c>
    </row>
    <row r="628" spans="1:48" ht="25.5" hidden="1" x14ac:dyDescent="0.2">
      <c r="A628" s="86">
        <f t="shared" si="64"/>
        <v>20605</v>
      </c>
      <c r="B628" s="3" t="s">
        <v>4256</v>
      </c>
      <c r="C628" s="3" t="s">
        <v>1547</v>
      </c>
      <c r="D628" s="86"/>
      <c r="E628" s="36" t="s">
        <v>94</v>
      </c>
      <c r="F628" s="48">
        <v>33359</v>
      </c>
      <c r="G628" s="36" t="s">
        <v>1195</v>
      </c>
      <c r="H628" s="81" t="s">
        <v>161</v>
      </c>
      <c r="I628" s="36" t="s">
        <v>4257</v>
      </c>
      <c r="J628" s="48">
        <v>38862</v>
      </c>
      <c r="K628" s="36" t="s">
        <v>1195</v>
      </c>
      <c r="L628" s="36" t="s">
        <v>123</v>
      </c>
      <c r="M628" s="36" t="s">
        <v>4258</v>
      </c>
      <c r="N628" s="36" t="s">
        <v>4259</v>
      </c>
      <c r="O628" s="101">
        <v>2014</v>
      </c>
      <c r="P628" s="159" t="s">
        <v>4260</v>
      </c>
      <c r="Q628" s="36"/>
      <c r="R628" s="36" t="s">
        <v>4261</v>
      </c>
      <c r="S628" s="156" t="str">
        <f>HYPERLINK("mailto:vynm.topica@gmail.com","vynm.topica@gmail.com")</f>
        <v>vynm.topica@gmail.com</v>
      </c>
      <c r="T628" s="81" t="s">
        <v>4262</v>
      </c>
      <c r="U628" s="81" t="s">
        <v>4262</v>
      </c>
      <c r="V628" s="36" t="s">
        <v>4263</v>
      </c>
      <c r="W628" s="36" t="s">
        <v>745</v>
      </c>
      <c r="X628" s="36" t="s">
        <v>4264</v>
      </c>
      <c r="Y628" s="36" t="s">
        <v>616</v>
      </c>
      <c r="Z628" s="81"/>
      <c r="AA628" s="54"/>
      <c r="AB628" s="81">
        <v>1</v>
      </c>
      <c r="AC628" s="81" t="s">
        <v>236</v>
      </c>
      <c r="AD628" s="36" t="s">
        <v>866</v>
      </c>
      <c r="AE628" s="81" t="s">
        <v>867</v>
      </c>
      <c r="AF628" s="81" t="s">
        <v>231</v>
      </c>
      <c r="AG628" s="48">
        <v>41445</v>
      </c>
      <c r="AH628" s="134">
        <f t="shared" si="66"/>
        <v>6</v>
      </c>
      <c r="AI628" s="134"/>
      <c r="AJ628" s="48">
        <v>41475</v>
      </c>
      <c r="AK628" s="134">
        <f t="shared" si="62"/>
        <v>7</v>
      </c>
      <c r="AL628" s="81" t="s">
        <v>82</v>
      </c>
      <c r="AM628" s="81"/>
      <c r="AN628" s="81"/>
      <c r="AO628" s="48"/>
      <c r="AP628" s="134" t="str">
        <f t="shared" si="65"/>
        <v/>
      </c>
      <c r="AQ628" s="36"/>
      <c r="AR628" s="116"/>
      <c r="AS628" s="81" t="s">
        <v>67</v>
      </c>
      <c r="AT628" s="134"/>
      <c r="AU628" s="172">
        <f t="shared" si="67"/>
        <v>5</v>
      </c>
      <c r="AV628" s="172" t="s">
        <v>68</v>
      </c>
    </row>
    <row r="629" spans="1:48" ht="38.25" hidden="1" x14ac:dyDescent="0.2">
      <c r="A629" s="87">
        <f t="shared" si="64"/>
        <v>20606</v>
      </c>
      <c r="B629" s="80" t="s">
        <v>2852</v>
      </c>
      <c r="C629" s="80" t="s">
        <v>2853</v>
      </c>
      <c r="D629" s="87"/>
      <c r="E629" s="123" t="s">
        <v>51</v>
      </c>
      <c r="F629" s="140">
        <v>32747</v>
      </c>
      <c r="G629" s="123" t="s">
        <v>52</v>
      </c>
      <c r="H629" s="54" t="s">
        <v>52</v>
      </c>
      <c r="I629" s="123" t="s">
        <v>2854</v>
      </c>
      <c r="J629" s="140">
        <v>40689</v>
      </c>
      <c r="K629" s="123" t="s">
        <v>52</v>
      </c>
      <c r="L629" s="123" t="s">
        <v>123</v>
      </c>
      <c r="M629" s="123" t="s">
        <v>124</v>
      </c>
      <c r="N629" s="123" t="s">
        <v>2126</v>
      </c>
      <c r="O629" s="106">
        <v>2012</v>
      </c>
      <c r="P629" s="153" t="s">
        <v>2856</v>
      </c>
      <c r="Q629" s="123"/>
      <c r="R629" s="123" t="s">
        <v>2857</v>
      </c>
      <c r="S629" s="173" t="str">
        <f>HYPERLINK("mailto:binlinh@gmail.com","binlinh@gmail.com")</f>
        <v>binlinh@gmail.com</v>
      </c>
      <c r="T629" s="54" t="s">
        <v>4265</v>
      </c>
      <c r="U629" s="54" t="s">
        <v>4266</v>
      </c>
      <c r="V629" s="123" t="s">
        <v>4267</v>
      </c>
      <c r="W629" s="123" t="s">
        <v>745</v>
      </c>
      <c r="X629" s="123" t="s">
        <v>4268</v>
      </c>
      <c r="Y629" s="123" t="s">
        <v>312</v>
      </c>
      <c r="Z629" s="54"/>
      <c r="AA629" s="54"/>
      <c r="AB629" s="54">
        <v>1</v>
      </c>
      <c r="AC629" s="54" t="s">
        <v>236</v>
      </c>
      <c r="AD629" s="123" t="s">
        <v>1067</v>
      </c>
      <c r="AE629" s="54" t="s">
        <v>1118</v>
      </c>
      <c r="AF629" s="54" t="s">
        <v>65</v>
      </c>
      <c r="AG629" s="140"/>
      <c r="AH629" s="65" t="str">
        <f t="shared" si="66"/>
        <v/>
      </c>
      <c r="AI629" s="65"/>
      <c r="AJ629" s="140">
        <v>41456</v>
      </c>
      <c r="AK629" s="65">
        <f t="shared" si="62"/>
        <v>7</v>
      </c>
      <c r="AL629" s="54" t="s">
        <v>66</v>
      </c>
      <c r="AM629" s="54"/>
      <c r="AN629" s="54"/>
      <c r="AO629" s="190"/>
      <c r="AP629" s="65" t="str">
        <f t="shared" si="65"/>
        <v/>
      </c>
      <c r="AQ629" s="123"/>
      <c r="AR629" s="23"/>
      <c r="AS629" s="54" t="s">
        <v>107</v>
      </c>
      <c r="AT629" s="136"/>
      <c r="AU629" s="70">
        <f t="shared" si="67"/>
        <v>8</v>
      </c>
      <c r="AV629" s="70" t="s">
        <v>68</v>
      </c>
    </row>
    <row r="630" spans="1:48" ht="25.5" hidden="1" x14ac:dyDescent="0.2">
      <c r="A630" s="86">
        <f t="shared" si="64"/>
        <v>20607</v>
      </c>
      <c r="B630" s="3" t="s">
        <v>801</v>
      </c>
      <c r="C630" s="3" t="s">
        <v>266</v>
      </c>
      <c r="D630" s="86"/>
      <c r="E630" s="36" t="s">
        <v>94</v>
      </c>
      <c r="F630" s="48">
        <v>32466</v>
      </c>
      <c r="G630" s="36" t="s">
        <v>397</v>
      </c>
      <c r="H630" s="81" t="s">
        <v>397</v>
      </c>
      <c r="I630" s="36" t="s">
        <v>4269</v>
      </c>
      <c r="J630" s="48">
        <v>37897</v>
      </c>
      <c r="K630" s="36" t="s">
        <v>397</v>
      </c>
      <c r="L630" s="36" t="s">
        <v>123</v>
      </c>
      <c r="M630" s="36" t="s">
        <v>1501</v>
      </c>
      <c r="N630" s="36" t="s">
        <v>307</v>
      </c>
      <c r="O630" s="101">
        <v>2011</v>
      </c>
      <c r="P630" s="159" t="s">
        <v>4270</v>
      </c>
      <c r="Q630" s="36"/>
      <c r="R630" s="36" t="s">
        <v>4271</v>
      </c>
      <c r="S630" s="156"/>
      <c r="T630" s="81" t="s">
        <v>4272</v>
      </c>
      <c r="U630" s="81" t="s">
        <v>4273</v>
      </c>
      <c r="V630" s="36" t="s">
        <v>4274</v>
      </c>
      <c r="W630" s="36"/>
      <c r="X630" s="36" t="s">
        <v>4275</v>
      </c>
      <c r="Y630" s="36" t="s">
        <v>616</v>
      </c>
      <c r="Z630" s="81"/>
      <c r="AA630" s="54"/>
      <c r="AB630" s="81">
        <v>1</v>
      </c>
      <c r="AC630" s="81" t="s">
        <v>236</v>
      </c>
      <c r="AD630" s="36" t="s">
        <v>207</v>
      </c>
      <c r="AE630" s="81" t="s">
        <v>585</v>
      </c>
      <c r="AF630" s="81" t="s">
        <v>65</v>
      </c>
      <c r="AG630" s="48">
        <v>41470</v>
      </c>
      <c r="AH630" s="134">
        <f t="shared" si="66"/>
        <v>7</v>
      </c>
      <c r="AI630" s="134"/>
      <c r="AJ630" s="48"/>
      <c r="AK630" s="134" t="str">
        <f t="shared" si="62"/>
        <v/>
      </c>
      <c r="AL630" s="54" t="s">
        <v>82</v>
      </c>
      <c r="AM630" s="54"/>
      <c r="AN630" s="54"/>
      <c r="AO630" s="190">
        <v>41522</v>
      </c>
      <c r="AP630" s="65">
        <f t="shared" si="65"/>
        <v>9</v>
      </c>
      <c r="AQ630" s="123"/>
      <c r="AR630" s="23"/>
      <c r="AS630" s="54" t="s">
        <v>347</v>
      </c>
      <c r="AT630" s="136"/>
      <c r="AU630" s="70">
        <f t="shared" si="67"/>
        <v>11</v>
      </c>
      <c r="AV630" s="70" t="s">
        <v>68</v>
      </c>
    </row>
    <row r="631" spans="1:48" ht="38.25" hidden="1" x14ac:dyDescent="0.2">
      <c r="A631" s="87">
        <f t="shared" si="64"/>
        <v>20608</v>
      </c>
      <c r="B631" s="80" t="s">
        <v>4276</v>
      </c>
      <c r="C631" s="80" t="s">
        <v>160</v>
      </c>
      <c r="D631" s="87"/>
      <c r="E631" s="123" t="s">
        <v>94</v>
      </c>
      <c r="F631" s="140">
        <v>32912</v>
      </c>
      <c r="G631" s="123" t="s">
        <v>4277</v>
      </c>
      <c r="H631" s="54" t="s">
        <v>412</v>
      </c>
      <c r="I631" s="123" t="s">
        <v>4278</v>
      </c>
      <c r="J631" s="140">
        <v>40217</v>
      </c>
      <c r="K631" s="123" t="s">
        <v>4279</v>
      </c>
      <c r="L631" s="123" t="s">
        <v>123</v>
      </c>
      <c r="M631" s="123"/>
      <c r="N631" s="123"/>
      <c r="O631" s="106"/>
      <c r="P631" s="153" t="s">
        <v>4280</v>
      </c>
      <c r="Q631" s="123"/>
      <c r="R631" s="123" t="s">
        <v>4281</v>
      </c>
      <c r="S631" s="173"/>
      <c r="T631" s="54" t="s">
        <v>4282</v>
      </c>
      <c r="U631" s="54" t="s">
        <v>4283</v>
      </c>
      <c r="V631" s="123" t="s">
        <v>4284</v>
      </c>
      <c r="W631" s="123" t="s">
        <v>283</v>
      </c>
      <c r="X631" s="123"/>
      <c r="Y631" s="123" t="s">
        <v>865</v>
      </c>
      <c r="Z631" s="54"/>
      <c r="AA631" s="54"/>
      <c r="AB631" s="54">
        <v>1</v>
      </c>
      <c r="AC631" s="54" t="s">
        <v>236</v>
      </c>
      <c r="AD631" s="123" t="s">
        <v>207</v>
      </c>
      <c r="AE631" s="54" t="s">
        <v>585</v>
      </c>
      <c r="AF631" s="54" t="s">
        <v>65</v>
      </c>
      <c r="AG631" s="140">
        <v>41470</v>
      </c>
      <c r="AH631" s="65">
        <f t="shared" si="66"/>
        <v>7</v>
      </c>
      <c r="AI631" s="65"/>
      <c r="AJ631" s="140">
        <v>41533</v>
      </c>
      <c r="AK631" s="65">
        <f t="shared" si="62"/>
        <v>9</v>
      </c>
      <c r="AL631" s="54" t="s">
        <v>66</v>
      </c>
      <c r="AM631" s="54"/>
      <c r="AN631" s="54"/>
      <c r="AO631" s="190"/>
      <c r="AP631" s="65" t="str">
        <f t="shared" si="65"/>
        <v/>
      </c>
      <c r="AQ631" s="123"/>
      <c r="AR631" s="23"/>
      <c r="AS631" s="54" t="s">
        <v>347</v>
      </c>
      <c r="AT631" s="136"/>
      <c r="AU631" s="70">
        <f t="shared" si="67"/>
        <v>2</v>
      </c>
      <c r="AV631" s="70" t="s">
        <v>68</v>
      </c>
    </row>
    <row r="632" spans="1:48" ht="25.5" hidden="1" x14ac:dyDescent="0.2">
      <c r="A632" s="86">
        <f t="shared" si="64"/>
        <v>20609</v>
      </c>
      <c r="B632" s="3" t="s">
        <v>4285</v>
      </c>
      <c r="C632" s="3" t="s">
        <v>667</v>
      </c>
      <c r="D632" s="86"/>
      <c r="E632" s="36" t="s">
        <v>94</v>
      </c>
      <c r="F632" s="48">
        <v>32028</v>
      </c>
      <c r="G632" s="36" t="s">
        <v>52</v>
      </c>
      <c r="H632" s="81" t="s">
        <v>52</v>
      </c>
      <c r="I632" s="36" t="s">
        <v>4286</v>
      </c>
      <c r="J632" s="48">
        <v>40159</v>
      </c>
      <c r="K632" s="36" t="s">
        <v>52</v>
      </c>
      <c r="L632" s="36" t="s">
        <v>123</v>
      </c>
      <c r="M632" s="36" t="s">
        <v>3855</v>
      </c>
      <c r="N632" s="36" t="s">
        <v>4287</v>
      </c>
      <c r="O632" s="101">
        <v>2010</v>
      </c>
      <c r="P632" s="159" t="s">
        <v>4288</v>
      </c>
      <c r="Q632" s="36" t="s">
        <v>4289</v>
      </c>
      <c r="R632" s="36" t="s">
        <v>4290</v>
      </c>
      <c r="S632" s="156"/>
      <c r="T632" s="81" t="s">
        <v>4291</v>
      </c>
      <c r="U632" s="81" t="s">
        <v>4291</v>
      </c>
      <c r="V632" s="36" t="s">
        <v>4292</v>
      </c>
      <c r="W632" s="36" t="s">
        <v>745</v>
      </c>
      <c r="X632" s="36" t="s">
        <v>4293</v>
      </c>
      <c r="Y632" s="36" t="s">
        <v>616</v>
      </c>
      <c r="Z632" s="81"/>
      <c r="AA632" s="54"/>
      <c r="AB632" s="81">
        <v>1</v>
      </c>
      <c r="AC632" s="81" t="s">
        <v>236</v>
      </c>
      <c r="AD632" s="36" t="s">
        <v>207</v>
      </c>
      <c r="AE632" s="81" t="s">
        <v>585</v>
      </c>
      <c r="AF632" s="81" t="s">
        <v>65</v>
      </c>
      <c r="AG632" s="48">
        <v>41470</v>
      </c>
      <c r="AH632" s="134">
        <f t="shared" si="66"/>
        <v>7</v>
      </c>
      <c r="AI632" s="134"/>
      <c r="AJ632" s="48"/>
      <c r="AK632" s="134" t="str">
        <f t="shared" si="62"/>
        <v/>
      </c>
      <c r="AL632" s="54" t="s">
        <v>82</v>
      </c>
      <c r="AM632" s="54"/>
      <c r="AN632" s="54"/>
      <c r="AO632" s="190">
        <v>41501</v>
      </c>
      <c r="AP632" s="65">
        <f t="shared" si="65"/>
        <v>8</v>
      </c>
      <c r="AQ632" s="123"/>
      <c r="AR632" s="23"/>
      <c r="AS632" s="54" t="s">
        <v>347</v>
      </c>
      <c r="AT632" s="136"/>
      <c r="AU632" s="70">
        <f t="shared" si="67"/>
        <v>9</v>
      </c>
      <c r="AV632" s="70" t="s">
        <v>68</v>
      </c>
    </row>
    <row r="633" spans="1:48" ht="25.5" hidden="1" x14ac:dyDescent="0.2">
      <c r="A633" s="86">
        <f t="shared" si="64"/>
        <v>20610</v>
      </c>
      <c r="B633" s="3" t="s">
        <v>4294</v>
      </c>
      <c r="C633" s="3" t="s">
        <v>685</v>
      </c>
      <c r="D633" s="86"/>
      <c r="E633" s="36" t="s">
        <v>94</v>
      </c>
      <c r="F633" s="48">
        <v>31602</v>
      </c>
      <c r="G633" s="36" t="s">
        <v>52</v>
      </c>
      <c r="H633" s="81" t="s">
        <v>726</v>
      </c>
      <c r="I633" s="36" t="s">
        <v>4295</v>
      </c>
      <c r="J633" s="48">
        <v>36969</v>
      </c>
      <c r="K633" s="36" t="s">
        <v>52</v>
      </c>
      <c r="L633" s="36" t="s">
        <v>123</v>
      </c>
      <c r="M633" s="36" t="s">
        <v>1501</v>
      </c>
      <c r="N633" s="36" t="s">
        <v>368</v>
      </c>
      <c r="O633" s="101">
        <v>2009</v>
      </c>
      <c r="P633" s="159" t="s">
        <v>4296</v>
      </c>
      <c r="Q633" s="36" t="s">
        <v>4297</v>
      </c>
      <c r="R633" s="36" t="s">
        <v>4298</v>
      </c>
      <c r="S633" s="156" t="str">
        <f>HYPERLINK("mailto:trangnh0907@gmail.com","trangnh0907@gmail.com")</f>
        <v>trangnh0907@gmail.com</v>
      </c>
      <c r="T633" s="81" t="s">
        <v>4299</v>
      </c>
      <c r="U633" s="81" t="s">
        <v>4300</v>
      </c>
      <c r="V633" s="36" t="s">
        <v>4301</v>
      </c>
      <c r="W633" s="36" t="s">
        <v>2989</v>
      </c>
      <c r="X633" s="36" t="s">
        <v>4302</v>
      </c>
      <c r="Y633" s="36" t="s">
        <v>616</v>
      </c>
      <c r="Z633" s="81"/>
      <c r="AA633" s="54"/>
      <c r="AB633" s="81">
        <v>1</v>
      </c>
      <c r="AC633" s="81" t="s">
        <v>236</v>
      </c>
      <c r="AD633" s="36" t="s">
        <v>207</v>
      </c>
      <c r="AE633" s="81" t="s">
        <v>585</v>
      </c>
      <c r="AF633" s="81" t="s">
        <v>65</v>
      </c>
      <c r="AG633" s="48">
        <v>41470</v>
      </c>
      <c r="AH633" s="134">
        <f t="shared" si="66"/>
        <v>7</v>
      </c>
      <c r="AI633" s="134"/>
      <c r="AJ633" s="48">
        <v>41533</v>
      </c>
      <c r="AK633" s="134">
        <f t="shared" si="62"/>
        <v>9</v>
      </c>
      <c r="AL633" s="81" t="s">
        <v>82</v>
      </c>
      <c r="AM633" s="81"/>
      <c r="AN633" s="81"/>
      <c r="AO633" s="48">
        <v>41614</v>
      </c>
      <c r="AP633" s="134">
        <f t="shared" si="65"/>
        <v>12</v>
      </c>
      <c r="AQ633" s="36"/>
      <c r="AR633" s="116"/>
      <c r="AS633" s="81" t="s">
        <v>347</v>
      </c>
      <c r="AT633" s="134"/>
      <c r="AU633" s="172">
        <f t="shared" si="67"/>
        <v>7</v>
      </c>
      <c r="AV633" s="172" t="s">
        <v>68</v>
      </c>
    </row>
    <row r="634" spans="1:48" ht="25.5" hidden="1" x14ac:dyDescent="0.2">
      <c r="A634" s="86">
        <f t="shared" si="64"/>
        <v>20611</v>
      </c>
      <c r="B634" s="3" t="s">
        <v>4303</v>
      </c>
      <c r="C634" s="3" t="s">
        <v>643</v>
      </c>
      <c r="D634" s="86"/>
      <c r="E634" s="36" t="s">
        <v>94</v>
      </c>
      <c r="F634" s="48">
        <v>31212</v>
      </c>
      <c r="G634" s="36" t="s">
        <v>856</v>
      </c>
      <c r="H634" s="81" t="s">
        <v>132</v>
      </c>
      <c r="I634" s="36" t="s">
        <v>4304</v>
      </c>
      <c r="J634" s="48">
        <v>40584</v>
      </c>
      <c r="K634" s="36" t="s">
        <v>856</v>
      </c>
      <c r="L634" s="36" t="s">
        <v>123</v>
      </c>
      <c r="M634" s="36" t="s">
        <v>2914</v>
      </c>
      <c r="N634" s="36" t="s">
        <v>4063</v>
      </c>
      <c r="O634" s="101">
        <v>2007</v>
      </c>
      <c r="P634" s="159" t="s">
        <v>4305</v>
      </c>
      <c r="Q634" s="36"/>
      <c r="R634" s="36"/>
      <c r="S634" s="156"/>
      <c r="T634" s="81" t="s">
        <v>4306</v>
      </c>
      <c r="U634" s="81" t="s">
        <v>4306</v>
      </c>
      <c r="V634" s="36"/>
      <c r="W634" s="36"/>
      <c r="X634" s="36"/>
      <c r="Y634" s="36" t="s">
        <v>3626</v>
      </c>
      <c r="Z634" s="81"/>
      <c r="AA634" s="54"/>
      <c r="AB634" s="81">
        <v>1</v>
      </c>
      <c r="AC634" s="81" t="s">
        <v>236</v>
      </c>
      <c r="AD634" s="36" t="s">
        <v>1183</v>
      </c>
      <c r="AE634" s="81" t="s">
        <v>1184</v>
      </c>
      <c r="AF634" s="81" t="s">
        <v>231</v>
      </c>
      <c r="AG634" s="48">
        <v>41443</v>
      </c>
      <c r="AH634" s="134">
        <f t="shared" si="66"/>
        <v>6</v>
      </c>
      <c r="AI634" s="134"/>
      <c r="AJ634" s="48"/>
      <c r="AK634" s="134" t="str">
        <f t="shared" si="62"/>
        <v/>
      </c>
      <c r="AL634" s="54" t="s">
        <v>82</v>
      </c>
      <c r="AM634" s="54"/>
      <c r="AN634" s="54"/>
      <c r="AO634" s="190">
        <v>41530</v>
      </c>
      <c r="AP634" s="65">
        <f t="shared" ref="AP634:AP665" si="68">IF((AO634=""),"",MONTH(AO634))</f>
        <v>9</v>
      </c>
      <c r="AQ634" s="123"/>
      <c r="AR634" s="23"/>
      <c r="AS634" s="54" t="s">
        <v>347</v>
      </c>
      <c r="AT634" s="136"/>
      <c r="AU634" s="70">
        <f t="shared" si="67"/>
        <v>6</v>
      </c>
      <c r="AV634" s="70" t="s">
        <v>68</v>
      </c>
    </row>
    <row r="635" spans="1:48" ht="25.5" x14ac:dyDescent="0.2">
      <c r="A635" s="87">
        <f t="shared" si="64"/>
        <v>20612</v>
      </c>
      <c r="B635" s="80" t="s">
        <v>2656</v>
      </c>
      <c r="C635" s="80" t="s">
        <v>4307</v>
      </c>
      <c r="D635" s="87"/>
      <c r="E635" s="123" t="s">
        <v>94</v>
      </c>
      <c r="F635" s="140">
        <v>32005</v>
      </c>
      <c r="G635" s="123" t="s">
        <v>2706</v>
      </c>
      <c r="H635" s="54" t="s">
        <v>824</v>
      </c>
      <c r="I635" s="123" t="s">
        <v>4308</v>
      </c>
      <c r="J635" s="140">
        <v>38344</v>
      </c>
      <c r="K635" s="123" t="s">
        <v>4309</v>
      </c>
      <c r="L635" s="123" t="s">
        <v>123</v>
      </c>
      <c r="M635" s="123" t="s">
        <v>4310</v>
      </c>
      <c r="N635" s="123" t="s">
        <v>368</v>
      </c>
      <c r="O635" s="106">
        <v>2009</v>
      </c>
      <c r="P635" s="153" t="s">
        <v>4311</v>
      </c>
      <c r="Q635" s="123"/>
      <c r="R635" s="123" t="s">
        <v>4312</v>
      </c>
      <c r="S635" s="173" t="str">
        <f>HYPERLINK("mailto:lehongthaiqn@gmail.com","lehongthaiqn@gmail.com")</f>
        <v>lehongthaiqn@gmail.com</v>
      </c>
      <c r="T635" s="54" t="s">
        <v>4313</v>
      </c>
      <c r="U635" s="54" t="s">
        <v>4314</v>
      </c>
      <c r="V635" s="123" t="s">
        <v>4315</v>
      </c>
      <c r="W635" s="123" t="s">
        <v>4316</v>
      </c>
      <c r="X635" s="123" t="s">
        <v>4317</v>
      </c>
      <c r="Y635" s="123" t="s">
        <v>972</v>
      </c>
      <c r="Z635" s="54"/>
      <c r="AA635" s="54"/>
      <c r="AB635" s="54">
        <v>1</v>
      </c>
      <c r="AC635" s="54" t="s">
        <v>236</v>
      </c>
      <c r="AD635" s="123" t="s">
        <v>1183</v>
      </c>
      <c r="AE635" s="54" t="s">
        <v>1184</v>
      </c>
      <c r="AF635" s="54" t="s">
        <v>231</v>
      </c>
      <c r="AG635" s="140">
        <v>41443</v>
      </c>
      <c r="AH635" s="65">
        <f t="shared" si="66"/>
        <v>6</v>
      </c>
      <c r="AI635" s="65"/>
      <c r="AJ635" s="140">
        <v>41504</v>
      </c>
      <c r="AK635" s="65">
        <f t="shared" si="62"/>
        <v>8</v>
      </c>
      <c r="AL635" s="54" t="s">
        <v>66</v>
      </c>
      <c r="AM635" s="54"/>
      <c r="AN635" s="54"/>
      <c r="AO635" s="190"/>
      <c r="AP635" s="65" t="str">
        <f t="shared" si="68"/>
        <v/>
      </c>
      <c r="AQ635" s="123"/>
      <c r="AR635" s="23"/>
      <c r="AS635" s="54" t="s">
        <v>347</v>
      </c>
      <c r="AT635" s="136"/>
      <c r="AU635" s="70">
        <f t="shared" si="67"/>
        <v>8</v>
      </c>
      <c r="AV635" s="70" t="s">
        <v>68</v>
      </c>
    </row>
    <row r="636" spans="1:48" ht="38.25" x14ac:dyDescent="0.2">
      <c r="A636" s="87">
        <f t="shared" si="64"/>
        <v>20613</v>
      </c>
      <c r="B636" s="80" t="s">
        <v>4318</v>
      </c>
      <c r="C636" s="80" t="s">
        <v>685</v>
      </c>
      <c r="D636" s="87"/>
      <c r="E636" s="123" t="s">
        <v>94</v>
      </c>
      <c r="F636" s="140">
        <v>32744</v>
      </c>
      <c r="G636" s="123" t="s">
        <v>3258</v>
      </c>
      <c r="H636" s="54" t="s">
        <v>824</v>
      </c>
      <c r="I636" s="123" t="s">
        <v>4319</v>
      </c>
      <c r="J636" s="140">
        <v>38587</v>
      </c>
      <c r="K636" s="123" t="s">
        <v>4320</v>
      </c>
      <c r="L636" s="123" t="s">
        <v>123</v>
      </c>
      <c r="M636" s="123" t="s">
        <v>3452</v>
      </c>
      <c r="N636" s="123" t="s">
        <v>307</v>
      </c>
      <c r="O636" s="106">
        <v>2011</v>
      </c>
      <c r="P636" s="153" t="s">
        <v>4321</v>
      </c>
      <c r="Q636" s="123"/>
      <c r="R636" s="123" t="s">
        <v>4322</v>
      </c>
      <c r="S636" s="173" t="str">
        <f>HYPERLINK("mailto:baotrang248@gmail.com","baotrang248@gmail.com")</f>
        <v>baotrang248@gmail.com</v>
      </c>
      <c r="T636" s="54" t="s">
        <v>4323</v>
      </c>
      <c r="U636" s="54" t="s">
        <v>4324</v>
      </c>
      <c r="V636" s="123" t="s">
        <v>4325</v>
      </c>
      <c r="W636" s="123" t="s">
        <v>4316</v>
      </c>
      <c r="X636" s="123" t="s">
        <v>4326</v>
      </c>
      <c r="Y636" s="123" t="s">
        <v>972</v>
      </c>
      <c r="Z636" s="54"/>
      <c r="AA636" s="54"/>
      <c r="AB636" s="54">
        <v>1</v>
      </c>
      <c r="AC636" s="54" t="s">
        <v>236</v>
      </c>
      <c r="AD636" s="123" t="s">
        <v>1183</v>
      </c>
      <c r="AE636" s="54" t="s">
        <v>1184</v>
      </c>
      <c r="AF636" s="54" t="s">
        <v>231</v>
      </c>
      <c r="AG636" s="140">
        <v>41443</v>
      </c>
      <c r="AH636" s="65">
        <f t="shared" si="66"/>
        <v>6</v>
      </c>
      <c r="AI636" s="65"/>
      <c r="AJ636" s="140">
        <v>41502</v>
      </c>
      <c r="AK636" s="65">
        <f t="shared" si="62"/>
        <v>8</v>
      </c>
      <c r="AL636" s="54" t="s">
        <v>66</v>
      </c>
      <c r="AM636" s="54"/>
      <c r="AN636" s="54"/>
      <c r="AO636" s="190"/>
      <c r="AP636" s="65" t="str">
        <f t="shared" si="68"/>
        <v/>
      </c>
      <c r="AQ636" s="123"/>
      <c r="AR636" s="23"/>
      <c r="AS636" s="54" t="s">
        <v>347</v>
      </c>
      <c r="AT636" s="136"/>
      <c r="AU636" s="70">
        <f t="shared" si="67"/>
        <v>8</v>
      </c>
      <c r="AV636" s="70" t="s">
        <v>68</v>
      </c>
    </row>
    <row r="637" spans="1:48" ht="25.5" hidden="1" customHeight="1" x14ac:dyDescent="0.2">
      <c r="A637" s="87">
        <f t="shared" si="64"/>
        <v>20614</v>
      </c>
      <c r="B637" s="80" t="s">
        <v>3610</v>
      </c>
      <c r="C637" s="80" t="s">
        <v>3416</v>
      </c>
      <c r="D637" s="87"/>
      <c r="E637" s="123" t="s">
        <v>94</v>
      </c>
      <c r="F637" s="140">
        <v>31702</v>
      </c>
      <c r="G637" s="123" t="s">
        <v>824</v>
      </c>
      <c r="H637" s="54" t="s">
        <v>824</v>
      </c>
      <c r="I637" s="123" t="s">
        <v>4327</v>
      </c>
      <c r="J637" s="140">
        <v>40672</v>
      </c>
      <c r="K637" s="123" t="s">
        <v>3389</v>
      </c>
      <c r="L637" s="123" t="s">
        <v>123</v>
      </c>
      <c r="M637" s="123" t="s">
        <v>2302</v>
      </c>
      <c r="N637" s="123" t="s">
        <v>4328</v>
      </c>
      <c r="O637" s="106">
        <v>2010</v>
      </c>
      <c r="P637" s="153" t="s">
        <v>4329</v>
      </c>
      <c r="Q637" s="123"/>
      <c r="R637" s="123" t="s">
        <v>4330</v>
      </c>
      <c r="S637" s="173"/>
      <c r="T637" s="54" t="s">
        <v>4331</v>
      </c>
      <c r="U637" s="54" t="s">
        <v>4331</v>
      </c>
      <c r="V637" s="123" t="s">
        <v>4332</v>
      </c>
      <c r="W637" s="123" t="s">
        <v>2989</v>
      </c>
      <c r="X637" s="123" t="s">
        <v>4333</v>
      </c>
      <c r="Y637" s="123" t="s">
        <v>312</v>
      </c>
      <c r="Z637" s="54"/>
      <c r="AA637" s="54"/>
      <c r="AB637" s="54">
        <v>1</v>
      </c>
      <c r="AC637" s="54" t="s">
        <v>236</v>
      </c>
      <c r="AD637" s="123" t="s">
        <v>1183</v>
      </c>
      <c r="AE637" s="54" t="s">
        <v>1219</v>
      </c>
      <c r="AF637" s="54" t="s">
        <v>231</v>
      </c>
      <c r="AG637" s="140">
        <v>41434</v>
      </c>
      <c r="AH637" s="65">
        <f t="shared" ref="AH637:AH668" si="69">IF((AG637=""),"",MONTH(AG637))</f>
        <v>6</v>
      </c>
      <c r="AI637" s="65"/>
      <c r="AJ637" s="140">
        <v>41494</v>
      </c>
      <c r="AK637" s="65">
        <f t="shared" si="62"/>
        <v>8</v>
      </c>
      <c r="AL637" s="54" t="s">
        <v>66</v>
      </c>
      <c r="AM637" s="54"/>
      <c r="AN637" s="54"/>
      <c r="AO637" s="190"/>
      <c r="AP637" s="65" t="str">
        <f t="shared" si="68"/>
        <v/>
      </c>
      <c r="AQ637" s="123"/>
      <c r="AR637" s="23"/>
      <c r="AS637" s="54" t="s">
        <v>107</v>
      </c>
      <c r="AT637" s="136"/>
      <c r="AU637" s="70">
        <f t="shared" si="67"/>
        <v>10</v>
      </c>
      <c r="AV637" s="70" t="s">
        <v>68</v>
      </c>
    </row>
    <row r="638" spans="1:48" ht="12.75" hidden="1" x14ac:dyDescent="0.2">
      <c r="A638" s="86">
        <f t="shared" si="64"/>
        <v>20615</v>
      </c>
      <c r="B638" s="3" t="s">
        <v>1506</v>
      </c>
      <c r="C638" s="3" t="s">
        <v>535</v>
      </c>
      <c r="D638" s="86"/>
      <c r="E638" s="36" t="s">
        <v>94</v>
      </c>
      <c r="F638" s="48"/>
      <c r="G638" s="36"/>
      <c r="H638" s="81"/>
      <c r="I638" s="36"/>
      <c r="J638" s="48"/>
      <c r="K638" s="36"/>
      <c r="L638" s="36"/>
      <c r="M638" s="36"/>
      <c r="N638" s="36"/>
      <c r="O638" s="101"/>
      <c r="P638" s="159" t="s">
        <v>4334</v>
      </c>
      <c r="Q638" s="36"/>
      <c r="R638" s="36"/>
      <c r="S638" s="156"/>
      <c r="T638" s="81"/>
      <c r="U638" s="81"/>
      <c r="V638" s="36"/>
      <c r="W638" s="36"/>
      <c r="X638" s="36"/>
      <c r="Y638" s="36" t="s">
        <v>616</v>
      </c>
      <c r="Z638" s="81"/>
      <c r="AA638" s="54"/>
      <c r="AB638" s="81">
        <v>1</v>
      </c>
      <c r="AC638" s="81" t="s">
        <v>236</v>
      </c>
      <c r="AD638" s="36" t="s">
        <v>866</v>
      </c>
      <c r="AE638" s="81" t="s">
        <v>867</v>
      </c>
      <c r="AF638" s="81" t="s">
        <v>231</v>
      </c>
      <c r="AG638" s="48"/>
      <c r="AH638" s="134" t="str">
        <f t="shared" si="69"/>
        <v/>
      </c>
      <c r="AI638" s="134"/>
      <c r="AJ638" s="48"/>
      <c r="AK638" s="134" t="str">
        <f t="shared" si="62"/>
        <v/>
      </c>
      <c r="AL638" s="54" t="s">
        <v>82</v>
      </c>
      <c r="AM638" s="54"/>
      <c r="AN638" s="54"/>
      <c r="AO638" s="190">
        <v>41489</v>
      </c>
      <c r="AP638" s="65">
        <f t="shared" si="68"/>
        <v>8</v>
      </c>
      <c r="AQ638" s="123"/>
      <c r="AR638" s="23"/>
      <c r="AS638" s="54" t="s">
        <v>347</v>
      </c>
      <c r="AT638" s="136"/>
      <c r="AU638" s="70" t="str">
        <f t="shared" si="67"/>
        <v/>
      </c>
      <c r="AV638" s="70" t="s">
        <v>68</v>
      </c>
    </row>
    <row r="639" spans="1:48" ht="25.5" hidden="1" x14ac:dyDescent="0.2">
      <c r="A639" s="87">
        <f t="shared" si="64"/>
        <v>20616</v>
      </c>
      <c r="B639" s="80" t="s">
        <v>1427</v>
      </c>
      <c r="C639" s="80" t="s">
        <v>256</v>
      </c>
      <c r="D639" s="87"/>
      <c r="E639" s="123" t="s">
        <v>94</v>
      </c>
      <c r="F639" s="140">
        <v>32975</v>
      </c>
      <c r="G639" s="123"/>
      <c r="H639" s="54" t="s">
        <v>52</v>
      </c>
      <c r="I639" s="123" t="s">
        <v>4335</v>
      </c>
      <c r="J639" s="140">
        <v>39691</v>
      </c>
      <c r="K639" s="123" t="s">
        <v>4336</v>
      </c>
      <c r="L639" s="123" t="s">
        <v>341</v>
      </c>
      <c r="M639" s="123" t="s">
        <v>4337</v>
      </c>
      <c r="N639" s="123" t="s">
        <v>3236</v>
      </c>
      <c r="O639" s="106"/>
      <c r="P639" s="153" t="s">
        <v>4338</v>
      </c>
      <c r="Q639" s="123"/>
      <c r="R639" s="123" t="s">
        <v>4339</v>
      </c>
      <c r="S639" s="173" t="s">
        <v>4340</v>
      </c>
      <c r="T639" s="54" t="s">
        <v>4341</v>
      </c>
      <c r="U639" s="54" t="s">
        <v>4342</v>
      </c>
      <c r="V639" s="123"/>
      <c r="W639" s="123"/>
      <c r="X639" s="123"/>
      <c r="Y639" s="123" t="s">
        <v>865</v>
      </c>
      <c r="Z639" s="54"/>
      <c r="AA639" s="54"/>
      <c r="AB639" s="54">
        <v>1</v>
      </c>
      <c r="AC639" s="54" t="s">
        <v>236</v>
      </c>
      <c r="AD639" s="123" t="s">
        <v>866</v>
      </c>
      <c r="AE639" s="54" t="s">
        <v>867</v>
      </c>
      <c r="AF639" s="54" t="s">
        <v>231</v>
      </c>
      <c r="AG639" s="140">
        <v>41435</v>
      </c>
      <c r="AH639" s="65">
        <f t="shared" si="69"/>
        <v>6</v>
      </c>
      <c r="AI639" s="65"/>
      <c r="AJ639" s="140">
        <v>41496</v>
      </c>
      <c r="AK639" s="65">
        <f t="shared" si="62"/>
        <v>8</v>
      </c>
      <c r="AL639" s="54" t="s">
        <v>66</v>
      </c>
      <c r="AM639" s="54"/>
      <c r="AN639" s="54"/>
      <c r="AO639" s="190"/>
      <c r="AP639" s="65" t="str">
        <f t="shared" si="68"/>
        <v/>
      </c>
      <c r="AQ639" s="123"/>
      <c r="AR639" s="23"/>
      <c r="AS639" s="54" t="s">
        <v>347</v>
      </c>
      <c r="AT639" s="136"/>
      <c r="AU639" s="70">
        <f t="shared" si="67"/>
        <v>4</v>
      </c>
      <c r="AV639" s="70" t="s">
        <v>68</v>
      </c>
    </row>
    <row r="640" spans="1:48" ht="12.75" hidden="1" x14ac:dyDescent="0.2">
      <c r="A640" s="86">
        <f t="shared" si="64"/>
        <v>20617</v>
      </c>
      <c r="B640" s="3" t="s">
        <v>4343</v>
      </c>
      <c r="C640" s="3" t="s">
        <v>893</v>
      </c>
      <c r="D640" s="86"/>
      <c r="E640" s="36" t="s">
        <v>94</v>
      </c>
      <c r="F640" s="48"/>
      <c r="G640" s="36"/>
      <c r="H640" s="81"/>
      <c r="I640" s="36"/>
      <c r="J640" s="48"/>
      <c r="K640" s="36"/>
      <c r="L640" s="36"/>
      <c r="M640" s="36"/>
      <c r="N640" s="36"/>
      <c r="O640" s="101"/>
      <c r="P640" s="159" t="s">
        <v>4344</v>
      </c>
      <c r="Q640" s="36"/>
      <c r="R640" s="36"/>
      <c r="S640" s="156"/>
      <c r="T640" s="81"/>
      <c r="U640" s="81"/>
      <c r="V640" s="36"/>
      <c r="W640" s="36"/>
      <c r="X640" s="36"/>
      <c r="Y640" s="36" t="s">
        <v>616</v>
      </c>
      <c r="Z640" s="81"/>
      <c r="AA640" s="54"/>
      <c r="AB640" s="81">
        <v>1</v>
      </c>
      <c r="AC640" s="81" t="s">
        <v>236</v>
      </c>
      <c r="AD640" s="36" t="s">
        <v>866</v>
      </c>
      <c r="AE640" s="81" t="s">
        <v>867</v>
      </c>
      <c r="AF640" s="81" t="s">
        <v>231</v>
      </c>
      <c r="AG640" s="48">
        <v>41435</v>
      </c>
      <c r="AH640" s="134">
        <f t="shared" si="69"/>
        <v>6</v>
      </c>
      <c r="AI640" s="134"/>
      <c r="AJ640" s="48">
        <v>41496</v>
      </c>
      <c r="AK640" s="134">
        <f t="shared" si="62"/>
        <v>8</v>
      </c>
      <c r="AL640" s="54" t="s">
        <v>82</v>
      </c>
      <c r="AM640" s="54"/>
      <c r="AN640" s="54"/>
      <c r="AO640" s="190">
        <v>41573</v>
      </c>
      <c r="AP640" s="65">
        <f t="shared" si="68"/>
        <v>10</v>
      </c>
      <c r="AQ640" s="123"/>
      <c r="AR640" s="23"/>
      <c r="AS640" s="54" t="s">
        <v>347</v>
      </c>
      <c r="AT640" s="136"/>
      <c r="AU640" s="70" t="str">
        <f t="shared" si="67"/>
        <v/>
      </c>
      <c r="AV640" s="70" t="s">
        <v>68</v>
      </c>
    </row>
    <row r="641" spans="1:48" ht="12.75" hidden="1" x14ac:dyDescent="0.2">
      <c r="A641" s="86">
        <f t="shared" si="64"/>
        <v>20618</v>
      </c>
      <c r="B641" s="3" t="s">
        <v>691</v>
      </c>
      <c r="C641" s="3" t="s">
        <v>287</v>
      </c>
      <c r="D641" s="86"/>
      <c r="E641" s="36" t="s">
        <v>94</v>
      </c>
      <c r="F641" s="48"/>
      <c r="G641" s="36"/>
      <c r="H641" s="81"/>
      <c r="I641" s="36"/>
      <c r="J641" s="48"/>
      <c r="K641" s="36"/>
      <c r="L641" s="36"/>
      <c r="M641" s="36"/>
      <c r="N641" s="36"/>
      <c r="O641" s="101"/>
      <c r="P641" s="159" t="s">
        <v>4345</v>
      </c>
      <c r="Q641" s="36"/>
      <c r="R641" s="36"/>
      <c r="S641" s="156"/>
      <c r="T641" s="81"/>
      <c r="U641" s="81"/>
      <c r="V641" s="36"/>
      <c r="W641" s="36"/>
      <c r="X641" s="36"/>
      <c r="Y641" s="36" t="s">
        <v>616</v>
      </c>
      <c r="Z641" s="81"/>
      <c r="AA641" s="54"/>
      <c r="AB641" s="81">
        <v>1</v>
      </c>
      <c r="AC641" s="81" t="s">
        <v>236</v>
      </c>
      <c r="AD641" s="36" t="s">
        <v>866</v>
      </c>
      <c r="AE641" s="81" t="s">
        <v>867</v>
      </c>
      <c r="AF641" s="81" t="s">
        <v>231</v>
      </c>
      <c r="AG641" s="48">
        <v>41449</v>
      </c>
      <c r="AH641" s="134">
        <f t="shared" si="69"/>
        <v>6</v>
      </c>
      <c r="AI641" s="134"/>
      <c r="AJ641" s="48">
        <v>41510</v>
      </c>
      <c r="AK641" s="134">
        <f t="shared" si="62"/>
        <v>8</v>
      </c>
      <c r="AL641" s="54" t="s">
        <v>82</v>
      </c>
      <c r="AM641" s="54"/>
      <c r="AN641" s="54"/>
      <c r="AO641" s="190">
        <v>41583</v>
      </c>
      <c r="AP641" s="65">
        <f t="shared" si="68"/>
        <v>11</v>
      </c>
      <c r="AQ641" s="123"/>
      <c r="AR641" s="23"/>
      <c r="AS641" s="54" t="s">
        <v>347</v>
      </c>
      <c r="AT641" s="136"/>
      <c r="AU641" s="70" t="str">
        <f t="shared" si="67"/>
        <v/>
      </c>
      <c r="AV641" s="70" t="s">
        <v>68</v>
      </c>
    </row>
    <row r="642" spans="1:48" ht="12.75" hidden="1" x14ac:dyDescent="0.2">
      <c r="A642" s="86">
        <f t="shared" si="64"/>
        <v>20619</v>
      </c>
      <c r="B642" s="3" t="s">
        <v>1862</v>
      </c>
      <c r="C642" s="3" t="s">
        <v>232</v>
      </c>
      <c r="D642" s="86"/>
      <c r="E642" s="36" t="s">
        <v>94</v>
      </c>
      <c r="F642" s="48"/>
      <c r="G642" s="36"/>
      <c r="H642" s="81"/>
      <c r="I642" s="36"/>
      <c r="J642" s="48"/>
      <c r="K642" s="36"/>
      <c r="L642" s="36"/>
      <c r="M642" s="36"/>
      <c r="N642" s="36"/>
      <c r="O642" s="101"/>
      <c r="P642" s="159" t="s">
        <v>4346</v>
      </c>
      <c r="Q642" s="36"/>
      <c r="R642" s="36"/>
      <c r="S642" s="156"/>
      <c r="T642" s="81"/>
      <c r="U642" s="81"/>
      <c r="V642" s="36"/>
      <c r="W642" s="36"/>
      <c r="X642" s="36"/>
      <c r="Y642" s="36" t="s">
        <v>616</v>
      </c>
      <c r="Z642" s="81"/>
      <c r="AA642" s="54"/>
      <c r="AB642" s="81">
        <v>1</v>
      </c>
      <c r="AC642" s="81" t="s">
        <v>236</v>
      </c>
      <c r="AD642" s="36" t="s">
        <v>866</v>
      </c>
      <c r="AE642" s="81" t="s">
        <v>867</v>
      </c>
      <c r="AF642" s="81" t="s">
        <v>231</v>
      </c>
      <c r="AG642" s="48">
        <v>41456</v>
      </c>
      <c r="AH642" s="134">
        <f t="shared" si="69"/>
        <v>7</v>
      </c>
      <c r="AI642" s="134"/>
      <c r="AJ642" s="48"/>
      <c r="AK642" s="134" t="str">
        <f t="shared" si="62"/>
        <v/>
      </c>
      <c r="AL642" s="54" t="s">
        <v>82</v>
      </c>
      <c r="AM642" s="54"/>
      <c r="AN642" s="54"/>
      <c r="AO642" s="190">
        <v>41531</v>
      </c>
      <c r="AP642" s="65">
        <f t="shared" si="68"/>
        <v>9</v>
      </c>
      <c r="AQ642" s="123"/>
      <c r="AR642" s="23"/>
      <c r="AS642" s="54" t="s">
        <v>347</v>
      </c>
      <c r="AT642" s="136"/>
      <c r="AU642" s="70" t="str">
        <f t="shared" si="67"/>
        <v/>
      </c>
      <c r="AV642" s="70" t="s">
        <v>68</v>
      </c>
    </row>
    <row r="643" spans="1:48" ht="25.5" hidden="1" x14ac:dyDescent="0.2">
      <c r="A643" s="87">
        <f t="shared" si="64"/>
        <v>20620</v>
      </c>
      <c r="B643" s="80" t="s">
        <v>4347</v>
      </c>
      <c r="C643" s="80" t="s">
        <v>131</v>
      </c>
      <c r="D643" s="87"/>
      <c r="E643" s="123" t="s">
        <v>94</v>
      </c>
      <c r="F643" s="140">
        <v>31731</v>
      </c>
      <c r="G643" s="123" t="s">
        <v>884</v>
      </c>
      <c r="H643" s="54" t="s">
        <v>1308</v>
      </c>
      <c r="I643" s="123" t="s">
        <v>4348</v>
      </c>
      <c r="J643" s="140">
        <v>39680</v>
      </c>
      <c r="K643" s="123" t="s">
        <v>4349</v>
      </c>
      <c r="L643" s="123" t="s">
        <v>341</v>
      </c>
      <c r="M643" s="123" t="s">
        <v>1347</v>
      </c>
      <c r="N643" s="123" t="s">
        <v>368</v>
      </c>
      <c r="O643" s="106">
        <v>2009</v>
      </c>
      <c r="P643" s="33" t="s">
        <v>4350</v>
      </c>
      <c r="Q643" s="123"/>
      <c r="R643" s="123"/>
      <c r="S643" s="84"/>
      <c r="T643" s="54" t="s">
        <v>4351</v>
      </c>
      <c r="U643" s="54" t="s">
        <v>4352</v>
      </c>
      <c r="V643" s="123"/>
      <c r="W643" s="123"/>
      <c r="X643" s="123"/>
      <c r="Y643" s="123" t="s">
        <v>865</v>
      </c>
      <c r="Z643" s="54"/>
      <c r="AA643" s="54"/>
      <c r="AB643" s="54">
        <v>1</v>
      </c>
      <c r="AC643" s="54" t="s">
        <v>236</v>
      </c>
      <c r="AD643" s="123" t="s">
        <v>866</v>
      </c>
      <c r="AE643" s="54" t="s">
        <v>867</v>
      </c>
      <c r="AF643" s="54" t="s">
        <v>231</v>
      </c>
      <c r="AG643" s="140">
        <v>41680</v>
      </c>
      <c r="AH643" s="65">
        <f t="shared" si="69"/>
        <v>2</v>
      </c>
      <c r="AI643" s="65"/>
      <c r="AJ643" s="140"/>
      <c r="AK643" s="29">
        <v>41738</v>
      </c>
      <c r="AL643" s="54" t="s">
        <v>2322</v>
      </c>
      <c r="AM643" s="140">
        <v>41579</v>
      </c>
      <c r="AN643" s="54"/>
      <c r="AO643" s="140">
        <v>41579</v>
      </c>
      <c r="AP643" s="65">
        <f t="shared" si="68"/>
        <v>11</v>
      </c>
      <c r="AQ643" s="123"/>
      <c r="AR643" s="23"/>
      <c r="AS643" s="54" t="s">
        <v>347</v>
      </c>
      <c r="AU643" s="70">
        <f t="shared" si="67"/>
        <v>11</v>
      </c>
      <c r="AV643" s="70" t="s">
        <v>68</v>
      </c>
    </row>
    <row r="644" spans="1:48" ht="25.5" hidden="1" x14ac:dyDescent="0.2">
      <c r="A644" s="87">
        <f t="shared" si="64"/>
        <v>20621</v>
      </c>
      <c r="B644" s="80" t="s">
        <v>4353</v>
      </c>
      <c r="C644" s="80" t="s">
        <v>131</v>
      </c>
      <c r="D644" s="87"/>
      <c r="E644" s="123" t="s">
        <v>94</v>
      </c>
      <c r="F644" s="140">
        <v>31095</v>
      </c>
      <c r="G644" s="123"/>
      <c r="H644" s="54" t="s">
        <v>2734</v>
      </c>
      <c r="I644" s="123" t="s">
        <v>4354</v>
      </c>
      <c r="J644" s="140">
        <v>37495</v>
      </c>
      <c r="K644" s="123" t="s">
        <v>3389</v>
      </c>
      <c r="L644" s="123" t="s">
        <v>4355</v>
      </c>
      <c r="M644" s="123" t="s">
        <v>4356</v>
      </c>
      <c r="N644" s="123" t="s">
        <v>4357</v>
      </c>
      <c r="O644" s="106">
        <v>2008</v>
      </c>
      <c r="P644" s="153" t="s">
        <v>4358</v>
      </c>
      <c r="Q644" s="123"/>
      <c r="R644" s="123" t="s">
        <v>4359</v>
      </c>
      <c r="S644" s="173"/>
      <c r="T644" s="54" t="s">
        <v>4360</v>
      </c>
      <c r="U644" s="54" t="s">
        <v>4360</v>
      </c>
      <c r="V644" s="123" t="s">
        <v>4361</v>
      </c>
      <c r="W644" s="123"/>
      <c r="X644" s="123" t="s">
        <v>4362</v>
      </c>
      <c r="Y644" s="123" t="s">
        <v>865</v>
      </c>
      <c r="Z644" s="54"/>
      <c r="AA644" s="54"/>
      <c r="AB644" s="54">
        <v>1</v>
      </c>
      <c r="AC644" s="54" t="s">
        <v>236</v>
      </c>
      <c r="AD644" s="123" t="s">
        <v>866</v>
      </c>
      <c r="AE644" s="54" t="s">
        <v>867</v>
      </c>
      <c r="AF644" s="54" t="s">
        <v>231</v>
      </c>
      <c r="AG644" s="140">
        <v>41456</v>
      </c>
      <c r="AH644" s="65">
        <f t="shared" si="69"/>
        <v>7</v>
      </c>
      <c r="AI644" s="65"/>
      <c r="AJ644" s="140">
        <v>41518</v>
      </c>
      <c r="AK644" s="65">
        <f t="shared" ref="AK644:AK675" si="70">IF((AJ644=""),"",MONTH(AJ644))</f>
        <v>9</v>
      </c>
      <c r="AL644" s="54" t="s">
        <v>66</v>
      </c>
      <c r="AM644" s="54"/>
      <c r="AN644" s="54"/>
      <c r="AO644" s="190"/>
      <c r="AP644" s="65" t="str">
        <f t="shared" si="68"/>
        <v/>
      </c>
      <c r="AQ644" s="123"/>
      <c r="AR644" s="23"/>
      <c r="AS644" s="54" t="s">
        <v>347</v>
      </c>
      <c r="AT644" s="136"/>
      <c r="AU644" s="70">
        <f t="shared" si="67"/>
        <v>2</v>
      </c>
      <c r="AV644" s="70" t="s">
        <v>68</v>
      </c>
    </row>
    <row r="645" spans="1:48" ht="12.75" hidden="1" x14ac:dyDescent="0.2">
      <c r="A645" s="86">
        <f t="shared" si="64"/>
        <v>20622</v>
      </c>
      <c r="B645" s="3" t="s">
        <v>4363</v>
      </c>
      <c r="C645" s="3" t="s">
        <v>685</v>
      </c>
      <c r="D645" s="86"/>
      <c r="E645" s="36" t="s">
        <v>94</v>
      </c>
      <c r="F645" s="48"/>
      <c r="G645" s="36"/>
      <c r="H645" s="81"/>
      <c r="I645" s="36"/>
      <c r="J645" s="48"/>
      <c r="K645" s="36"/>
      <c r="L645" s="36"/>
      <c r="M645" s="36"/>
      <c r="N645" s="36"/>
      <c r="O645" s="101"/>
      <c r="P645" s="159" t="s">
        <v>4364</v>
      </c>
      <c r="Q645" s="36"/>
      <c r="R645" s="36"/>
      <c r="S645" s="36"/>
      <c r="T645" s="81"/>
      <c r="U645" s="81"/>
      <c r="V645" s="36"/>
      <c r="W645" s="36"/>
      <c r="X645" s="36"/>
      <c r="Y645" s="36" t="s">
        <v>616</v>
      </c>
      <c r="Z645" s="81"/>
      <c r="AA645" s="54"/>
      <c r="AB645" s="81">
        <v>1</v>
      </c>
      <c r="AC645" s="81" t="s">
        <v>236</v>
      </c>
      <c r="AD645" s="36" t="s">
        <v>866</v>
      </c>
      <c r="AE645" s="81" t="s">
        <v>867</v>
      </c>
      <c r="AF645" s="81" t="s">
        <v>231</v>
      </c>
      <c r="AG645" s="48"/>
      <c r="AH645" s="134" t="str">
        <f t="shared" si="69"/>
        <v/>
      </c>
      <c r="AI645" s="134"/>
      <c r="AJ645" s="48"/>
      <c r="AK645" s="134" t="str">
        <f t="shared" si="70"/>
        <v/>
      </c>
      <c r="AL645" s="54" t="s">
        <v>82</v>
      </c>
      <c r="AM645" s="54"/>
      <c r="AN645" s="54"/>
      <c r="AO645" s="190">
        <v>41526</v>
      </c>
      <c r="AP645" s="65">
        <f t="shared" si="68"/>
        <v>9</v>
      </c>
      <c r="AQ645" s="123"/>
      <c r="AR645" s="23"/>
      <c r="AS645" s="54" t="s">
        <v>347</v>
      </c>
      <c r="AT645" s="136"/>
      <c r="AU645" s="70" t="str">
        <f t="shared" si="67"/>
        <v/>
      </c>
      <c r="AV645" s="70" t="s">
        <v>68</v>
      </c>
    </row>
    <row r="646" spans="1:48" ht="38.25" hidden="1" x14ac:dyDescent="0.2">
      <c r="A646" s="87">
        <f t="shared" si="64"/>
        <v>20623</v>
      </c>
      <c r="B646" s="80" t="s">
        <v>4365</v>
      </c>
      <c r="C646" s="80" t="s">
        <v>4366</v>
      </c>
      <c r="D646" s="87"/>
      <c r="E646" s="123" t="s">
        <v>94</v>
      </c>
      <c r="F646" s="140">
        <v>32973</v>
      </c>
      <c r="G646" s="123" t="s">
        <v>2706</v>
      </c>
      <c r="H646" s="54" t="s">
        <v>1103</v>
      </c>
      <c r="I646" s="123" t="s">
        <v>4367</v>
      </c>
      <c r="J646" s="140">
        <v>38887</v>
      </c>
      <c r="K646" s="123" t="s">
        <v>4368</v>
      </c>
      <c r="L646" s="123" t="s">
        <v>123</v>
      </c>
      <c r="M646" s="123" t="s">
        <v>4369</v>
      </c>
      <c r="N646" s="123" t="s">
        <v>368</v>
      </c>
      <c r="O646" s="106">
        <v>2013</v>
      </c>
      <c r="P646" s="153" t="s">
        <v>4370</v>
      </c>
      <c r="Q646" s="123"/>
      <c r="R646" s="123" t="s">
        <v>4371</v>
      </c>
      <c r="S646" s="173" t="str">
        <f>HYPERLINK("mailto:nidt.topica@gmail.com","nidt.topica@gmail.com")</f>
        <v>nidt.topica@gmail.com</v>
      </c>
      <c r="T646" s="54" t="s">
        <v>4372</v>
      </c>
      <c r="U646" s="54" t="s">
        <v>4373</v>
      </c>
      <c r="V646" s="123" t="s">
        <v>4374</v>
      </c>
      <c r="W646" s="123" t="s">
        <v>283</v>
      </c>
      <c r="X646" s="123" t="s">
        <v>4375</v>
      </c>
      <c r="Y646" s="123" t="s">
        <v>865</v>
      </c>
      <c r="Z646" s="54"/>
      <c r="AA646" s="54"/>
      <c r="AB646" s="54">
        <v>1</v>
      </c>
      <c r="AC646" s="54" t="s">
        <v>236</v>
      </c>
      <c r="AD646" s="123" t="s">
        <v>866</v>
      </c>
      <c r="AE646" s="54" t="s">
        <v>867</v>
      </c>
      <c r="AF646" s="54" t="s">
        <v>231</v>
      </c>
      <c r="AG646" s="140">
        <v>41445</v>
      </c>
      <c r="AH646" s="65">
        <f t="shared" si="69"/>
        <v>6</v>
      </c>
      <c r="AI646" s="65"/>
      <c r="AJ646" s="140"/>
      <c r="AK646" s="65" t="str">
        <f t="shared" si="70"/>
        <v/>
      </c>
      <c r="AL646" s="54" t="s">
        <v>66</v>
      </c>
      <c r="AM646" s="54"/>
      <c r="AN646" s="138">
        <v>41548</v>
      </c>
      <c r="AO646" s="190"/>
      <c r="AP646" s="65" t="str">
        <f t="shared" si="68"/>
        <v/>
      </c>
      <c r="AQ646" s="123"/>
      <c r="AR646" s="23"/>
      <c r="AS646" s="54" t="s">
        <v>67</v>
      </c>
      <c r="AT646" s="136"/>
      <c r="AU646" s="70">
        <f t="shared" si="67"/>
        <v>4</v>
      </c>
      <c r="AV646" s="70" t="s">
        <v>68</v>
      </c>
    </row>
    <row r="647" spans="1:48" ht="12.75" hidden="1" x14ac:dyDescent="0.2">
      <c r="A647" s="86">
        <f t="shared" si="64"/>
        <v>20624</v>
      </c>
      <c r="B647" s="3" t="s">
        <v>4376</v>
      </c>
      <c r="C647" s="3" t="s">
        <v>200</v>
      </c>
      <c r="D647" s="86"/>
      <c r="E647" s="36" t="s">
        <v>94</v>
      </c>
      <c r="F647" s="48">
        <v>32683</v>
      </c>
      <c r="G647" s="36"/>
      <c r="H647" s="81" t="s">
        <v>1829</v>
      </c>
      <c r="I647" s="36" t="s">
        <v>4377</v>
      </c>
      <c r="J647" s="48">
        <v>39504</v>
      </c>
      <c r="K647" s="36" t="s">
        <v>1829</v>
      </c>
      <c r="L647" s="36" t="s">
        <v>123</v>
      </c>
      <c r="M647" s="36" t="s">
        <v>4378</v>
      </c>
      <c r="N647" s="36" t="s">
        <v>2960</v>
      </c>
      <c r="O647" s="101"/>
      <c r="P647" s="159">
        <v>0</v>
      </c>
      <c r="Q647" s="36"/>
      <c r="R647" s="36" t="s">
        <v>4379</v>
      </c>
      <c r="S647" s="36"/>
      <c r="T647" s="81"/>
      <c r="U647" s="81"/>
      <c r="V647" s="36"/>
      <c r="W647" s="36"/>
      <c r="X647" s="36"/>
      <c r="Y647" s="36" t="s">
        <v>3626</v>
      </c>
      <c r="Z647" s="81"/>
      <c r="AA647" s="54"/>
      <c r="AB647" s="81">
        <v>1</v>
      </c>
      <c r="AC647" s="81" t="s">
        <v>236</v>
      </c>
      <c r="AD647" s="36" t="s">
        <v>1183</v>
      </c>
      <c r="AE647" s="81" t="s">
        <v>1184</v>
      </c>
      <c r="AF647" s="81" t="s">
        <v>231</v>
      </c>
      <c r="AG647" s="48">
        <v>41430</v>
      </c>
      <c r="AH647" s="134">
        <f t="shared" si="69"/>
        <v>6</v>
      </c>
      <c r="AI647" s="134"/>
      <c r="AJ647" s="48"/>
      <c r="AK647" s="134" t="str">
        <f t="shared" si="70"/>
        <v/>
      </c>
      <c r="AL647" s="54" t="s">
        <v>82</v>
      </c>
      <c r="AM647" s="54"/>
      <c r="AN647" s="54"/>
      <c r="AO647" s="190">
        <v>41458</v>
      </c>
      <c r="AP647" s="136">
        <f t="shared" si="68"/>
        <v>7</v>
      </c>
      <c r="AQ647" s="123"/>
      <c r="AR647" s="23"/>
      <c r="AS647" s="54" t="s">
        <v>347</v>
      </c>
      <c r="AT647" s="136"/>
      <c r="AU647" s="70">
        <f t="shared" si="67"/>
        <v>6</v>
      </c>
      <c r="AV647" s="70" t="s">
        <v>68</v>
      </c>
    </row>
    <row r="648" spans="1:48" ht="25.5" x14ac:dyDescent="0.2">
      <c r="A648" s="87">
        <f t="shared" si="64"/>
        <v>20625</v>
      </c>
      <c r="B648" s="80" t="s">
        <v>1950</v>
      </c>
      <c r="C648" s="80" t="s">
        <v>191</v>
      </c>
      <c r="D648" s="87"/>
      <c r="E648" s="123" t="s">
        <v>94</v>
      </c>
      <c r="F648" s="140">
        <v>32649</v>
      </c>
      <c r="G648" s="123" t="s">
        <v>4279</v>
      </c>
      <c r="H648" s="54" t="s">
        <v>4277</v>
      </c>
      <c r="I648" s="123" t="s">
        <v>4380</v>
      </c>
      <c r="J648" s="140">
        <v>38758</v>
      </c>
      <c r="K648" s="123" t="s">
        <v>4279</v>
      </c>
      <c r="L648" s="123" t="s">
        <v>123</v>
      </c>
      <c r="M648" s="123" t="s">
        <v>382</v>
      </c>
      <c r="N648" s="123" t="s">
        <v>1582</v>
      </c>
      <c r="O648" s="106">
        <v>2011</v>
      </c>
      <c r="P648" s="153" t="str">
        <f>HYPERLINK("mailto:thuyntm@topica.edu.vn","thuyntm@topica.edu.vn")</f>
        <v>thuyntm@topica.edu.vn</v>
      </c>
      <c r="Q648" s="123"/>
      <c r="R648" s="123" t="s">
        <v>4381</v>
      </c>
      <c r="S648" s="123"/>
      <c r="T648" s="54" t="s">
        <v>4382</v>
      </c>
      <c r="U648" s="54" t="s">
        <v>4383</v>
      </c>
      <c r="V648" s="123"/>
      <c r="W648" s="123"/>
      <c r="X648" s="123"/>
      <c r="Y648" s="123" t="s">
        <v>972</v>
      </c>
      <c r="Z648" s="54"/>
      <c r="AA648" s="54"/>
      <c r="AB648" s="54">
        <v>1</v>
      </c>
      <c r="AC648" s="54" t="s">
        <v>236</v>
      </c>
      <c r="AD648" s="123" t="s">
        <v>404</v>
      </c>
      <c r="AE648" s="54" t="s">
        <v>700</v>
      </c>
      <c r="AF648" s="54" t="s">
        <v>65</v>
      </c>
      <c r="AG648" s="140">
        <v>41479</v>
      </c>
      <c r="AH648" s="65">
        <f t="shared" si="69"/>
        <v>7</v>
      </c>
      <c r="AI648" s="65"/>
      <c r="AJ648" s="140">
        <v>41541</v>
      </c>
      <c r="AK648" s="65">
        <f t="shared" si="70"/>
        <v>9</v>
      </c>
      <c r="AL648" s="54" t="s">
        <v>66</v>
      </c>
      <c r="AM648" s="54"/>
      <c r="AN648" s="54"/>
      <c r="AO648" s="190"/>
      <c r="AP648" s="136" t="str">
        <f t="shared" si="68"/>
        <v/>
      </c>
      <c r="AQ648" s="123"/>
      <c r="AR648" s="23"/>
      <c r="AS648" s="54" t="s">
        <v>347</v>
      </c>
      <c r="AT648" s="136"/>
      <c r="AU648" s="70">
        <f t="shared" si="67"/>
        <v>5</v>
      </c>
      <c r="AV648" s="70" t="s">
        <v>68</v>
      </c>
    </row>
    <row r="649" spans="1:48" ht="38.25" x14ac:dyDescent="0.2">
      <c r="A649" s="87">
        <f t="shared" si="64"/>
        <v>20626</v>
      </c>
      <c r="B649" s="80" t="s">
        <v>4384</v>
      </c>
      <c r="C649" s="80" t="s">
        <v>618</v>
      </c>
      <c r="D649" s="87"/>
      <c r="E649" s="123" t="s">
        <v>94</v>
      </c>
      <c r="F649" s="140">
        <v>30130</v>
      </c>
      <c r="G649" s="123" t="s">
        <v>52</v>
      </c>
      <c r="H649" s="54" t="s">
        <v>52</v>
      </c>
      <c r="I649" s="123" t="s">
        <v>4385</v>
      </c>
      <c r="J649" s="140">
        <v>40897</v>
      </c>
      <c r="K649" s="123" t="s">
        <v>52</v>
      </c>
      <c r="L649" s="123" t="s">
        <v>123</v>
      </c>
      <c r="M649" s="123" t="s">
        <v>4386</v>
      </c>
      <c r="N649" s="123" t="s">
        <v>3541</v>
      </c>
      <c r="O649" s="106">
        <v>2008</v>
      </c>
      <c r="P649" s="153" t="str">
        <f>HYPERLINK("mailto:huongdtl@topica.edu.vn","huongdtl@topica.edu.vn")</f>
        <v>huongdtl@topica.edu.vn</v>
      </c>
      <c r="Q649" s="123"/>
      <c r="R649" s="123" t="s">
        <v>4387</v>
      </c>
      <c r="S649" s="123"/>
      <c r="T649" s="54" t="s">
        <v>4388</v>
      </c>
      <c r="U649" s="54" t="s">
        <v>4388</v>
      </c>
      <c r="V649" s="123" t="s">
        <v>4389</v>
      </c>
      <c r="W649" s="123" t="s">
        <v>283</v>
      </c>
      <c r="X649" s="123" t="s">
        <v>4390</v>
      </c>
      <c r="Y649" s="123" t="s">
        <v>972</v>
      </c>
      <c r="Z649" s="54"/>
      <c r="AA649" s="54"/>
      <c r="AB649" s="54">
        <v>1</v>
      </c>
      <c r="AC649" s="54" t="s">
        <v>236</v>
      </c>
      <c r="AD649" s="123" t="s">
        <v>512</v>
      </c>
      <c r="AE649" s="54" t="s">
        <v>973</v>
      </c>
      <c r="AF649" s="54" t="s">
        <v>65</v>
      </c>
      <c r="AG649" s="140">
        <v>41484</v>
      </c>
      <c r="AH649" s="65">
        <f t="shared" si="69"/>
        <v>7</v>
      </c>
      <c r="AI649" s="65"/>
      <c r="AJ649" s="140">
        <v>41515</v>
      </c>
      <c r="AK649" s="65">
        <f t="shared" si="70"/>
        <v>8</v>
      </c>
      <c r="AL649" s="54" t="s">
        <v>66</v>
      </c>
      <c r="AM649" s="54"/>
      <c r="AN649" s="54"/>
      <c r="AO649" s="190"/>
      <c r="AP649" s="65" t="str">
        <f t="shared" si="68"/>
        <v/>
      </c>
      <c r="AQ649" s="123"/>
      <c r="AR649" s="23"/>
      <c r="AS649" s="54" t="s">
        <v>347</v>
      </c>
      <c r="AT649" s="136"/>
      <c r="AU649" s="70">
        <f t="shared" si="67"/>
        <v>6</v>
      </c>
      <c r="AV649" s="70" t="s">
        <v>68</v>
      </c>
    </row>
    <row r="650" spans="1:48" ht="38.25" x14ac:dyDescent="0.2">
      <c r="A650" s="87">
        <f t="shared" si="64"/>
        <v>20627</v>
      </c>
      <c r="B650" s="80" t="s">
        <v>4391</v>
      </c>
      <c r="C650" s="80" t="s">
        <v>643</v>
      </c>
      <c r="D650" s="87"/>
      <c r="E650" s="123" t="s">
        <v>94</v>
      </c>
      <c r="F650" s="140">
        <v>30756</v>
      </c>
      <c r="G650" s="123" t="s">
        <v>120</v>
      </c>
      <c r="H650" s="123" t="s">
        <v>120</v>
      </c>
      <c r="I650" s="123" t="s">
        <v>4392</v>
      </c>
      <c r="J650" s="140">
        <v>41179</v>
      </c>
      <c r="K650" s="123" t="s">
        <v>52</v>
      </c>
      <c r="L650" s="123" t="s">
        <v>123</v>
      </c>
      <c r="M650" s="123" t="s">
        <v>448</v>
      </c>
      <c r="N650" s="123"/>
      <c r="O650" s="106"/>
      <c r="P650" s="153" t="str">
        <f>HYPERLINK("mailto:vanbth@topica.edu.vn","vanbth@topica.edu.vn")</f>
        <v>vanbth@topica.edu.vn</v>
      </c>
      <c r="Q650" s="123" t="s">
        <v>4393</v>
      </c>
      <c r="R650" s="123" t="s">
        <v>4394</v>
      </c>
      <c r="S650" s="173" t="str">
        <f>HYPERLINK("mailto:buihongvan2010@gmail.com","buihongvan2010@gmail.com")</f>
        <v>buihongvan2010@gmail.com</v>
      </c>
      <c r="T650" s="54" t="s">
        <v>4395</v>
      </c>
      <c r="U650" s="54" t="s">
        <v>4395</v>
      </c>
      <c r="V650" s="123" t="s">
        <v>4396</v>
      </c>
      <c r="W650" s="123" t="s">
        <v>2989</v>
      </c>
      <c r="X650" s="123" t="s">
        <v>4397</v>
      </c>
      <c r="Y650" s="123" t="s">
        <v>972</v>
      </c>
      <c r="Z650" s="54"/>
      <c r="AA650" s="54"/>
      <c r="AB650" s="54">
        <v>1</v>
      </c>
      <c r="AC650" s="54" t="s">
        <v>236</v>
      </c>
      <c r="AD650" s="123" t="s">
        <v>512</v>
      </c>
      <c r="AE650" s="54" t="s">
        <v>973</v>
      </c>
      <c r="AF650" s="54" t="s">
        <v>65</v>
      </c>
      <c r="AG650" s="140">
        <v>41484</v>
      </c>
      <c r="AH650" s="65">
        <f t="shared" si="69"/>
        <v>7</v>
      </c>
      <c r="AI650" s="65"/>
      <c r="AJ650" s="140">
        <v>41533</v>
      </c>
      <c r="AK650" s="65">
        <f t="shared" si="70"/>
        <v>9</v>
      </c>
      <c r="AL650" s="54" t="s">
        <v>66</v>
      </c>
      <c r="AM650" s="54"/>
      <c r="AN650" s="54"/>
      <c r="AO650" s="190"/>
      <c r="AP650" s="65" t="str">
        <f t="shared" si="68"/>
        <v/>
      </c>
      <c r="AQ650" s="123"/>
      <c r="AR650" s="23"/>
      <c r="AS650" s="54" t="s">
        <v>347</v>
      </c>
      <c r="AT650" s="136"/>
      <c r="AU650" s="70">
        <f t="shared" si="67"/>
        <v>3</v>
      </c>
      <c r="AV650" s="70" t="s">
        <v>68</v>
      </c>
    </row>
    <row r="651" spans="1:48" ht="12.75" hidden="1" x14ac:dyDescent="0.2">
      <c r="A651" s="86">
        <f t="shared" si="64"/>
        <v>20628</v>
      </c>
      <c r="B651" s="3" t="s">
        <v>4398</v>
      </c>
      <c r="C651" s="3" t="s">
        <v>1736</v>
      </c>
      <c r="D651" s="86"/>
      <c r="E651" s="36" t="s">
        <v>51</v>
      </c>
      <c r="F651" s="48"/>
      <c r="G651" s="36"/>
      <c r="H651" s="81"/>
      <c r="I651" s="36"/>
      <c r="J651" s="48"/>
      <c r="K651" s="36"/>
      <c r="L651" s="36"/>
      <c r="M651" s="36"/>
      <c r="N651" s="36"/>
      <c r="O651" s="101"/>
      <c r="P651" s="159" t="str">
        <f>HYPERLINK("mailto:thangdv@topica.edu.vn","thangdv@topica.edu.vn")</f>
        <v>thangdv@topica.edu.vn</v>
      </c>
      <c r="Q651" s="36"/>
      <c r="R651" s="36"/>
      <c r="S651" s="36"/>
      <c r="T651" s="81"/>
      <c r="U651" s="81"/>
      <c r="V651" s="36"/>
      <c r="W651" s="36"/>
      <c r="X651" s="36"/>
      <c r="Y651" s="36" t="s">
        <v>284</v>
      </c>
      <c r="Z651" s="81"/>
      <c r="AA651" s="54"/>
      <c r="AB651" s="81">
        <v>1</v>
      </c>
      <c r="AC651" s="81" t="s">
        <v>236</v>
      </c>
      <c r="AD651" s="36" t="s">
        <v>404</v>
      </c>
      <c r="AE651" s="81" t="s">
        <v>1612</v>
      </c>
      <c r="AF651" s="81" t="s">
        <v>65</v>
      </c>
      <c r="AG651" s="48">
        <v>41484</v>
      </c>
      <c r="AH651" s="134">
        <f t="shared" si="69"/>
        <v>7</v>
      </c>
      <c r="AI651" s="134"/>
      <c r="AJ651" s="48"/>
      <c r="AK651" s="134" t="str">
        <f t="shared" si="70"/>
        <v/>
      </c>
      <c r="AL651" s="54" t="s">
        <v>82</v>
      </c>
      <c r="AM651" s="54"/>
      <c r="AN651" s="54"/>
      <c r="AO651" s="190">
        <v>41487</v>
      </c>
      <c r="AP651" s="136">
        <f t="shared" si="68"/>
        <v>8</v>
      </c>
      <c r="AQ651" s="123"/>
      <c r="AR651" s="23"/>
      <c r="AS651" s="54"/>
      <c r="AT651" s="136"/>
      <c r="AU651" s="70" t="str">
        <f t="shared" si="67"/>
        <v/>
      </c>
      <c r="AV651" s="70" t="s">
        <v>68</v>
      </c>
    </row>
    <row r="652" spans="1:48" ht="25.5" hidden="1" x14ac:dyDescent="0.2">
      <c r="A652" s="87">
        <f t="shared" si="64"/>
        <v>20629</v>
      </c>
      <c r="B652" s="80" t="s">
        <v>4399</v>
      </c>
      <c r="C652" s="80" t="s">
        <v>160</v>
      </c>
      <c r="D652" s="87"/>
      <c r="E652" s="123" t="s">
        <v>94</v>
      </c>
      <c r="F652" s="140">
        <v>33033</v>
      </c>
      <c r="G652" s="123" t="s">
        <v>365</v>
      </c>
      <c r="H652" s="54" t="s">
        <v>365</v>
      </c>
      <c r="I652" s="123" t="s">
        <v>4400</v>
      </c>
      <c r="J652" s="140">
        <v>39611</v>
      </c>
      <c r="K652" s="123" t="s">
        <v>52</v>
      </c>
      <c r="L652" s="123" t="s">
        <v>123</v>
      </c>
      <c r="M652" s="123" t="s">
        <v>4401</v>
      </c>
      <c r="N652" s="123" t="s">
        <v>458</v>
      </c>
      <c r="O652" s="106"/>
      <c r="P652" s="153" t="str">
        <f>HYPERLINK("mailto:anhpn@topica.edu.vn","anhpn@topica.edu.vn")</f>
        <v>anhpn@topica.edu.vn</v>
      </c>
      <c r="Q652" s="123"/>
      <c r="R652" s="123" t="s">
        <v>4402</v>
      </c>
      <c r="S652" s="123"/>
      <c r="T652" s="54" t="s">
        <v>4403</v>
      </c>
      <c r="U652" s="54" t="s">
        <v>4404</v>
      </c>
      <c r="V652" s="123"/>
      <c r="W652" s="123"/>
      <c r="X652" s="123"/>
      <c r="Y652" s="123" t="s">
        <v>312</v>
      </c>
      <c r="Z652" s="54"/>
      <c r="AA652" s="54"/>
      <c r="AB652" s="54">
        <v>1</v>
      </c>
      <c r="AC652" s="54" t="s">
        <v>236</v>
      </c>
      <c r="AD652" s="123" t="s">
        <v>917</v>
      </c>
      <c r="AE652" s="54"/>
      <c r="AF652" s="54" t="s">
        <v>65</v>
      </c>
      <c r="AG652" s="140"/>
      <c r="AH652" s="65" t="str">
        <f t="shared" si="69"/>
        <v/>
      </c>
      <c r="AI652" s="65"/>
      <c r="AJ652" s="140">
        <v>41487</v>
      </c>
      <c r="AK652" s="65">
        <f t="shared" si="70"/>
        <v>8</v>
      </c>
      <c r="AL652" s="54" t="s">
        <v>66</v>
      </c>
      <c r="AM652" s="54"/>
      <c r="AN652" s="54"/>
      <c r="AO652" s="190"/>
      <c r="AP652" s="136" t="str">
        <f t="shared" si="68"/>
        <v/>
      </c>
      <c r="AQ652" s="123"/>
      <c r="AR652" s="23"/>
      <c r="AS652" s="54" t="s">
        <v>107</v>
      </c>
      <c r="AT652" s="136"/>
      <c r="AU652" s="70">
        <f t="shared" si="67"/>
        <v>6</v>
      </c>
      <c r="AV652" s="70" t="s">
        <v>68</v>
      </c>
    </row>
    <row r="653" spans="1:48" ht="25.5" hidden="1" x14ac:dyDescent="0.2">
      <c r="A653" s="87">
        <f t="shared" si="64"/>
        <v>20630</v>
      </c>
      <c r="B653" s="80" t="s">
        <v>4405</v>
      </c>
      <c r="C653" s="80" t="s">
        <v>561</v>
      </c>
      <c r="D653" s="87"/>
      <c r="E653" s="123" t="s">
        <v>94</v>
      </c>
      <c r="F653" s="140">
        <v>32445</v>
      </c>
      <c r="G653" s="123"/>
      <c r="H653" s="54" t="s">
        <v>397</v>
      </c>
      <c r="I653" s="123" t="s">
        <v>4406</v>
      </c>
      <c r="J653" s="140">
        <v>39779</v>
      </c>
      <c r="K653" s="123" t="s">
        <v>397</v>
      </c>
      <c r="L653" s="123" t="s">
        <v>123</v>
      </c>
      <c r="M653" s="123" t="s">
        <v>578</v>
      </c>
      <c r="N653" s="123" t="s">
        <v>2548</v>
      </c>
      <c r="O653" s="106"/>
      <c r="P653" s="153" t="str">
        <f>HYPERLINK("mailto:hongnt@topica.edu.vn","hongnt@topica.edu.vn")</f>
        <v>hongnt@topica.edu.vn</v>
      </c>
      <c r="Q653" s="123"/>
      <c r="R653" s="123" t="s">
        <v>4407</v>
      </c>
      <c r="S653" s="173" t="str">
        <f>HYPERLINK("mailto:nghiemhong1008@gmail.com","nghiemhong1008@gmail.com")</f>
        <v>nghiemhong1008@gmail.com</v>
      </c>
      <c r="T653" s="54" t="s">
        <v>4408</v>
      </c>
      <c r="U653" s="54" t="s">
        <v>4408</v>
      </c>
      <c r="V653" s="123" t="s">
        <v>4409</v>
      </c>
      <c r="W653" s="123" t="s">
        <v>2989</v>
      </c>
      <c r="X653" s="123" t="s">
        <v>4410</v>
      </c>
      <c r="Y653" s="123" t="s">
        <v>2281</v>
      </c>
      <c r="Z653" s="54"/>
      <c r="AA653" s="54"/>
      <c r="AB653" s="54">
        <v>1</v>
      </c>
      <c r="AC653" s="54" t="s">
        <v>236</v>
      </c>
      <c r="AD653" s="123" t="s">
        <v>512</v>
      </c>
      <c r="AE653" s="54" t="s">
        <v>1650</v>
      </c>
      <c r="AF653" s="54" t="s">
        <v>65</v>
      </c>
      <c r="AG653" s="140">
        <v>41491</v>
      </c>
      <c r="AH653" s="65">
        <f t="shared" si="69"/>
        <v>8</v>
      </c>
      <c r="AI653" s="65"/>
      <c r="AJ653" s="140">
        <v>41552</v>
      </c>
      <c r="AK653" s="65">
        <f t="shared" si="70"/>
        <v>10</v>
      </c>
      <c r="AL653" s="54" t="s">
        <v>66</v>
      </c>
      <c r="AM653" s="54"/>
      <c r="AN653" s="54"/>
      <c r="AO653" s="190"/>
      <c r="AP653" s="136" t="str">
        <f t="shared" si="68"/>
        <v/>
      </c>
      <c r="AQ653" s="123"/>
      <c r="AR653" s="23"/>
      <c r="AS653" s="54" t="s">
        <v>107</v>
      </c>
      <c r="AT653" s="136"/>
      <c r="AU653" s="70">
        <f t="shared" si="67"/>
        <v>10</v>
      </c>
      <c r="AV653" s="70" t="s">
        <v>68</v>
      </c>
    </row>
    <row r="654" spans="1:48" ht="25.5" hidden="1" x14ac:dyDescent="0.2">
      <c r="A654" s="87">
        <f t="shared" si="64"/>
        <v>20631</v>
      </c>
      <c r="B654" s="80" t="s">
        <v>622</v>
      </c>
      <c r="C654" s="80" t="s">
        <v>1736</v>
      </c>
      <c r="D654" s="87"/>
      <c r="E654" s="123" t="s">
        <v>51</v>
      </c>
      <c r="F654" s="140">
        <v>33423</v>
      </c>
      <c r="G654" s="123" t="s">
        <v>120</v>
      </c>
      <c r="H654" s="54" t="s">
        <v>120</v>
      </c>
      <c r="I654" s="123" t="s">
        <v>4411</v>
      </c>
      <c r="J654" s="140">
        <v>39212</v>
      </c>
      <c r="K654" s="123" t="s">
        <v>120</v>
      </c>
      <c r="L654" s="123" t="s">
        <v>123</v>
      </c>
      <c r="M654" s="123" t="s">
        <v>4412</v>
      </c>
      <c r="N654" s="123" t="s">
        <v>368</v>
      </c>
      <c r="O654" s="106">
        <v>2013</v>
      </c>
      <c r="P654" s="153" t="str">
        <f>HYPERLINK("mailto:thangnd@topica.edu.vn","thangnd@topica.edu.vn")</f>
        <v>thangnd@topica.edu.vn</v>
      </c>
      <c r="Q654" s="123"/>
      <c r="R654" s="123" t="s">
        <v>4413</v>
      </c>
      <c r="S654" s="173" t="str">
        <f>HYPERLINK("mailto:nguyenducthang.tp@gmail.com","nguyenducthang.tp@gmail.com")</f>
        <v>nguyenducthang.tp@gmail.com</v>
      </c>
      <c r="T654" s="54" t="s">
        <v>4414</v>
      </c>
      <c r="U654" s="54" t="s">
        <v>4415</v>
      </c>
      <c r="V654" s="123" t="s">
        <v>4416</v>
      </c>
      <c r="W654" s="123" t="s">
        <v>4165</v>
      </c>
      <c r="X654" s="123" t="s">
        <v>4417</v>
      </c>
      <c r="Y654" s="123" t="s">
        <v>2281</v>
      </c>
      <c r="Z654" s="54"/>
      <c r="AA654" s="54"/>
      <c r="AB654" s="54">
        <v>1</v>
      </c>
      <c r="AC654" s="54" t="s">
        <v>236</v>
      </c>
      <c r="AD654" s="123" t="s">
        <v>404</v>
      </c>
      <c r="AE654" s="109" t="s">
        <v>1612</v>
      </c>
      <c r="AF654" s="54" t="s">
        <v>65</v>
      </c>
      <c r="AG654" s="140">
        <v>41491</v>
      </c>
      <c r="AH654" s="65">
        <f t="shared" si="69"/>
        <v>8</v>
      </c>
      <c r="AI654" s="65"/>
      <c r="AJ654" s="140">
        <v>41552</v>
      </c>
      <c r="AK654" s="65">
        <f t="shared" si="70"/>
        <v>10</v>
      </c>
      <c r="AL654" s="54" t="s">
        <v>66</v>
      </c>
      <c r="AM654" s="54"/>
      <c r="AN654" s="54"/>
      <c r="AO654" s="190"/>
      <c r="AP654" s="136" t="str">
        <f t="shared" si="68"/>
        <v/>
      </c>
      <c r="AQ654" s="123"/>
      <c r="AR654" s="23"/>
      <c r="AS654" s="54" t="s">
        <v>107</v>
      </c>
      <c r="AT654" s="184"/>
      <c r="AU654" s="70">
        <f t="shared" si="67"/>
        <v>7</v>
      </c>
      <c r="AV654" s="70" t="s">
        <v>68</v>
      </c>
    </row>
    <row r="655" spans="1:48" ht="38.25" hidden="1" x14ac:dyDescent="0.2">
      <c r="A655" s="87">
        <f t="shared" si="64"/>
        <v>20632</v>
      </c>
      <c r="B655" s="80" t="s">
        <v>4418</v>
      </c>
      <c r="C655" s="80" t="s">
        <v>4419</v>
      </c>
      <c r="D655" s="87"/>
      <c r="E655" s="123" t="s">
        <v>51</v>
      </c>
      <c r="F655" s="140">
        <v>29567</v>
      </c>
      <c r="G655" s="123" t="s">
        <v>4349</v>
      </c>
      <c r="H655" s="54" t="s">
        <v>1255</v>
      </c>
      <c r="I655" s="123" t="s">
        <v>4420</v>
      </c>
      <c r="J655" s="140">
        <v>38636</v>
      </c>
      <c r="K655" s="123" t="s">
        <v>1105</v>
      </c>
      <c r="L655" s="123" t="s">
        <v>123</v>
      </c>
      <c r="M655" s="123" t="s">
        <v>3578</v>
      </c>
      <c r="N655" s="123" t="s">
        <v>4421</v>
      </c>
      <c r="O655" s="106">
        <v>2005</v>
      </c>
      <c r="P655" s="54" t="s">
        <v>4422</v>
      </c>
      <c r="Q655" s="123" t="s">
        <v>4423</v>
      </c>
      <c r="R655" s="123" t="s">
        <v>4424</v>
      </c>
      <c r="S655" s="123"/>
      <c r="T655" s="54" t="s">
        <v>4425</v>
      </c>
      <c r="U655" s="54" t="s">
        <v>4425</v>
      </c>
      <c r="V655" s="123"/>
      <c r="W655" s="123"/>
      <c r="X655" s="123"/>
      <c r="Y655" s="123" t="s">
        <v>180</v>
      </c>
      <c r="Z655" s="54"/>
      <c r="AA655" s="54"/>
      <c r="AB655" s="54">
        <v>4</v>
      </c>
      <c r="AC655" s="54" t="s">
        <v>63</v>
      </c>
      <c r="AD655" s="123" t="s">
        <v>1145</v>
      </c>
      <c r="AE655" s="109"/>
      <c r="AF655" s="54" t="s">
        <v>231</v>
      </c>
      <c r="AG655" s="140">
        <v>41491</v>
      </c>
      <c r="AH655" s="65">
        <f t="shared" si="69"/>
        <v>8</v>
      </c>
      <c r="AI655" s="65"/>
      <c r="AJ655" s="140">
        <v>41552</v>
      </c>
      <c r="AK655" s="65">
        <f t="shared" si="70"/>
        <v>10</v>
      </c>
      <c r="AL655" s="54" t="s">
        <v>66</v>
      </c>
      <c r="AM655" s="54"/>
      <c r="AN655" s="54"/>
      <c r="AO655" s="190"/>
      <c r="AP655" s="136" t="str">
        <f t="shared" si="68"/>
        <v/>
      </c>
      <c r="AQ655" s="123"/>
      <c r="AR655" s="23"/>
      <c r="AS655" s="54" t="s">
        <v>107</v>
      </c>
      <c r="AT655" s="158"/>
      <c r="AU655" s="70">
        <f t="shared" si="67"/>
        <v>12</v>
      </c>
      <c r="AV655" s="70" t="s">
        <v>68</v>
      </c>
    </row>
    <row r="656" spans="1:48" ht="38.25" hidden="1" x14ac:dyDescent="0.2">
      <c r="A656" s="87">
        <f t="shared" si="64"/>
        <v>20633</v>
      </c>
      <c r="B656" s="80" t="s">
        <v>4426</v>
      </c>
      <c r="C656" s="80" t="s">
        <v>160</v>
      </c>
      <c r="D656" s="87"/>
      <c r="E656" s="123" t="s">
        <v>94</v>
      </c>
      <c r="F656" s="140">
        <v>29096</v>
      </c>
      <c r="G656" s="123" t="s">
        <v>52</v>
      </c>
      <c r="H656" s="54" t="s">
        <v>824</v>
      </c>
      <c r="I656" s="123" t="s">
        <v>4427</v>
      </c>
      <c r="J656" s="140">
        <v>40988</v>
      </c>
      <c r="K656" s="123" t="s">
        <v>52</v>
      </c>
      <c r="L656" s="123" t="s">
        <v>123</v>
      </c>
      <c r="M656" s="123" t="s">
        <v>4428</v>
      </c>
      <c r="N656" s="123" t="s">
        <v>4429</v>
      </c>
      <c r="O656" s="106">
        <v>2006</v>
      </c>
      <c r="P656" s="153" t="str">
        <f>HYPERLINK("mailto:anhbh@topica.edu.vn","anhbh@topica.edu.vn")</f>
        <v>anhbh@topica.edu.vn</v>
      </c>
      <c r="Q656" s="123"/>
      <c r="R656" s="123" t="s">
        <v>4430</v>
      </c>
      <c r="S656" s="173" t="str">
        <f>HYPERLINK("mailto:anhbh@hotmail.com","anhbh@hotmail.com")</f>
        <v>anhbh@hotmail.com</v>
      </c>
      <c r="T656" s="54" t="s">
        <v>4431</v>
      </c>
      <c r="U656" s="54" t="s">
        <v>4432</v>
      </c>
      <c r="V656" s="123" t="s">
        <v>4433</v>
      </c>
      <c r="W656" s="123" t="s">
        <v>4165</v>
      </c>
      <c r="X656" s="123" t="s">
        <v>4434</v>
      </c>
      <c r="Y656" s="123" t="s">
        <v>374</v>
      </c>
      <c r="Z656" s="54"/>
      <c r="AA656" s="54"/>
      <c r="AB656" s="54">
        <v>3</v>
      </c>
      <c r="AC656" s="54" t="s">
        <v>63</v>
      </c>
      <c r="AD656" s="123" t="s">
        <v>866</v>
      </c>
      <c r="AE656" s="109" t="s">
        <v>2373</v>
      </c>
      <c r="AF656" s="54" t="s">
        <v>231</v>
      </c>
      <c r="AG656" s="140">
        <v>41487</v>
      </c>
      <c r="AH656" s="65">
        <f t="shared" si="69"/>
        <v>8</v>
      </c>
      <c r="AI656" s="65"/>
      <c r="AJ656" s="140">
        <v>41552</v>
      </c>
      <c r="AK656" s="65">
        <f t="shared" si="70"/>
        <v>10</v>
      </c>
      <c r="AL656" s="54" t="s">
        <v>66</v>
      </c>
      <c r="AM656" s="54"/>
      <c r="AN656" s="54"/>
      <c r="AO656" s="190"/>
      <c r="AP656" s="136" t="str">
        <f t="shared" si="68"/>
        <v/>
      </c>
      <c r="AQ656" s="123"/>
      <c r="AR656" s="23"/>
      <c r="AS656" s="54" t="s">
        <v>347</v>
      </c>
      <c r="AT656" s="158"/>
      <c r="AU656" s="70">
        <f t="shared" si="67"/>
        <v>8</v>
      </c>
      <c r="AV656" s="70" t="s">
        <v>68</v>
      </c>
    </row>
    <row r="657" spans="1:48" ht="25.5" hidden="1" x14ac:dyDescent="0.2">
      <c r="A657" s="87">
        <f t="shared" si="64"/>
        <v>20634</v>
      </c>
      <c r="B657" s="80" t="s">
        <v>1506</v>
      </c>
      <c r="C657" s="80" t="s">
        <v>1202</v>
      </c>
      <c r="D657" s="87"/>
      <c r="E657" s="123" t="s">
        <v>94</v>
      </c>
      <c r="F657" s="140">
        <v>31432</v>
      </c>
      <c r="G657" s="123" t="s">
        <v>303</v>
      </c>
      <c r="H657" s="54" t="s">
        <v>303</v>
      </c>
      <c r="I657" s="123" t="s">
        <v>4435</v>
      </c>
      <c r="J657" s="140">
        <v>36658</v>
      </c>
      <c r="K657" s="123" t="s">
        <v>303</v>
      </c>
      <c r="L657" s="123" t="s">
        <v>123</v>
      </c>
      <c r="M657" s="123" t="s">
        <v>578</v>
      </c>
      <c r="N657" s="123" t="s">
        <v>4436</v>
      </c>
      <c r="O657" s="106">
        <v>2009</v>
      </c>
      <c r="P657" s="153" t="str">
        <f>HYPERLINK("mailto:thoavt@topica.edu.vn","thoavt@topica.edu.vn")</f>
        <v>thoavt@topica.edu.vn</v>
      </c>
      <c r="Q657" s="123"/>
      <c r="R657" s="123" t="s">
        <v>4437</v>
      </c>
      <c r="S657" s="173"/>
      <c r="T657" s="54" t="s">
        <v>4438</v>
      </c>
      <c r="U657" s="54" t="s">
        <v>4439</v>
      </c>
      <c r="V657" s="123" t="s">
        <v>4440</v>
      </c>
      <c r="W657" s="123" t="s">
        <v>283</v>
      </c>
      <c r="X657" s="123" t="s">
        <v>4437</v>
      </c>
      <c r="Y657" s="123" t="s">
        <v>2281</v>
      </c>
      <c r="Z657" s="54"/>
      <c r="AA657" s="54"/>
      <c r="AB657" s="54">
        <v>1</v>
      </c>
      <c r="AC657" s="54" t="s">
        <v>236</v>
      </c>
      <c r="AD657" s="123" t="s">
        <v>512</v>
      </c>
      <c r="AE657" s="109" t="s">
        <v>1650</v>
      </c>
      <c r="AF657" s="54" t="s">
        <v>65</v>
      </c>
      <c r="AG657" s="140">
        <v>41505</v>
      </c>
      <c r="AH657" s="65">
        <f t="shared" si="69"/>
        <v>8</v>
      </c>
      <c r="AI657" s="65"/>
      <c r="AJ657" s="140">
        <v>41536</v>
      </c>
      <c r="AK657" s="65">
        <f t="shared" si="70"/>
        <v>9</v>
      </c>
      <c r="AL657" s="54" t="s">
        <v>66</v>
      </c>
      <c r="AM657" s="54"/>
      <c r="AN657" s="54"/>
      <c r="AO657" s="190"/>
      <c r="AP657" s="136" t="str">
        <f t="shared" si="68"/>
        <v/>
      </c>
      <c r="AQ657" s="123"/>
      <c r="AR657" s="23"/>
      <c r="AS657" s="54" t="s">
        <v>107</v>
      </c>
      <c r="AT657" s="158"/>
      <c r="AU657" s="70">
        <f t="shared" si="67"/>
        <v>1</v>
      </c>
      <c r="AV657" s="70" t="s">
        <v>68</v>
      </c>
    </row>
    <row r="658" spans="1:48" ht="25.5" hidden="1" x14ac:dyDescent="0.2">
      <c r="A658" s="87">
        <f t="shared" si="64"/>
        <v>20635</v>
      </c>
      <c r="B658" s="80" t="s">
        <v>4441</v>
      </c>
      <c r="C658" s="80" t="s">
        <v>4022</v>
      </c>
      <c r="D658" s="87"/>
      <c r="E658" s="123" t="s">
        <v>51</v>
      </c>
      <c r="F658" s="140">
        <v>33108</v>
      </c>
      <c r="G658" s="123" t="s">
        <v>1614</v>
      </c>
      <c r="H658" s="54" t="s">
        <v>303</v>
      </c>
      <c r="I658" s="123" t="s">
        <v>4442</v>
      </c>
      <c r="J658" s="140">
        <v>38548</v>
      </c>
      <c r="K658" s="123" t="s">
        <v>4443</v>
      </c>
      <c r="L658" s="123" t="s">
        <v>123</v>
      </c>
      <c r="M658" s="123" t="s">
        <v>4444</v>
      </c>
      <c r="N658" s="123" t="s">
        <v>2524</v>
      </c>
      <c r="O658" s="106">
        <v>2012</v>
      </c>
      <c r="P658" s="54" t="s">
        <v>4445</v>
      </c>
      <c r="Q658" s="123" t="s">
        <v>4446</v>
      </c>
      <c r="R658" s="123" t="s">
        <v>4447</v>
      </c>
      <c r="S658" s="173" t="str">
        <f>HYPERLINK("mailto:lvhoang90@gmail.com","lvhoang90@gmail.com")</f>
        <v>lvhoang90@gmail.com</v>
      </c>
      <c r="T658" s="54" t="s">
        <v>4448</v>
      </c>
      <c r="U658" s="54" t="s">
        <v>4449</v>
      </c>
      <c r="V658" s="123" t="s">
        <v>4450</v>
      </c>
      <c r="W658" s="123" t="s">
        <v>4451</v>
      </c>
      <c r="X658" s="123" t="s">
        <v>4452</v>
      </c>
      <c r="Y658" s="123" t="s">
        <v>312</v>
      </c>
      <c r="Z658" s="54"/>
      <c r="AA658" s="54"/>
      <c r="AB658" s="54">
        <v>1</v>
      </c>
      <c r="AC658" s="54" t="s">
        <v>236</v>
      </c>
      <c r="AD658" s="123" t="s">
        <v>1145</v>
      </c>
      <c r="AE658" s="109" t="s">
        <v>3730</v>
      </c>
      <c r="AF658" s="54" t="s">
        <v>231</v>
      </c>
      <c r="AG658" s="140">
        <v>41484</v>
      </c>
      <c r="AH658" s="65">
        <f t="shared" si="69"/>
        <v>7</v>
      </c>
      <c r="AI658" s="65"/>
      <c r="AJ658" s="140">
        <v>41546</v>
      </c>
      <c r="AK658" s="65">
        <f t="shared" si="70"/>
        <v>9</v>
      </c>
      <c r="AL658" s="54" t="s">
        <v>66</v>
      </c>
      <c r="AM658" s="54"/>
      <c r="AN658" s="54"/>
      <c r="AO658" s="190"/>
      <c r="AP658" s="136" t="str">
        <f t="shared" si="68"/>
        <v/>
      </c>
      <c r="AQ658" s="123"/>
      <c r="AR658" s="23"/>
      <c r="AS658" s="54" t="s">
        <v>107</v>
      </c>
      <c r="AT658" s="158"/>
      <c r="AU658" s="70">
        <f t="shared" si="67"/>
        <v>8</v>
      </c>
      <c r="AV658" s="70" t="s">
        <v>68</v>
      </c>
    </row>
    <row r="659" spans="1:48" ht="25.5" hidden="1" x14ac:dyDescent="0.2">
      <c r="A659" s="86">
        <f t="shared" si="64"/>
        <v>20636</v>
      </c>
      <c r="B659" s="3" t="s">
        <v>1912</v>
      </c>
      <c r="C659" s="3" t="s">
        <v>477</v>
      </c>
      <c r="D659" s="86"/>
      <c r="E659" s="36" t="s">
        <v>94</v>
      </c>
      <c r="F659" s="48">
        <v>31783</v>
      </c>
      <c r="G659" s="36" t="s">
        <v>2734</v>
      </c>
      <c r="H659" s="81" t="s">
        <v>2735</v>
      </c>
      <c r="I659" s="36" t="s">
        <v>4453</v>
      </c>
      <c r="J659" s="48">
        <v>39052</v>
      </c>
      <c r="K659" s="36" t="s">
        <v>4349</v>
      </c>
      <c r="L659" s="36" t="s">
        <v>123</v>
      </c>
      <c r="M659" s="36" t="s">
        <v>4454</v>
      </c>
      <c r="N659" s="36" t="s">
        <v>3219</v>
      </c>
      <c r="O659" s="101">
        <v>2012</v>
      </c>
      <c r="P659" s="81" t="s">
        <v>4455</v>
      </c>
      <c r="Q659" s="36" t="s">
        <v>4456</v>
      </c>
      <c r="R659" s="36" t="s">
        <v>4457</v>
      </c>
      <c r="S659" s="156" t="str">
        <f>HYPERLINK("mailto:dtmnhat@gmail.com","dtmnhat@gmail.com")</f>
        <v>dtmnhat@gmail.com</v>
      </c>
      <c r="T659" s="81" t="s">
        <v>4458</v>
      </c>
      <c r="U659" s="81" t="s">
        <v>4458</v>
      </c>
      <c r="V659" s="36" t="s">
        <v>4459</v>
      </c>
      <c r="W659" s="36" t="s">
        <v>2989</v>
      </c>
      <c r="X659" s="36" t="s">
        <v>4460</v>
      </c>
      <c r="Y659" s="36" t="s">
        <v>3626</v>
      </c>
      <c r="Z659" s="81"/>
      <c r="AA659" s="54"/>
      <c r="AB659" s="81">
        <v>1</v>
      </c>
      <c r="AC659" s="81" t="s">
        <v>236</v>
      </c>
      <c r="AD659" s="36" t="s">
        <v>1183</v>
      </c>
      <c r="AE659" s="154" t="s">
        <v>1184</v>
      </c>
      <c r="AF659" s="81" t="s">
        <v>231</v>
      </c>
      <c r="AG659" s="48">
        <v>41487</v>
      </c>
      <c r="AH659" s="134">
        <f t="shared" si="69"/>
        <v>8</v>
      </c>
      <c r="AI659" s="134"/>
      <c r="AJ659" s="48">
        <v>41552</v>
      </c>
      <c r="AK659" s="134">
        <f t="shared" si="70"/>
        <v>10</v>
      </c>
      <c r="AL659" s="54" t="s">
        <v>82</v>
      </c>
      <c r="AM659" s="54"/>
      <c r="AN659" s="54"/>
      <c r="AO659" s="190">
        <v>41579</v>
      </c>
      <c r="AP659" s="136">
        <f t="shared" si="68"/>
        <v>11</v>
      </c>
      <c r="AQ659" s="123"/>
      <c r="AR659" s="23"/>
      <c r="AS659" s="54" t="s">
        <v>347</v>
      </c>
      <c r="AT659" s="158"/>
      <c r="AU659" s="70">
        <f t="shared" si="67"/>
        <v>1</v>
      </c>
      <c r="AV659" s="70" t="s">
        <v>68</v>
      </c>
    </row>
    <row r="660" spans="1:48" ht="25.5" x14ac:dyDescent="0.2">
      <c r="A660" s="87">
        <f t="shared" ref="A660:A723" si="71">A659+1</f>
        <v>20637</v>
      </c>
      <c r="B660" s="80" t="s">
        <v>4461</v>
      </c>
      <c r="C660" s="80" t="s">
        <v>4462</v>
      </c>
      <c r="D660" s="87"/>
      <c r="E660" s="123" t="s">
        <v>94</v>
      </c>
      <c r="F660" s="140">
        <v>30983</v>
      </c>
      <c r="G660" s="123" t="s">
        <v>4349</v>
      </c>
      <c r="H660" s="123" t="s">
        <v>4463</v>
      </c>
      <c r="I660" s="123" t="s">
        <v>4464</v>
      </c>
      <c r="J660" s="140">
        <v>37049</v>
      </c>
      <c r="K660" s="123" t="s">
        <v>4465</v>
      </c>
      <c r="L660" s="123" t="s">
        <v>123</v>
      </c>
      <c r="M660" s="65" t="s">
        <v>2246</v>
      </c>
      <c r="N660" s="65" t="s">
        <v>4063</v>
      </c>
      <c r="O660" s="106">
        <v>2010</v>
      </c>
      <c r="P660" s="54" t="s">
        <v>4466</v>
      </c>
      <c r="Q660" s="123" t="s">
        <v>4467</v>
      </c>
      <c r="R660" s="123" t="s">
        <v>4468</v>
      </c>
      <c r="S660" s="173" t="str">
        <f>HYPERLINK("mailto:tranhue28@yahoo.com","tranhue28@yahoo.com")</f>
        <v>tranhue28@yahoo.com</v>
      </c>
      <c r="T660" s="123" t="s">
        <v>4469</v>
      </c>
      <c r="U660" s="123" t="s">
        <v>4470</v>
      </c>
      <c r="V660" s="123" t="s">
        <v>4471</v>
      </c>
      <c r="W660" s="123" t="s">
        <v>160</v>
      </c>
      <c r="X660" s="123" t="s">
        <v>4472</v>
      </c>
      <c r="Y660" s="123" t="s">
        <v>972</v>
      </c>
      <c r="Z660" s="54"/>
      <c r="AA660" s="54"/>
      <c r="AB660" s="54">
        <v>1</v>
      </c>
      <c r="AC660" s="54" t="s">
        <v>236</v>
      </c>
      <c r="AD660" s="123" t="s">
        <v>1183</v>
      </c>
      <c r="AE660" s="109" t="s">
        <v>1184</v>
      </c>
      <c r="AF660" s="54" t="s">
        <v>231</v>
      </c>
      <c r="AG660" s="140">
        <v>41487</v>
      </c>
      <c r="AH660" s="65">
        <f t="shared" si="69"/>
        <v>8</v>
      </c>
      <c r="AI660" s="65"/>
      <c r="AJ660" s="140">
        <v>41552</v>
      </c>
      <c r="AK660" s="65">
        <f t="shared" si="70"/>
        <v>10</v>
      </c>
      <c r="AL660" s="54" t="s">
        <v>66</v>
      </c>
      <c r="AM660" s="54"/>
      <c r="AN660" s="54"/>
      <c r="AO660" s="190"/>
      <c r="AP660" s="136" t="str">
        <f t="shared" si="68"/>
        <v/>
      </c>
      <c r="AQ660" s="123"/>
      <c r="AR660" s="23"/>
      <c r="AS660" s="54" t="s">
        <v>347</v>
      </c>
      <c r="AT660" s="158"/>
      <c r="AU660" s="70">
        <f t="shared" si="67"/>
        <v>10</v>
      </c>
      <c r="AV660" s="70" t="s">
        <v>68</v>
      </c>
    </row>
    <row r="661" spans="1:48" ht="25.5" x14ac:dyDescent="0.2">
      <c r="A661" s="87">
        <f t="shared" si="71"/>
        <v>20638</v>
      </c>
      <c r="B661" s="80" t="s">
        <v>1506</v>
      </c>
      <c r="C661" s="80" t="s">
        <v>535</v>
      </c>
      <c r="D661" s="87"/>
      <c r="E661" s="123" t="s">
        <v>94</v>
      </c>
      <c r="F661" s="140">
        <v>33048</v>
      </c>
      <c r="G661" s="123" t="s">
        <v>4473</v>
      </c>
      <c r="H661" s="123" t="s">
        <v>171</v>
      </c>
      <c r="I661" s="123" t="s">
        <v>4474</v>
      </c>
      <c r="J661" s="140">
        <v>38414</v>
      </c>
      <c r="K661" s="123" t="s">
        <v>4465</v>
      </c>
      <c r="L661" s="123" t="s">
        <v>123</v>
      </c>
      <c r="M661" s="123" t="s">
        <v>3803</v>
      </c>
      <c r="N661" s="123" t="s">
        <v>368</v>
      </c>
      <c r="O661" s="106">
        <v>2012</v>
      </c>
      <c r="P661" s="153" t="str">
        <f>HYPERLINK("mailto:nganvt@topica.edu.vn","nganvt@topica.edu.vn")</f>
        <v>nganvt@topica.edu.vn</v>
      </c>
      <c r="Q661" s="123"/>
      <c r="R661" s="123" t="s">
        <v>4475</v>
      </c>
      <c r="S661" s="123"/>
      <c r="T661" s="54" t="s">
        <v>4476</v>
      </c>
      <c r="U661" s="54" t="s">
        <v>4476</v>
      </c>
      <c r="V661" s="123"/>
      <c r="W661" s="123"/>
      <c r="X661" s="123"/>
      <c r="Y661" s="123" t="s">
        <v>972</v>
      </c>
      <c r="Z661" s="54"/>
      <c r="AA661" s="54"/>
      <c r="AB661" s="54">
        <v>1</v>
      </c>
      <c r="AC661" s="54" t="s">
        <v>236</v>
      </c>
      <c r="AD661" s="123" t="s">
        <v>1183</v>
      </c>
      <c r="AE661" s="109" t="s">
        <v>1184</v>
      </c>
      <c r="AF661" s="54" t="s">
        <v>231</v>
      </c>
      <c r="AG661" s="140">
        <v>41487</v>
      </c>
      <c r="AH661" s="65">
        <f t="shared" si="69"/>
        <v>8</v>
      </c>
      <c r="AI661" s="65"/>
      <c r="AJ661" s="140">
        <v>41552</v>
      </c>
      <c r="AK661" s="65">
        <f t="shared" si="70"/>
        <v>10</v>
      </c>
      <c r="AL661" s="54" t="s">
        <v>66</v>
      </c>
      <c r="AM661" s="54"/>
      <c r="AN661" s="54"/>
      <c r="AO661" s="190"/>
      <c r="AP661" s="136" t="str">
        <f t="shared" si="68"/>
        <v/>
      </c>
      <c r="AQ661" s="123"/>
      <c r="AR661" s="23"/>
      <c r="AS661" s="54" t="s">
        <v>347</v>
      </c>
      <c r="AT661" s="158"/>
      <c r="AU661" s="70">
        <f t="shared" si="67"/>
        <v>6</v>
      </c>
      <c r="AV661" s="70" t="s">
        <v>68</v>
      </c>
    </row>
    <row r="662" spans="1:48" ht="25.5" hidden="1" x14ac:dyDescent="0.2">
      <c r="A662" s="86">
        <f t="shared" si="71"/>
        <v>20639</v>
      </c>
      <c r="B662" s="3" t="s">
        <v>4477</v>
      </c>
      <c r="C662" s="3" t="s">
        <v>920</v>
      </c>
      <c r="D662" s="86"/>
      <c r="E662" s="36" t="s">
        <v>94</v>
      </c>
      <c r="F662" s="48">
        <v>32549</v>
      </c>
      <c r="G662" s="36" t="s">
        <v>2734</v>
      </c>
      <c r="H662" s="81" t="s">
        <v>2735</v>
      </c>
      <c r="I662" s="36" t="s">
        <v>4478</v>
      </c>
      <c r="J662" s="48">
        <v>40035</v>
      </c>
      <c r="K662" s="36" t="s">
        <v>2734</v>
      </c>
      <c r="L662" s="36" t="s">
        <v>123</v>
      </c>
      <c r="M662" s="36" t="s">
        <v>4479</v>
      </c>
      <c r="N662" s="36" t="s">
        <v>2960</v>
      </c>
      <c r="O662" s="101">
        <v>2011</v>
      </c>
      <c r="P662" s="81" t="s">
        <v>4480</v>
      </c>
      <c r="Q662" s="36"/>
      <c r="R662" s="36" t="s">
        <v>4481</v>
      </c>
      <c r="S662" s="156" t="str">
        <f>HYPERLINK("mailto:nguyenmydieulinh@gmail.com","nguyenmydieulinh@gmail.com")</f>
        <v>nguyenmydieulinh@gmail.com</v>
      </c>
      <c r="T662" s="81" t="s">
        <v>4482</v>
      </c>
      <c r="U662" s="81" t="s">
        <v>4483</v>
      </c>
      <c r="V662" s="36" t="s">
        <v>757</v>
      </c>
      <c r="W662" s="36" t="s">
        <v>745</v>
      </c>
      <c r="X662" s="36" t="s">
        <v>4484</v>
      </c>
      <c r="Y662" s="36" t="s">
        <v>616</v>
      </c>
      <c r="Z662" s="81"/>
      <c r="AA662" s="54"/>
      <c r="AB662" s="81">
        <v>1</v>
      </c>
      <c r="AC662" s="81" t="s">
        <v>236</v>
      </c>
      <c r="AD662" s="36" t="s">
        <v>866</v>
      </c>
      <c r="AE662" s="154" t="s">
        <v>867</v>
      </c>
      <c r="AF662" s="81" t="s">
        <v>231</v>
      </c>
      <c r="AG662" s="48">
        <v>41487</v>
      </c>
      <c r="AH662" s="134">
        <f t="shared" si="69"/>
        <v>8</v>
      </c>
      <c r="AI662" s="134"/>
      <c r="AJ662" s="48"/>
      <c r="AK662" s="134" t="str">
        <f t="shared" si="70"/>
        <v/>
      </c>
      <c r="AL662" s="54" t="s">
        <v>82</v>
      </c>
      <c r="AM662" s="54"/>
      <c r="AN662" s="65" t="str">
        <f>IF((AM662=""),"",MONTH(AM662))</f>
        <v/>
      </c>
      <c r="AO662" s="190">
        <v>41613</v>
      </c>
      <c r="AP662" s="136">
        <f t="shared" si="68"/>
        <v>12</v>
      </c>
      <c r="AQ662" s="123"/>
      <c r="AR662" s="23"/>
      <c r="AS662" s="54" t="s">
        <v>67</v>
      </c>
      <c r="AT662" s="158"/>
      <c r="AU662" s="70">
        <f t="shared" si="67"/>
        <v>2</v>
      </c>
      <c r="AV662" s="70" t="s">
        <v>68</v>
      </c>
    </row>
    <row r="663" spans="1:48" ht="25.5" hidden="1" x14ac:dyDescent="0.2">
      <c r="A663" s="87">
        <f t="shared" si="71"/>
        <v>20640</v>
      </c>
      <c r="B663" s="80" t="s">
        <v>4485</v>
      </c>
      <c r="C663" s="80" t="s">
        <v>250</v>
      </c>
      <c r="D663" s="87"/>
      <c r="E663" s="123" t="s">
        <v>94</v>
      </c>
      <c r="F663" s="140">
        <v>33595</v>
      </c>
      <c r="G663" s="123" t="s">
        <v>815</v>
      </c>
      <c r="H663" s="54" t="s">
        <v>815</v>
      </c>
      <c r="I663" s="123" t="s">
        <v>4486</v>
      </c>
      <c r="J663" s="140">
        <v>39092</v>
      </c>
      <c r="K663" s="123" t="s">
        <v>815</v>
      </c>
      <c r="L663" s="123" t="s">
        <v>123</v>
      </c>
      <c r="M663" s="123" t="s">
        <v>3230</v>
      </c>
      <c r="N663" s="123"/>
      <c r="O663" s="106"/>
      <c r="P663" s="173" t="str">
        <f>HYPERLINK("mailto:thuyltl@topica.edu.vn","thuyltl@topica.edu.vn")</f>
        <v>thuyltl@topica.edu.vn</v>
      </c>
      <c r="Q663" s="123"/>
      <c r="R663" s="123" t="s">
        <v>4487</v>
      </c>
      <c r="S663" s="173"/>
      <c r="T663" s="54" t="s">
        <v>4488</v>
      </c>
      <c r="U663" s="54" t="s">
        <v>4488</v>
      </c>
      <c r="V663" s="123" t="s">
        <v>0</v>
      </c>
      <c r="W663" s="123"/>
      <c r="X663" s="123"/>
      <c r="Y663" s="123" t="s">
        <v>312</v>
      </c>
      <c r="Z663" s="54"/>
      <c r="AA663" s="54"/>
      <c r="AB663" s="54">
        <v>1</v>
      </c>
      <c r="AC663" s="54" t="s">
        <v>236</v>
      </c>
      <c r="AD663" s="123" t="s">
        <v>158</v>
      </c>
      <c r="AE663" s="109"/>
      <c r="AF663" s="54" t="s">
        <v>65</v>
      </c>
      <c r="AG663" s="140">
        <v>41498</v>
      </c>
      <c r="AH663" s="65">
        <f t="shared" si="69"/>
        <v>8</v>
      </c>
      <c r="AI663" s="65"/>
      <c r="AJ663" s="140">
        <v>41528</v>
      </c>
      <c r="AK663" s="65">
        <f t="shared" si="70"/>
        <v>9</v>
      </c>
      <c r="AL663" s="54" t="s">
        <v>66</v>
      </c>
      <c r="AM663" s="54"/>
      <c r="AN663" s="54"/>
      <c r="AO663" s="190"/>
      <c r="AP663" s="136" t="str">
        <f t="shared" si="68"/>
        <v/>
      </c>
      <c r="AQ663" s="123"/>
      <c r="AR663" s="23"/>
      <c r="AS663" s="54" t="s">
        <v>67</v>
      </c>
      <c r="AT663" s="158"/>
      <c r="AU663" s="70">
        <f t="shared" si="67"/>
        <v>12</v>
      </c>
      <c r="AV663" s="70" t="s">
        <v>68</v>
      </c>
    </row>
    <row r="664" spans="1:48" ht="12.75" hidden="1" x14ac:dyDescent="0.2">
      <c r="A664" s="87">
        <f t="shared" si="71"/>
        <v>20641</v>
      </c>
      <c r="B664" s="80" t="s">
        <v>701</v>
      </c>
      <c r="C664" s="80" t="s">
        <v>3016</v>
      </c>
      <c r="D664" s="87"/>
      <c r="E664" s="123" t="s">
        <v>94</v>
      </c>
      <c r="F664" s="140">
        <v>33378</v>
      </c>
      <c r="G664" s="123" t="s">
        <v>132</v>
      </c>
      <c r="H664" s="54" t="s">
        <v>132</v>
      </c>
      <c r="I664" s="123" t="s">
        <v>4489</v>
      </c>
      <c r="J664" s="140">
        <v>41339</v>
      </c>
      <c r="K664" s="123" t="s">
        <v>132</v>
      </c>
      <c r="L664" s="123" t="s">
        <v>123</v>
      </c>
      <c r="M664" s="123" t="s">
        <v>4031</v>
      </c>
      <c r="N664" s="123" t="s">
        <v>3651</v>
      </c>
      <c r="O664" s="106">
        <v>2013</v>
      </c>
      <c r="P664" s="153" t="str">
        <f>HYPERLINK("mailto:hoabt@topica.edu.vn","hoabt@topica.edu.vn")</f>
        <v>hoabt@topica.edu.vn</v>
      </c>
      <c r="Q664" s="123"/>
      <c r="R664" s="123" t="s">
        <v>4490</v>
      </c>
      <c r="S664" s="173" t="str">
        <f>HYPERLINK("mailto:hoabt91@gmail.com","hoabt91@gmail.com")</f>
        <v>hoabt91@gmail.com</v>
      </c>
      <c r="T664" s="54" t="s">
        <v>4491</v>
      </c>
      <c r="U664" s="54" t="s">
        <v>4492</v>
      </c>
      <c r="V664" s="123"/>
      <c r="W664" s="123"/>
      <c r="X664" s="123"/>
      <c r="Y664" s="123" t="s">
        <v>312</v>
      </c>
      <c r="Z664" s="54"/>
      <c r="AA664" s="54"/>
      <c r="AB664" s="54">
        <v>1</v>
      </c>
      <c r="AC664" s="54" t="s">
        <v>236</v>
      </c>
      <c r="AD664" s="123" t="s">
        <v>375</v>
      </c>
      <c r="AE664" s="109" t="s">
        <v>475</v>
      </c>
      <c r="AF664" s="54" t="s">
        <v>65</v>
      </c>
      <c r="AG664" s="140">
        <v>41501</v>
      </c>
      <c r="AH664" s="65">
        <f t="shared" si="69"/>
        <v>8</v>
      </c>
      <c r="AI664" s="65"/>
      <c r="AJ664" s="140">
        <v>41548</v>
      </c>
      <c r="AK664" s="65">
        <f t="shared" si="70"/>
        <v>10</v>
      </c>
      <c r="AL664" s="54" t="s">
        <v>66</v>
      </c>
      <c r="AM664" s="54"/>
      <c r="AN664" s="54"/>
      <c r="AO664" s="190"/>
      <c r="AP664" s="136" t="str">
        <f t="shared" si="68"/>
        <v/>
      </c>
      <c r="AQ664" s="123"/>
      <c r="AR664" s="23"/>
      <c r="AS664" s="54" t="s">
        <v>107</v>
      </c>
      <c r="AT664" s="158"/>
      <c r="AU664" s="70">
        <f t="shared" si="67"/>
        <v>5</v>
      </c>
      <c r="AV664" s="70" t="s">
        <v>68</v>
      </c>
    </row>
    <row r="665" spans="1:48" ht="12.75" hidden="1" x14ac:dyDescent="0.2">
      <c r="A665" s="86">
        <f t="shared" si="71"/>
        <v>20642</v>
      </c>
      <c r="B665" s="3" t="s">
        <v>265</v>
      </c>
      <c r="C665" s="3" t="s">
        <v>946</v>
      </c>
      <c r="D665" s="86"/>
      <c r="E665" s="36" t="s">
        <v>94</v>
      </c>
      <c r="F665" s="48"/>
      <c r="G665" s="36"/>
      <c r="H665" s="81"/>
      <c r="I665" s="36"/>
      <c r="J665" s="48"/>
      <c r="K665" s="36"/>
      <c r="L665" s="36"/>
      <c r="M665" s="36"/>
      <c r="N665" s="36"/>
      <c r="O665" s="101"/>
      <c r="P665" s="159" t="str">
        <f>HYPERLINK("mailto:lynt@topica.edu.vn","lynt@topica.edu.vn")</f>
        <v>lynt@topica.edu.vn</v>
      </c>
      <c r="Q665" s="36"/>
      <c r="R665" s="36"/>
      <c r="S665" s="36"/>
      <c r="T665" s="81"/>
      <c r="U665" s="81"/>
      <c r="V665" s="36"/>
      <c r="W665" s="36"/>
      <c r="X665" s="36"/>
      <c r="Y665" s="36" t="s">
        <v>3626</v>
      </c>
      <c r="Z665" s="81"/>
      <c r="AA665" s="54"/>
      <c r="AB665" s="81">
        <v>1</v>
      </c>
      <c r="AC665" s="81" t="s">
        <v>236</v>
      </c>
      <c r="AD665" s="36" t="s">
        <v>1183</v>
      </c>
      <c r="AE665" s="154" t="s">
        <v>1184</v>
      </c>
      <c r="AF665" s="81" t="s">
        <v>231</v>
      </c>
      <c r="AG665" s="48">
        <v>41513</v>
      </c>
      <c r="AH665" s="134">
        <f t="shared" si="69"/>
        <v>8</v>
      </c>
      <c r="AI665" s="134"/>
      <c r="AJ665" s="48"/>
      <c r="AK665" s="134" t="str">
        <f t="shared" si="70"/>
        <v/>
      </c>
      <c r="AL665" s="54" t="s">
        <v>82</v>
      </c>
      <c r="AM665" s="54"/>
      <c r="AN665" s="54"/>
      <c r="AO665" s="190"/>
      <c r="AP665" s="136" t="str">
        <f t="shared" si="68"/>
        <v/>
      </c>
      <c r="AQ665" s="123"/>
      <c r="AR665" s="23"/>
      <c r="AS665" s="54" t="s">
        <v>347</v>
      </c>
      <c r="AT665" s="158"/>
      <c r="AU665" s="70" t="str">
        <f t="shared" si="67"/>
        <v/>
      </c>
      <c r="AV665" s="70" t="s">
        <v>68</v>
      </c>
    </row>
    <row r="666" spans="1:48" ht="38.25" hidden="1" x14ac:dyDescent="0.2">
      <c r="A666" s="86">
        <f t="shared" si="71"/>
        <v>20643</v>
      </c>
      <c r="B666" s="3" t="s">
        <v>4493</v>
      </c>
      <c r="C666" s="3" t="s">
        <v>3016</v>
      </c>
      <c r="D666" s="86"/>
      <c r="E666" s="36" t="s">
        <v>94</v>
      </c>
      <c r="F666" s="18">
        <v>33082</v>
      </c>
      <c r="G666" s="36" t="s">
        <v>272</v>
      </c>
      <c r="H666" s="81" t="s">
        <v>120</v>
      </c>
      <c r="I666" s="36" t="s">
        <v>4494</v>
      </c>
      <c r="J666" s="48">
        <v>41532</v>
      </c>
      <c r="K666" s="36" t="s">
        <v>272</v>
      </c>
      <c r="L666" s="36" t="s">
        <v>123</v>
      </c>
      <c r="M666" s="36" t="s">
        <v>4495</v>
      </c>
      <c r="N666" s="36" t="s">
        <v>307</v>
      </c>
      <c r="O666" s="101">
        <v>2012</v>
      </c>
      <c r="P666" s="159" t="str">
        <f>HYPERLINK("mailto:hoattm@topica.edu.vn","hoattm@topica.edu.vn")</f>
        <v>hoattm@topica.edu.vn</v>
      </c>
      <c r="Q666" s="36"/>
      <c r="R666" s="36" t="s">
        <v>4496</v>
      </c>
      <c r="S666" s="156" t="str">
        <f>HYPERLINK("mailto:tonghoa9604@gmail.com","tonghoa9604@gmail.com")</f>
        <v>tonghoa9604@gmail.com</v>
      </c>
      <c r="T666" s="81" t="s">
        <v>4497</v>
      </c>
      <c r="U666" s="81" t="s">
        <v>4498</v>
      </c>
      <c r="V666" s="36" t="s">
        <v>4499</v>
      </c>
      <c r="W666" s="36" t="s">
        <v>745</v>
      </c>
      <c r="X666" s="36" t="s">
        <v>4500</v>
      </c>
      <c r="Y666" s="36" t="s">
        <v>3626</v>
      </c>
      <c r="Z666" s="81"/>
      <c r="AA666" s="54"/>
      <c r="AB666" s="81">
        <v>1</v>
      </c>
      <c r="AC666" s="81" t="s">
        <v>236</v>
      </c>
      <c r="AD666" s="36" t="s">
        <v>404</v>
      </c>
      <c r="AE666" s="154" t="s">
        <v>700</v>
      </c>
      <c r="AF666" s="81" t="s">
        <v>65</v>
      </c>
      <c r="AG666" s="48">
        <v>41521</v>
      </c>
      <c r="AH666" s="134">
        <f t="shared" si="69"/>
        <v>9</v>
      </c>
      <c r="AI666" s="134"/>
      <c r="AJ666" s="48">
        <v>41582</v>
      </c>
      <c r="AK666" s="134">
        <f t="shared" si="70"/>
        <v>11</v>
      </c>
      <c r="AL666" s="54" t="s">
        <v>82</v>
      </c>
      <c r="AM666" s="54"/>
      <c r="AN666" s="54"/>
      <c r="AO666" s="190"/>
      <c r="AP666" s="136" t="str">
        <f>IF((AO666=""),"",MONTH(AO666))</f>
        <v/>
      </c>
      <c r="AQ666" s="123"/>
      <c r="AR666" s="23"/>
      <c r="AS666" s="54" t="s">
        <v>347</v>
      </c>
      <c r="AT666" s="158"/>
      <c r="AU666" s="70">
        <f t="shared" si="67"/>
        <v>7</v>
      </c>
      <c r="AV666" s="70" t="s">
        <v>68</v>
      </c>
    </row>
    <row r="667" spans="1:48" ht="38.25" hidden="1" x14ac:dyDescent="0.2">
      <c r="A667" s="87">
        <f t="shared" si="71"/>
        <v>20644</v>
      </c>
      <c r="B667" s="80" t="s">
        <v>4501</v>
      </c>
      <c r="C667" s="80" t="s">
        <v>349</v>
      </c>
      <c r="D667" s="87"/>
      <c r="E667" s="123" t="s">
        <v>94</v>
      </c>
      <c r="F667" s="140">
        <v>32299</v>
      </c>
      <c r="G667" s="123"/>
      <c r="H667" s="54"/>
      <c r="I667" s="123" t="s">
        <v>4502</v>
      </c>
      <c r="J667" s="140">
        <v>40476</v>
      </c>
      <c r="K667" s="123" t="s">
        <v>132</v>
      </c>
      <c r="L667" s="123" t="s">
        <v>123</v>
      </c>
      <c r="M667" s="123" t="s">
        <v>433</v>
      </c>
      <c r="N667" s="123" t="s">
        <v>4503</v>
      </c>
      <c r="O667" s="106">
        <v>2010</v>
      </c>
      <c r="P667" s="153" t="str">
        <f>HYPERLINK("mailto:lydtk@topica.edu.vn","lydtk@topica.edu.vn")</f>
        <v>lydtk@topica.edu.vn</v>
      </c>
      <c r="Q667" s="123"/>
      <c r="R667" s="123" t="s">
        <v>4504</v>
      </c>
      <c r="S667" s="173" t="str">
        <f>HYPERLINK("mailto:msly.hlu@gmail.com","msly.hlu@gmail.com")</f>
        <v>msly.hlu@gmail.com</v>
      </c>
      <c r="T667" s="54" t="s">
        <v>4505</v>
      </c>
      <c r="U667" s="54" t="s">
        <v>4506</v>
      </c>
      <c r="V667" s="123" t="s">
        <v>4507</v>
      </c>
      <c r="W667" s="123" t="s">
        <v>4165</v>
      </c>
      <c r="X667" s="123" t="s">
        <v>4508</v>
      </c>
      <c r="Y667" s="123" t="s">
        <v>312</v>
      </c>
      <c r="Z667" s="54"/>
      <c r="AA667" s="54"/>
      <c r="AB667" s="54">
        <v>1</v>
      </c>
      <c r="AC667" s="54" t="s">
        <v>236</v>
      </c>
      <c r="AD667" s="123" t="s">
        <v>375</v>
      </c>
      <c r="AE667" s="109" t="s">
        <v>2099</v>
      </c>
      <c r="AF667" s="54" t="s">
        <v>65</v>
      </c>
      <c r="AG667" s="140">
        <v>41520</v>
      </c>
      <c r="AH667" s="65">
        <f t="shared" si="69"/>
        <v>9</v>
      </c>
      <c r="AI667" s="65"/>
      <c r="AJ667" s="140">
        <v>41548</v>
      </c>
      <c r="AK667" s="65">
        <f t="shared" si="70"/>
        <v>10</v>
      </c>
      <c r="AL667" s="54" t="s">
        <v>66</v>
      </c>
      <c r="AM667" s="54"/>
      <c r="AN667" s="54"/>
      <c r="AO667" s="190"/>
      <c r="AP667" s="136" t="str">
        <f>IF((AO667=""),"",MONTH(AO667))</f>
        <v/>
      </c>
      <c r="AQ667" s="123"/>
      <c r="AR667" s="23"/>
      <c r="AS667" s="54" t="s">
        <v>107</v>
      </c>
      <c r="AT667" s="158"/>
      <c r="AU667" s="70">
        <f t="shared" si="67"/>
        <v>6</v>
      </c>
      <c r="AV667" s="70" t="s">
        <v>68</v>
      </c>
    </row>
    <row r="668" spans="1:48" ht="25.5" hidden="1" x14ac:dyDescent="0.2">
      <c r="A668" s="86">
        <f t="shared" si="71"/>
        <v>20645</v>
      </c>
      <c r="B668" s="3" t="s">
        <v>3576</v>
      </c>
      <c r="C668" s="3" t="s">
        <v>51</v>
      </c>
      <c r="D668" s="86"/>
      <c r="E668" s="36" t="s">
        <v>94</v>
      </c>
      <c r="F668" s="48">
        <v>31278</v>
      </c>
      <c r="G668" s="36" t="s">
        <v>52</v>
      </c>
      <c r="H668" s="81" t="s">
        <v>379</v>
      </c>
      <c r="I668" s="36" t="s">
        <v>4509</v>
      </c>
      <c r="J668" s="48">
        <v>36766</v>
      </c>
      <c r="K668" s="36" t="s">
        <v>52</v>
      </c>
      <c r="L668" s="36" t="s">
        <v>341</v>
      </c>
      <c r="M668" s="36" t="s">
        <v>4510</v>
      </c>
      <c r="N668" s="36" t="s">
        <v>4511</v>
      </c>
      <c r="O668" s="101">
        <v>2007</v>
      </c>
      <c r="P668" s="159" t="str">
        <f>HYPERLINK("mailto:namtth@topica.edu.vn","namtth@topica.edu.vn")</f>
        <v>namtth@topica.edu.vn</v>
      </c>
      <c r="Q668" s="36"/>
      <c r="R668" s="36" t="s">
        <v>4512</v>
      </c>
      <c r="S668" s="36"/>
      <c r="T668" s="81" t="s">
        <v>4513</v>
      </c>
      <c r="U668" s="81" t="s">
        <v>4514</v>
      </c>
      <c r="V668" s="36"/>
      <c r="W668" s="36"/>
      <c r="X668" s="36"/>
      <c r="Y668" s="36" t="s">
        <v>284</v>
      </c>
      <c r="Z668" s="81"/>
      <c r="AA668" s="54"/>
      <c r="AB668" s="81">
        <v>1</v>
      </c>
      <c r="AC668" s="81" t="s">
        <v>236</v>
      </c>
      <c r="AD668" s="36" t="s">
        <v>221</v>
      </c>
      <c r="AE668" s="154" t="s">
        <v>963</v>
      </c>
      <c r="AF668" s="81" t="s">
        <v>65</v>
      </c>
      <c r="AG668" s="48">
        <v>41514</v>
      </c>
      <c r="AH668" s="134">
        <f t="shared" si="69"/>
        <v>8</v>
      </c>
      <c r="AI668" s="134"/>
      <c r="AJ668" s="48"/>
      <c r="AK668" s="134" t="str">
        <f t="shared" si="70"/>
        <v/>
      </c>
      <c r="AL668" s="54" t="s">
        <v>82</v>
      </c>
      <c r="AM668" s="54"/>
      <c r="AN668" s="54"/>
      <c r="AO668" s="190">
        <v>41527</v>
      </c>
      <c r="AP668" s="136">
        <f>IF((AO668=""),"",MONTH(AO668))</f>
        <v>9</v>
      </c>
      <c r="AQ668" s="123"/>
      <c r="AR668" s="23"/>
      <c r="AS668" s="54" t="s">
        <v>107</v>
      </c>
      <c r="AT668" s="194"/>
      <c r="AU668" s="70">
        <f t="shared" si="67"/>
        <v>8</v>
      </c>
      <c r="AV668" s="70" t="s">
        <v>68</v>
      </c>
    </row>
    <row r="669" spans="1:48" ht="25.5" hidden="1" x14ac:dyDescent="0.2">
      <c r="A669" s="87">
        <f t="shared" si="71"/>
        <v>20646</v>
      </c>
      <c r="B669" s="80" t="s">
        <v>4515</v>
      </c>
      <c r="C669" s="80" t="s">
        <v>607</v>
      </c>
      <c r="D669" s="87"/>
      <c r="E669" s="123" t="s">
        <v>94</v>
      </c>
      <c r="F669" s="140">
        <v>31102</v>
      </c>
      <c r="G669" s="123" t="s">
        <v>1307</v>
      </c>
      <c r="H669" s="54" t="s">
        <v>726</v>
      </c>
      <c r="I669" s="123" t="s">
        <v>4516</v>
      </c>
      <c r="J669" s="140">
        <v>40191</v>
      </c>
      <c r="K669" s="123" t="s">
        <v>1307</v>
      </c>
      <c r="L669" s="123" t="s">
        <v>123</v>
      </c>
      <c r="M669" s="123" t="s">
        <v>2628</v>
      </c>
      <c r="N669" s="123" t="s">
        <v>1752</v>
      </c>
      <c r="O669" s="106">
        <v>2010</v>
      </c>
      <c r="P669" s="153" t="str">
        <f>HYPERLINK("mailto:phuongct@topica.edu.vn","phuongct@topica.edu.vn")</f>
        <v>phuongct@topica.edu.vn</v>
      </c>
      <c r="Q669" s="123"/>
      <c r="R669" s="123" t="s">
        <v>4517</v>
      </c>
      <c r="S669" s="173" t="str">
        <f>HYPERLINK("mailto:thuphuong1304@yahoo.com","thuphuong1304@yahoo.com")</f>
        <v>thuphuong1304@yahoo.com</v>
      </c>
      <c r="T669" s="54" t="s">
        <v>4518</v>
      </c>
      <c r="U669" s="54" t="s">
        <v>4519</v>
      </c>
      <c r="V669" s="123" t="s">
        <v>4520</v>
      </c>
      <c r="W669" s="123" t="s">
        <v>745</v>
      </c>
      <c r="X669" s="123" t="s">
        <v>4521</v>
      </c>
      <c r="Y669" s="123" t="s">
        <v>312</v>
      </c>
      <c r="Z669" s="54"/>
      <c r="AA669" s="54"/>
      <c r="AB669" s="54">
        <v>1</v>
      </c>
      <c r="AC669" s="54" t="s">
        <v>236</v>
      </c>
      <c r="AD669" s="123" t="s">
        <v>1145</v>
      </c>
      <c r="AE669" s="54" t="s">
        <v>1938</v>
      </c>
      <c r="AF669" s="54" t="s">
        <v>231</v>
      </c>
      <c r="AG669" s="140">
        <v>41526</v>
      </c>
      <c r="AH669" s="65">
        <f t="shared" ref="AH669:AH700" si="72">IF((AG669=""),"",MONTH(AG669))</f>
        <v>9</v>
      </c>
      <c r="AI669" s="65"/>
      <c r="AJ669" s="140">
        <v>41587</v>
      </c>
      <c r="AK669" s="65">
        <f t="shared" si="70"/>
        <v>11</v>
      </c>
      <c r="AL669" s="54" t="s">
        <v>66</v>
      </c>
      <c r="AM669" s="54"/>
      <c r="AN669" s="54"/>
      <c r="AO669" s="190"/>
      <c r="AP669" s="184"/>
      <c r="AQ669" s="123"/>
      <c r="AR669" s="23"/>
      <c r="AS669" s="54" t="s">
        <v>107</v>
      </c>
      <c r="AT669" s="136"/>
      <c r="AU669" s="70">
        <f t="shared" si="67"/>
        <v>2</v>
      </c>
      <c r="AV669" s="70" t="s">
        <v>68</v>
      </c>
    </row>
    <row r="670" spans="1:48" ht="25.5" hidden="1" x14ac:dyDescent="0.2">
      <c r="A670" s="87">
        <f t="shared" si="71"/>
        <v>20647</v>
      </c>
      <c r="B670" s="80" t="s">
        <v>691</v>
      </c>
      <c r="C670" s="80" t="s">
        <v>607</v>
      </c>
      <c r="D670" s="87"/>
      <c r="E670" s="123" t="s">
        <v>94</v>
      </c>
      <c r="F670" s="140">
        <v>32945</v>
      </c>
      <c r="G670" s="123"/>
      <c r="H670" s="54"/>
      <c r="I670" s="123" t="s">
        <v>4522</v>
      </c>
      <c r="J670" s="140">
        <v>38883</v>
      </c>
      <c r="K670" s="123" t="s">
        <v>379</v>
      </c>
      <c r="L670" s="123" t="s">
        <v>123</v>
      </c>
      <c r="M670" s="123" t="s">
        <v>1838</v>
      </c>
      <c r="N670" s="123" t="s">
        <v>458</v>
      </c>
      <c r="O670" s="106"/>
      <c r="P670" s="153" t="str">
        <f>HYPERLINK("mailto:phuongtt@topica.edu.vn","phuongtt@topica.edu.vn")</f>
        <v>phuongtt@topica.edu.vn</v>
      </c>
      <c r="Q670" s="123"/>
      <c r="R670" s="123" t="s">
        <v>4523</v>
      </c>
      <c r="S670" s="173" t="str">
        <f>HYPERLINK("mailto:tranphuongnb90@gmail.com","tranphuongnb90@gmail.com")</f>
        <v>tranphuongnb90@gmail.com</v>
      </c>
      <c r="T670" s="54" t="s">
        <v>4524</v>
      </c>
      <c r="U670" s="54" t="s">
        <v>4524</v>
      </c>
      <c r="V670" s="123" t="s">
        <v>4525</v>
      </c>
      <c r="W670" s="123" t="s">
        <v>283</v>
      </c>
      <c r="X670" s="123" t="s">
        <v>4526</v>
      </c>
      <c r="Y670" s="123" t="s">
        <v>1524</v>
      </c>
      <c r="Z670" s="54"/>
      <c r="AA670" s="54"/>
      <c r="AB670" s="54">
        <v>1</v>
      </c>
      <c r="AC670" s="54" t="s">
        <v>236</v>
      </c>
      <c r="AD670" s="123" t="s">
        <v>375</v>
      </c>
      <c r="AE670" s="54" t="s">
        <v>1525</v>
      </c>
      <c r="AF670" s="54" t="s">
        <v>65</v>
      </c>
      <c r="AG670" s="140">
        <v>41533</v>
      </c>
      <c r="AH670" s="65">
        <f t="shared" si="72"/>
        <v>9</v>
      </c>
      <c r="AI670" s="65"/>
      <c r="AJ670" s="140">
        <v>41594</v>
      </c>
      <c r="AK670" s="65">
        <f t="shared" si="70"/>
        <v>11</v>
      </c>
      <c r="AL670" s="54" t="s">
        <v>66</v>
      </c>
      <c r="AM670" s="54"/>
      <c r="AN670" s="54"/>
      <c r="AO670" s="190"/>
      <c r="AP670" s="158"/>
      <c r="AQ670" s="123"/>
      <c r="AR670" s="23"/>
      <c r="AS670" s="54" t="s">
        <v>107</v>
      </c>
      <c r="AT670" s="136"/>
      <c r="AU670" s="70">
        <f t="shared" si="67"/>
        <v>3</v>
      </c>
      <c r="AV670" s="70" t="s">
        <v>68</v>
      </c>
    </row>
    <row r="671" spans="1:48" ht="25.5" hidden="1" x14ac:dyDescent="0.2">
      <c r="A671" s="87">
        <f t="shared" si="71"/>
        <v>20648</v>
      </c>
      <c r="B671" s="80" t="s">
        <v>265</v>
      </c>
      <c r="C671" s="80" t="s">
        <v>3016</v>
      </c>
      <c r="D671" s="87"/>
      <c r="E671" s="123" t="s">
        <v>94</v>
      </c>
      <c r="F671" s="140">
        <v>33012</v>
      </c>
      <c r="G671" s="123"/>
      <c r="H671" s="54"/>
      <c r="I671" s="123" t="s">
        <v>4527</v>
      </c>
      <c r="J671" s="140">
        <v>38804</v>
      </c>
      <c r="K671" s="123" t="s">
        <v>52</v>
      </c>
      <c r="L671" s="123" t="s">
        <v>123</v>
      </c>
      <c r="M671" s="123" t="s">
        <v>4528</v>
      </c>
      <c r="N671" s="123" t="s">
        <v>2456</v>
      </c>
      <c r="O671" s="106"/>
      <c r="P671" s="153" t="str">
        <f>HYPERLINK("mailto:hoant@topica.edu.vn","hoant@topica.edu.vn")</f>
        <v>hoant@topica.edu.vn</v>
      </c>
      <c r="Q671" s="123"/>
      <c r="R671" s="123" t="s">
        <v>4529</v>
      </c>
      <c r="S671" s="173" t="str">
        <f>HYPERLINK("mailto:nguyenthihoa19590@gmail.com","nguyenthihoa19590@gmail.com")</f>
        <v>nguyenthihoa19590@gmail.com</v>
      </c>
      <c r="T671" s="54" t="s">
        <v>4530</v>
      </c>
      <c r="U671" s="54" t="s">
        <v>4530</v>
      </c>
      <c r="V671" s="123" t="s">
        <v>4531</v>
      </c>
      <c r="W671" s="123" t="s">
        <v>283</v>
      </c>
      <c r="X671" s="123" t="s">
        <v>4532</v>
      </c>
      <c r="Y671" s="123" t="s">
        <v>312</v>
      </c>
      <c r="Z671" s="54"/>
      <c r="AA671" s="54"/>
      <c r="AB671" s="54">
        <v>1</v>
      </c>
      <c r="AC671" s="54" t="s">
        <v>236</v>
      </c>
      <c r="AD671" s="123" t="s">
        <v>375</v>
      </c>
      <c r="AE671" s="54" t="s">
        <v>2099</v>
      </c>
      <c r="AF671" s="54" t="s">
        <v>65</v>
      </c>
      <c r="AG671" s="140">
        <v>41533</v>
      </c>
      <c r="AH671" s="65">
        <f t="shared" si="72"/>
        <v>9</v>
      </c>
      <c r="AI671" s="65"/>
      <c r="AJ671" s="140">
        <v>41594</v>
      </c>
      <c r="AK671" s="65">
        <f t="shared" si="70"/>
        <v>11</v>
      </c>
      <c r="AL671" s="54" t="s">
        <v>66</v>
      </c>
      <c r="AM671" s="54"/>
      <c r="AN671" s="54"/>
      <c r="AO671" s="190"/>
      <c r="AP671" s="194"/>
      <c r="AQ671" s="123"/>
      <c r="AR671" s="23"/>
      <c r="AS671" s="54" t="s">
        <v>107</v>
      </c>
      <c r="AT671" s="136"/>
      <c r="AU671" s="70">
        <f t="shared" si="67"/>
        <v>5</v>
      </c>
      <c r="AV671" s="70" t="s">
        <v>68</v>
      </c>
    </row>
    <row r="672" spans="1:48" ht="25.5" hidden="1" x14ac:dyDescent="0.2">
      <c r="A672" s="86">
        <f t="shared" si="71"/>
        <v>20649</v>
      </c>
      <c r="B672" s="3" t="s">
        <v>4533</v>
      </c>
      <c r="C672" s="3" t="s">
        <v>364</v>
      </c>
      <c r="D672" s="86"/>
      <c r="E672" s="36" t="s">
        <v>94</v>
      </c>
      <c r="F672" s="48">
        <v>32957</v>
      </c>
      <c r="G672" s="36" t="s">
        <v>2228</v>
      </c>
      <c r="H672" s="81" t="s">
        <v>2229</v>
      </c>
      <c r="I672" s="36" t="s">
        <v>4534</v>
      </c>
      <c r="J672" s="48">
        <v>40448</v>
      </c>
      <c r="K672" s="36" t="s">
        <v>4349</v>
      </c>
      <c r="L672" s="36" t="s">
        <v>341</v>
      </c>
      <c r="M672" s="36" t="s">
        <v>4535</v>
      </c>
      <c r="N672" s="36" t="s">
        <v>4536</v>
      </c>
      <c r="O672" s="101">
        <v>2009</v>
      </c>
      <c r="P672" s="159" t="str">
        <f>HYPERLINK("mailto:ngabtt@topica.edu.vn","ngabtt@topica.edu.vn")</f>
        <v>ngabtt@topica.edu.vn</v>
      </c>
      <c r="Q672" s="36"/>
      <c r="R672" s="36" t="s">
        <v>4537</v>
      </c>
      <c r="S672" s="156"/>
      <c r="T672" s="81" t="s">
        <v>4538</v>
      </c>
      <c r="U672" s="81" t="s">
        <v>4538</v>
      </c>
      <c r="V672" s="36" t="s">
        <v>4539</v>
      </c>
      <c r="W672" s="36" t="s">
        <v>4165</v>
      </c>
      <c r="X672" s="36" t="s">
        <v>4540</v>
      </c>
      <c r="Y672" s="36" t="s">
        <v>865</v>
      </c>
      <c r="Z672" s="81"/>
      <c r="AA672" s="54"/>
      <c r="AB672" s="81">
        <v>1</v>
      </c>
      <c r="AC672" s="81" t="s">
        <v>236</v>
      </c>
      <c r="AD672" s="36" t="s">
        <v>866</v>
      </c>
      <c r="AE672" s="81" t="s">
        <v>867</v>
      </c>
      <c r="AF672" s="81" t="s">
        <v>231</v>
      </c>
      <c r="AG672" s="48">
        <v>41529</v>
      </c>
      <c r="AH672" s="134">
        <f t="shared" si="72"/>
        <v>9</v>
      </c>
      <c r="AI672" s="134"/>
      <c r="AJ672" s="48">
        <v>41604</v>
      </c>
      <c r="AK672" s="134">
        <f t="shared" si="70"/>
        <v>11</v>
      </c>
      <c r="AL672" s="81" t="s">
        <v>82</v>
      </c>
      <c r="AM672" s="81"/>
      <c r="AN672" s="81"/>
      <c r="AO672" s="48">
        <v>41619</v>
      </c>
      <c r="AP672" s="134">
        <f>IF((AO672=""),"",MONTH(AO672))</f>
        <v>12</v>
      </c>
      <c r="AQ672" s="36"/>
      <c r="AR672" s="116"/>
      <c r="AS672" s="81" t="s">
        <v>347</v>
      </c>
      <c r="AT672" s="134"/>
      <c r="AU672" s="172">
        <f t="shared" si="67"/>
        <v>3</v>
      </c>
      <c r="AV672" s="172" t="s">
        <v>68</v>
      </c>
    </row>
    <row r="673" spans="1:48" ht="38.25" x14ac:dyDescent="0.2">
      <c r="A673" s="87">
        <f t="shared" si="71"/>
        <v>20650</v>
      </c>
      <c r="B673" s="80" t="s">
        <v>691</v>
      </c>
      <c r="C673" s="80" t="s">
        <v>109</v>
      </c>
      <c r="D673" s="87"/>
      <c r="E673" s="123" t="s">
        <v>94</v>
      </c>
      <c r="F673" s="140">
        <v>31634</v>
      </c>
      <c r="G673" s="123" t="s">
        <v>365</v>
      </c>
      <c r="H673" s="54" t="s">
        <v>365</v>
      </c>
      <c r="I673" s="123" t="s">
        <v>4541</v>
      </c>
      <c r="J673" s="140">
        <v>40000</v>
      </c>
      <c r="K673" s="123" t="s">
        <v>4542</v>
      </c>
      <c r="L673" s="123" t="s">
        <v>123</v>
      </c>
      <c r="M673" s="123" t="s">
        <v>578</v>
      </c>
      <c r="N673" s="123" t="s">
        <v>4543</v>
      </c>
      <c r="O673" s="106"/>
      <c r="P673" s="153" t="str">
        <f>HYPERLINK("mailto:hangtt@topica.edu.vn","hangtt@topica.edu.vn")</f>
        <v>hangtt@topica.edu.vn</v>
      </c>
      <c r="Q673" s="123"/>
      <c r="R673" s="123" t="s">
        <v>4544</v>
      </c>
      <c r="S673" s="173"/>
      <c r="T673" s="54" t="s">
        <v>4545</v>
      </c>
      <c r="U673" s="54" t="s">
        <v>4546</v>
      </c>
      <c r="V673" s="123"/>
      <c r="W673" s="123"/>
      <c r="X673" s="123"/>
      <c r="Y673" s="123" t="s">
        <v>972</v>
      </c>
      <c r="Z673" s="54"/>
      <c r="AA673" s="54"/>
      <c r="AB673" s="54">
        <v>1</v>
      </c>
      <c r="AC673" s="54" t="s">
        <v>236</v>
      </c>
      <c r="AD673" s="123" t="s">
        <v>1183</v>
      </c>
      <c r="AE673" s="54" t="s">
        <v>1184</v>
      </c>
      <c r="AF673" s="54" t="s">
        <v>231</v>
      </c>
      <c r="AG673" s="140">
        <v>41529</v>
      </c>
      <c r="AH673" s="65">
        <f t="shared" si="72"/>
        <v>9</v>
      </c>
      <c r="AI673" s="65"/>
      <c r="AJ673" s="140">
        <v>41609</v>
      </c>
      <c r="AK673" s="65">
        <f t="shared" si="70"/>
        <v>12</v>
      </c>
      <c r="AL673" s="54" t="s">
        <v>66</v>
      </c>
      <c r="AM673" s="54"/>
      <c r="AN673" s="54"/>
      <c r="AO673" s="190"/>
      <c r="AP673" s="184"/>
      <c r="AQ673" s="123"/>
      <c r="AR673" s="23"/>
      <c r="AS673" s="54" t="s">
        <v>347</v>
      </c>
      <c r="AT673" s="136"/>
      <c r="AU673" s="70">
        <f t="shared" si="67"/>
        <v>8</v>
      </c>
      <c r="AV673" s="70" t="s">
        <v>68</v>
      </c>
    </row>
    <row r="674" spans="1:48" ht="12.75" hidden="1" x14ac:dyDescent="0.2">
      <c r="A674" s="86">
        <f t="shared" si="71"/>
        <v>20651</v>
      </c>
      <c r="B674" s="3" t="s">
        <v>4547</v>
      </c>
      <c r="C674" s="3" t="s">
        <v>50</v>
      </c>
      <c r="D674" s="86"/>
      <c r="E674" s="36" t="s">
        <v>51</v>
      </c>
      <c r="F674" s="48">
        <v>33128</v>
      </c>
      <c r="G674" s="36" t="s">
        <v>2228</v>
      </c>
      <c r="H674" s="81" t="s">
        <v>2229</v>
      </c>
      <c r="I674" s="36" t="s">
        <v>4548</v>
      </c>
      <c r="J674" s="48">
        <v>38685</v>
      </c>
      <c r="K674" s="36" t="s">
        <v>2228</v>
      </c>
      <c r="L674" s="36" t="s">
        <v>123</v>
      </c>
      <c r="M674" s="36" t="s">
        <v>4549</v>
      </c>
      <c r="N674" s="36" t="s">
        <v>368</v>
      </c>
      <c r="O674" s="101">
        <v>2011</v>
      </c>
      <c r="P674" s="159" t="str">
        <f>HYPERLINK("mailto:tuanlq@topica.edu.vn","tuanlq@topica.edu.vn")</f>
        <v>tuanlq@topica.edu.vn</v>
      </c>
      <c r="Q674" s="36"/>
      <c r="R674" s="36" t="s">
        <v>4550</v>
      </c>
      <c r="S674" s="156"/>
      <c r="T674" s="81" t="s">
        <v>4551</v>
      </c>
      <c r="U674" s="81" t="s">
        <v>4552</v>
      </c>
      <c r="V674" s="36" t="s">
        <v>4553</v>
      </c>
      <c r="W674" s="36" t="s">
        <v>283</v>
      </c>
      <c r="X674" s="36" t="s">
        <v>4554</v>
      </c>
      <c r="Y674" s="36" t="s">
        <v>206</v>
      </c>
      <c r="Z674" s="81"/>
      <c r="AA674" s="54"/>
      <c r="AB674" s="81">
        <v>3</v>
      </c>
      <c r="AC674" s="81" t="s">
        <v>63</v>
      </c>
      <c r="AD674" s="36" t="s">
        <v>1145</v>
      </c>
      <c r="AE674" s="81" t="s">
        <v>3730</v>
      </c>
      <c r="AF674" s="81" t="s">
        <v>231</v>
      </c>
      <c r="AG674" s="48">
        <v>41533</v>
      </c>
      <c r="AH674" s="134">
        <f t="shared" si="72"/>
        <v>9</v>
      </c>
      <c r="AI674" s="134"/>
      <c r="AJ674" s="48"/>
      <c r="AK674" s="134" t="str">
        <f t="shared" si="70"/>
        <v/>
      </c>
      <c r="AL674" s="54" t="s">
        <v>82</v>
      </c>
      <c r="AM674" s="54"/>
      <c r="AN674" s="54"/>
      <c r="AO674" s="190">
        <v>41604</v>
      </c>
      <c r="AP674" s="158"/>
      <c r="AQ674" s="123"/>
      <c r="AR674" s="23"/>
      <c r="AS674" s="54" t="s">
        <v>107</v>
      </c>
      <c r="AT674" s="136"/>
      <c r="AU674" s="70">
        <f t="shared" si="67"/>
        <v>9</v>
      </c>
      <c r="AV674" s="70" t="s">
        <v>68</v>
      </c>
    </row>
    <row r="675" spans="1:48" ht="12.75" hidden="1" x14ac:dyDescent="0.2">
      <c r="A675" s="86">
        <f t="shared" si="71"/>
        <v>20652</v>
      </c>
      <c r="B675" s="3" t="s">
        <v>701</v>
      </c>
      <c r="C675" s="3" t="s">
        <v>287</v>
      </c>
      <c r="D675" s="86"/>
      <c r="E675" s="36" t="s">
        <v>94</v>
      </c>
      <c r="F675" s="48"/>
      <c r="G675" s="36"/>
      <c r="H675" s="81"/>
      <c r="I675" s="36"/>
      <c r="J675" s="48"/>
      <c r="K675" s="36"/>
      <c r="L675" s="36"/>
      <c r="M675" s="36"/>
      <c r="N675" s="36"/>
      <c r="O675" s="101"/>
      <c r="P675" s="159" t="str">
        <f>HYPERLINK("mailto:maibt@topica.edu.vn","maibt@topica.edu.vn")</f>
        <v>maibt@topica.edu.vn</v>
      </c>
      <c r="Q675" s="36"/>
      <c r="R675" s="36"/>
      <c r="S675" s="156"/>
      <c r="T675" s="81"/>
      <c r="U675" s="81"/>
      <c r="V675" s="36"/>
      <c r="W675" s="36"/>
      <c r="X675" s="36"/>
      <c r="Y675" s="36" t="s">
        <v>284</v>
      </c>
      <c r="Z675" s="81"/>
      <c r="AA675" s="54"/>
      <c r="AB675" s="81">
        <v>1</v>
      </c>
      <c r="AC675" s="81" t="s">
        <v>236</v>
      </c>
      <c r="AD675" s="36" t="s">
        <v>198</v>
      </c>
      <c r="AE675" s="81" t="s">
        <v>313</v>
      </c>
      <c r="AF675" s="81" t="s">
        <v>65</v>
      </c>
      <c r="AG675" s="48">
        <v>41512</v>
      </c>
      <c r="AH675" s="134">
        <f t="shared" si="72"/>
        <v>8</v>
      </c>
      <c r="AI675" s="134"/>
      <c r="AJ675" s="48"/>
      <c r="AK675" s="134" t="str">
        <f t="shared" si="70"/>
        <v/>
      </c>
      <c r="AL675" s="54" t="s">
        <v>82</v>
      </c>
      <c r="AM675" s="54"/>
      <c r="AN675" s="54"/>
      <c r="AO675" s="190"/>
      <c r="AP675" s="158"/>
      <c r="AQ675" s="123"/>
      <c r="AR675" s="23"/>
      <c r="AS675" s="54" t="s">
        <v>107</v>
      </c>
      <c r="AT675" s="136"/>
      <c r="AU675" s="70" t="str">
        <f t="shared" si="67"/>
        <v/>
      </c>
      <c r="AV675" s="70" t="s">
        <v>68</v>
      </c>
    </row>
    <row r="676" spans="1:48" ht="12.75" hidden="1" x14ac:dyDescent="0.2">
      <c r="A676" s="87">
        <f t="shared" si="71"/>
        <v>20653</v>
      </c>
      <c r="B676" s="80" t="s">
        <v>169</v>
      </c>
      <c r="C676" s="80" t="s">
        <v>70</v>
      </c>
      <c r="D676" s="87"/>
      <c r="E676" s="123" t="s">
        <v>51</v>
      </c>
      <c r="F676" s="140">
        <v>32534</v>
      </c>
      <c r="G676" s="123" t="s">
        <v>52</v>
      </c>
      <c r="H676" s="54" t="s">
        <v>365</v>
      </c>
      <c r="I676" s="123" t="s">
        <v>4555</v>
      </c>
      <c r="J676" s="140">
        <v>37704</v>
      </c>
      <c r="K676" s="123" t="s">
        <v>52</v>
      </c>
      <c r="L676" s="123"/>
      <c r="M676" s="123"/>
      <c r="N676" s="123"/>
      <c r="O676" s="106"/>
      <c r="P676" s="153" t="str">
        <f>HYPERLINK("mailto:giangnh5@topica.edu.vn","giangnh5@topica.edu.vn")</f>
        <v>giangnh5@topica.edu.vn</v>
      </c>
      <c r="Q676" s="123"/>
      <c r="R676" s="123" t="s">
        <v>4556</v>
      </c>
      <c r="S676" s="173"/>
      <c r="T676" s="54" t="s">
        <v>4557</v>
      </c>
      <c r="U676" s="54"/>
      <c r="V676" s="123"/>
      <c r="W676" s="123"/>
      <c r="X676" s="123" t="s">
        <v>4556</v>
      </c>
      <c r="Y676" s="123" t="s">
        <v>312</v>
      </c>
      <c r="Z676" s="54"/>
      <c r="AA676" s="54"/>
      <c r="AB676" s="54">
        <v>1</v>
      </c>
      <c r="AC676" s="54" t="s">
        <v>236</v>
      </c>
      <c r="AD676" s="123" t="s">
        <v>181</v>
      </c>
      <c r="AE676" s="54"/>
      <c r="AF676" s="54" t="s">
        <v>65</v>
      </c>
      <c r="AG676" s="140"/>
      <c r="AH676" s="65" t="str">
        <f t="shared" si="72"/>
        <v/>
      </c>
      <c r="AI676" s="65"/>
      <c r="AJ676" s="140">
        <v>41532</v>
      </c>
      <c r="AK676" s="65">
        <f t="shared" ref="AK676:AK707" si="73">IF((AJ676=""),"",MONTH(AJ676))</f>
        <v>9</v>
      </c>
      <c r="AL676" s="54" t="s">
        <v>66</v>
      </c>
      <c r="AM676" s="54"/>
      <c r="AN676" s="54"/>
      <c r="AO676" s="190"/>
      <c r="AP676" s="158"/>
      <c r="AQ676" s="123"/>
      <c r="AR676" s="23"/>
      <c r="AS676" s="54" t="s">
        <v>107</v>
      </c>
      <c r="AT676" s="136"/>
      <c r="AU676" s="70">
        <f t="shared" si="67"/>
        <v>1</v>
      </c>
      <c r="AV676" s="70" t="s">
        <v>68</v>
      </c>
    </row>
    <row r="677" spans="1:48" ht="1.5" hidden="1" customHeight="1" x14ac:dyDescent="0.2">
      <c r="A677" s="87">
        <f t="shared" si="71"/>
        <v>20654</v>
      </c>
      <c r="B677" s="80" t="s">
        <v>4558</v>
      </c>
      <c r="C677" s="80" t="s">
        <v>388</v>
      </c>
      <c r="D677" s="87"/>
      <c r="E677" s="123" t="s">
        <v>51</v>
      </c>
      <c r="F677" s="140">
        <v>33449</v>
      </c>
      <c r="G677" s="65" t="s">
        <v>52</v>
      </c>
      <c r="H677" s="123" t="s">
        <v>1209</v>
      </c>
      <c r="I677" s="123" t="s">
        <v>4559</v>
      </c>
      <c r="J677" s="140">
        <v>39323</v>
      </c>
      <c r="K677" s="123" t="s">
        <v>52</v>
      </c>
      <c r="L677" s="123" t="s">
        <v>123</v>
      </c>
      <c r="M677" s="123" t="s">
        <v>217</v>
      </c>
      <c r="N677" s="123"/>
      <c r="O677" s="106"/>
      <c r="P677" s="153" t="str">
        <f>HYPERLINK("mailto:tungns2@topica.edu.vn","tungns2@topica.edu.vn")</f>
        <v>tungns2@topica.edu.vn</v>
      </c>
      <c r="Q677" s="123"/>
      <c r="R677" s="123" t="s">
        <v>4560</v>
      </c>
      <c r="S677" s="173" t="str">
        <f>HYPERLINK("mailto:sontungngo91@gmail.com","sontungngo91@gmail.com")</f>
        <v>sontungngo91@gmail.com</v>
      </c>
      <c r="T677" s="54" t="s">
        <v>4561</v>
      </c>
      <c r="U677" s="54" t="s">
        <v>4561</v>
      </c>
      <c r="V677" s="123"/>
      <c r="W677" s="123"/>
      <c r="X677" s="123"/>
      <c r="Y677" s="123" t="s">
        <v>312</v>
      </c>
      <c r="Z677" s="54"/>
      <c r="AA677" s="54"/>
      <c r="AB677" s="54">
        <v>1</v>
      </c>
      <c r="AC677" s="54" t="s">
        <v>236</v>
      </c>
      <c r="AD677" s="123" t="s">
        <v>158</v>
      </c>
      <c r="AE677" s="54"/>
      <c r="AF677" s="54" t="s">
        <v>65</v>
      </c>
      <c r="AG677" s="140"/>
      <c r="AH677" s="65" t="str">
        <f t="shared" si="72"/>
        <v/>
      </c>
      <c r="AI677" s="65"/>
      <c r="AJ677" s="140">
        <v>41532</v>
      </c>
      <c r="AK677" s="65">
        <f t="shared" si="73"/>
        <v>9</v>
      </c>
      <c r="AL677" s="54" t="s">
        <v>66</v>
      </c>
      <c r="AM677" s="54"/>
      <c r="AN677" s="54"/>
      <c r="AO677" s="190"/>
      <c r="AP677" s="158"/>
      <c r="AQ677" s="123"/>
      <c r="AR677" s="23"/>
      <c r="AS677" s="54" t="s">
        <v>107</v>
      </c>
      <c r="AT677" s="136"/>
      <c r="AU677" s="70">
        <f t="shared" si="67"/>
        <v>7</v>
      </c>
      <c r="AV677" s="70" t="s">
        <v>68</v>
      </c>
    </row>
    <row r="678" spans="1:48" ht="25.5" hidden="1" x14ac:dyDescent="0.2">
      <c r="A678" s="87">
        <f t="shared" si="71"/>
        <v>20655</v>
      </c>
      <c r="B678" s="80" t="s">
        <v>4562</v>
      </c>
      <c r="C678" s="80" t="s">
        <v>3668</v>
      </c>
      <c r="D678" s="87"/>
      <c r="E678" s="123" t="s">
        <v>94</v>
      </c>
      <c r="F678" s="140">
        <v>29185</v>
      </c>
      <c r="G678" s="123" t="s">
        <v>52</v>
      </c>
      <c r="H678" s="54"/>
      <c r="I678" s="123" t="s">
        <v>4563</v>
      </c>
      <c r="J678" s="140">
        <v>40948</v>
      </c>
      <c r="K678" s="123" t="s">
        <v>52</v>
      </c>
      <c r="L678" s="123"/>
      <c r="M678" s="123"/>
      <c r="N678" s="123"/>
      <c r="O678" s="106"/>
      <c r="P678" s="153" t="str">
        <f>HYPERLINK("mailto:khanhpv@topica.edu.vn","khanhpv@topica.edu.vn")</f>
        <v>khanhpv@topica.edu.vn</v>
      </c>
      <c r="Q678" s="123"/>
      <c r="R678" s="123" t="s">
        <v>4564</v>
      </c>
      <c r="S678" s="173" t="str">
        <f>HYPERLINK("mailto:vankhanh.pham79@gmail.com","vankhanh.pham79@gmail.com")</f>
        <v>vankhanh.pham79@gmail.com</v>
      </c>
      <c r="T678" s="54" t="s">
        <v>4565</v>
      </c>
      <c r="U678" s="54" t="s">
        <v>4566</v>
      </c>
      <c r="V678" s="123" t="s">
        <v>4567</v>
      </c>
      <c r="W678" s="123" t="s">
        <v>2989</v>
      </c>
      <c r="X678" s="123" t="s">
        <v>4568</v>
      </c>
      <c r="Y678" s="123" t="s">
        <v>374</v>
      </c>
      <c r="Z678" s="54"/>
      <c r="AA678" s="54"/>
      <c r="AB678" s="54">
        <v>3</v>
      </c>
      <c r="AC678" s="54" t="s">
        <v>63</v>
      </c>
      <c r="AD678" s="123" t="s">
        <v>198</v>
      </c>
      <c r="AE678" s="54" t="s">
        <v>313</v>
      </c>
      <c r="AF678" s="54" t="s">
        <v>65</v>
      </c>
      <c r="AG678" s="140">
        <v>41540</v>
      </c>
      <c r="AH678" s="65">
        <f t="shared" si="72"/>
        <v>9</v>
      </c>
      <c r="AI678" s="65"/>
      <c r="AJ678" s="140">
        <v>41601</v>
      </c>
      <c r="AK678" s="65">
        <f t="shared" si="73"/>
        <v>11</v>
      </c>
      <c r="AL678" s="54" t="s">
        <v>66</v>
      </c>
      <c r="AM678" s="54"/>
      <c r="AN678" s="54"/>
      <c r="AO678" s="190"/>
      <c r="AP678" s="158"/>
      <c r="AQ678" s="123"/>
      <c r="AR678" s="23"/>
      <c r="AS678" s="54" t="s">
        <v>107</v>
      </c>
      <c r="AT678" s="136"/>
      <c r="AU678" s="70">
        <f t="shared" si="67"/>
        <v>11</v>
      </c>
      <c r="AV678" s="70" t="s">
        <v>68</v>
      </c>
    </row>
    <row r="679" spans="1:48" ht="25.5" hidden="1" x14ac:dyDescent="0.2">
      <c r="A679" s="87">
        <f t="shared" si="71"/>
        <v>20656</v>
      </c>
      <c r="B679" s="80" t="s">
        <v>596</v>
      </c>
      <c r="C679" s="80" t="s">
        <v>109</v>
      </c>
      <c r="D679" s="87"/>
      <c r="E679" s="123" t="s">
        <v>94</v>
      </c>
      <c r="F679" s="140">
        <v>33227</v>
      </c>
      <c r="G679" s="123" t="s">
        <v>132</v>
      </c>
      <c r="H679" s="54" t="s">
        <v>132</v>
      </c>
      <c r="I679" s="123" t="s">
        <v>4569</v>
      </c>
      <c r="J679" s="140">
        <v>41073</v>
      </c>
      <c r="K679" s="123" t="s">
        <v>52</v>
      </c>
      <c r="L679" s="123" t="s">
        <v>123</v>
      </c>
      <c r="M679" s="123" t="s">
        <v>4570</v>
      </c>
      <c r="N679" s="123" t="s">
        <v>4063</v>
      </c>
      <c r="O679" s="106">
        <v>2013</v>
      </c>
      <c r="P679" s="153" t="str">
        <f>HYPERLINK("mailto:hangpt@topica.edu.vn","hangpt@topica.edu.vn")</f>
        <v>hangpt@topica.edu.vn</v>
      </c>
      <c r="Q679" s="123"/>
      <c r="R679" s="123" t="s">
        <v>4571</v>
      </c>
      <c r="S679" s="173" t="str">
        <f>HYPERLINK("mailto:hangpham.2201@gmail.com","hangpham.2201@gmail.com")</f>
        <v>hangpham.2201@gmail.com</v>
      </c>
      <c r="T679" s="54" t="s">
        <v>4572</v>
      </c>
      <c r="U679" s="54" t="s">
        <v>4573</v>
      </c>
      <c r="V679" s="123" t="s">
        <v>4574</v>
      </c>
      <c r="W679" s="123" t="s">
        <v>745</v>
      </c>
      <c r="X679" s="123" t="s">
        <v>4575</v>
      </c>
      <c r="Y679" s="123" t="s">
        <v>312</v>
      </c>
      <c r="Z679" s="54"/>
      <c r="AA679" s="54"/>
      <c r="AB679" s="54">
        <v>1</v>
      </c>
      <c r="AC679" s="54" t="s">
        <v>236</v>
      </c>
      <c r="AD679" s="123" t="s">
        <v>207</v>
      </c>
      <c r="AE679" s="54" t="s">
        <v>1128</v>
      </c>
      <c r="AF679" s="54" t="s">
        <v>65</v>
      </c>
      <c r="AG679" s="140">
        <v>41518</v>
      </c>
      <c r="AH679" s="65">
        <f t="shared" si="72"/>
        <v>9</v>
      </c>
      <c r="AI679" s="65"/>
      <c r="AJ679" s="140">
        <v>41579</v>
      </c>
      <c r="AK679" s="65">
        <f t="shared" si="73"/>
        <v>11</v>
      </c>
      <c r="AL679" s="54" t="s">
        <v>66</v>
      </c>
      <c r="AM679" s="54"/>
      <c r="AN679" s="54"/>
      <c r="AO679" s="190"/>
      <c r="AP679" s="158"/>
      <c r="AQ679" s="123"/>
      <c r="AR679" s="23"/>
      <c r="AS679" s="54" t="s">
        <v>347</v>
      </c>
      <c r="AT679" s="136"/>
      <c r="AU679" s="70">
        <f t="shared" si="67"/>
        <v>12</v>
      </c>
      <c r="AV679" s="70" t="s">
        <v>68</v>
      </c>
    </row>
    <row r="680" spans="1:48" ht="38.25" hidden="1" x14ac:dyDescent="0.2">
      <c r="A680" s="87">
        <f t="shared" si="71"/>
        <v>20657</v>
      </c>
      <c r="B680" s="80" t="s">
        <v>4576</v>
      </c>
      <c r="C680" s="80" t="s">
        <v>2489</v>
      </c>
      <c r="D680" s="87"/>
      <c r="E680" s="123" t="s">
        <v>94</v>
      </c>
      <c r="F680" s="140">
        <v>32227</v>
      </c>
      <c r="G680" s="123"/>
      <c r="H680" s="54" t="s">
        <v>1255</v>
      </c>
      <c r="I680" s="123" t="s">
        <v>4577</v>
      </c>
      <c r="J680" s="140">
        <v>40647</v>
      </c>
      <c r="K680" s="123" t="s">
        <v>3389</v>
      </c>
      <c r="L680" s="123"/>
      <c r="M680" s="123"/>
      <c r="N680" s="123"/>
      <c r="O680" s="106"/>
      <c r="P680" s="153" t="str">
        <f>HYPERLINK("mailto:tuyenttk@topica.edu.vn","tuyenttk@topica.edu.vn")</f>
        <v>tuyenttk@topica.edu.vn</v>
      </c>
      <c r="Q680" s="123"/>
      <c r="R680" s="123" t="s">
        <v>4578</v>
      </c>
      <c r="S680" s="173"/>
      <c r="T680" s="54" t="s">
        <v>4579</v>
      </c>
      <c r="U680" s="54" t="s">
        <v>4579</v>
      </c>
      <c r="V680" s="123" t="s">
        <v>150</v>
      </c>
      <c r="W680" s="123" t="s">
        <v>160</v>
      </c>
      <c r="X680" s="123" t="s">
        <v>4580</v>
      </c>
      <c r="Y680" s="123" t="s">
        <v>865</v>
      </c>
      <c r="Z680" s="54"/>
      <c r="AA680" s="54"/>
      <c r="AB680" s="54">
        <v>1</v>
      </c>
      <c r="AC680" s="54" t="s">
        <v>236</v>
      </c>
      <c r="AD680" s="123" t="s">
        <v>866</v>
      </c>
      <c r="AE680" s="54" t="s">
        <v>867</v>
      </c>
      <c r="AF680" s="54" t="s">
        <v>231</v>
      </c>
      <c r="AG680" s="140">
        <v>41513</v>
      </c>
      <c r="AH680" s="65">
        <f t="shared" si="72"/>
        <v>8</v>
      </c>
      <c r="AI680" s="65"/>
      <c r="AJ680" s="140">
        <v>41568</v>
      </c>
      <c r="AK680" s="65">
        <f t="shared" si="73"/>
        <v>10</v>
      </c>
      <c r="AL680" s="54" t="s">
        <v>66</v>
      </c>
      <c r="AM680" s="54"/>
      <c r="AN680" s="54"/>
      <c r="AO680" s="190"/>
      <c r="AP680" s="194"/>
      <c r="AQ680" s="123"/>
      <c r="AR680" s="23"/>
      <c r="AS680" s="54" t="s">
        <v>347</v>
      </c>
      <c r="AT680" s="136"/>
      <c r="AU680" s="70">
        <f t="shared" si="67"/>
        <v>3</v>
      </c>
      <c r="AV680" s="70" t="s">
        <v>68</v>
      </c>
    </row>
    <row r="681" spans="1:48" ht="25.5" hidden="1" x14ac:dyDescent="0.2">
      <c r="A681" s="86">
        <f t="shared" si="71"/>
        <v>20658</v>
      </c>
      <c r="B681" s="3" t="s">
        <v>1010</v>
      </c>
      <c r="C681" s="3" t="s">
        <v>191</v>
      </c>
      <c r="D681" s="86"/>
      <c r="E681" s="36" t="s">
        <v>94</v>
      </c>
      <c r="F681" s="48">
        <v>32771</v>
      </c>
      <c r="G681" s="36" t="s">
        <v>1139</v>
      </c>
      <c r="H681" s="81" t="s">
        <v>3098</v>
      </c>
      <c r="I681" s="36" t="s">
        <v>4581</v>
      </c>
      <c r="J681" s="48">
        <v>38209</v>
      </c>
      <c r="K681" s="36" t="s">
        <v>1139</v>
      </c>
      <c r="L681" s="36" t="s">
        <v>123</v>
      </c>
      <c r="M681" s="36" t="s">
        <v>2619</v>
      </c>
      <c r="N681" s="36" t="s">
        <v>4063</v>
      </c>
      <c r="O681" s="101">
        <v>2011</v>
      </c>
      <c r="P681" s="159" t="str">
        <f>HYPERLINK("mailto:thuyttt@topica.edu.vn","thuyttt@topica.edu.vn")</f>
        <v>thuyttt@topica.edu.vn</v>
      </c>
      <c r="Q681" s="36"/>
      <c r="R681" s="36" t="s">
        <v>4582</v>
      </c>
      <c r="S681" s="156"/>
      <c r="T681" s="81" t="s">
        <v>4583</v>
      </c>
      <c r="U681" s="81" t="s">
        <v>4584</v>
      </c>
      <c r="V681" s="36" t="s">
        <v>4585</v>
      </c>
      <c r="W681" s="36" t="s">
        <v>4316</v>
      </c>
      <c r="X681" s="36" t="s">
        <v>4586</v>
      </c>
      <c r="Y681" s="36" t="s">
        <v>616</v>
      </c>
      <c r="Z681" s="81"/>
      <c r="AA681" s="54"/>
      <c r="AB681" s="81">
        <v>1</v>
      </c>
      <c r="AC681" s="81" t="s">
        <v>236</v>
      </c>
      <c r="AD681" s="36" t="s">
        <v>866</v>
      </c>
      <c r="AE681" s="81" t="s">
        <v>867</v>
      </c>
      <c r="AF681" s="81" t="s">
        <v>231</v>
      </c>
      <c r="AG681" s="48">
        <v>41535</v>
      </c>
      <c r="AH681" s="134">
        <f t="shared" si="72"/>
        <v>9</v>
      </c>
      <c r="AI681" s="134"/>
      <c r="AJ681" s="48"/>
      <c r="AK681" s="134" t="str">
        <f t="shared" si="73"/>
        <v/>
      </c>
      <c r="AL681" s="54" t="s">
        <v>82</v>
      </c>
      <c r="AM681" s="54"/>
      <c r="AN681" s="54"/>
      <c r="AO681" s="190">
        <v>41573</v>
      </c>
      <c r="AP681" s="136">
        <f>IF((AO681=""),"",MONTH(AO681))</f>
        <v>10</v>
      </c>
      <c r="AQ681" s="123"/>
      <c r="AR681" s="23"/>
      <c r="AS681" s="54" t="s">
        <v>347</v>
      </c>
      <c r="AT681" s="136"/>
      <c r="AU681" s="70">
        <f t="shared" si="67"/>
        <v>9</v>
      </c>
      <c r="AV681" s="70" t="s">
        <v>68</v>
      </c>
    </row>
    <row r="682" spans="1:48" ht="38.25" hidden="1" x14ac:dyDescent="0.2">
      <c r="A682" s="87">
        <f t="shared" si="71"/>
        <v>20659</v>
      </c>
      <c r="B682" s="80" t="s">
        <v>2436</v>
      </c>
      <c r="C682" s="80" t="s">
        <v>1792</v>
      </c>
      <c r="D682" s="87"/>
      <c r="E682" s="123" t="s">
        <v>94</v>
      </c>
      <c r="F682" s="140">
        <v>32902</v>
      </c>
      <c r="G682" s="123" t="s">
        <v>884</v>
      </c>
      <c r="H682" s="54" t="s">
        <v>726</v>
      </c>
      <c r="I682" s="123" t="s">
        <v>4587</v>
      </c>
      <c r="J682" s="140">
        <v>38931</v>
      </c>
      <c r="K682" s="123" t="s">
        <v>4588</v>
      </c>
      <c r="L682" s="123" t="s">
        <v>341</v>
      </c>
      <c r="M682" s="123" t="s">
        <v>4589</v>
      </c>
      <c r="N682" s="123" t="s">
        <v>4590</v>
      </c>
      <c r="O682" s="106">
        <v>2011</v>
      </c>
      <c r="P682" s="153" t="str">
        <f>HYPERLINK("mailto:daonta@topica.edu.vn","daonta@topica.edu.vn")</f>
        <v>daonta@topica.edu.vn</v>
      </c>
      <c r="Q682" s="123"/>
      <c r="R682" s="123" t="s">
        <v>4591</v>
      </c>
      <c r="S682" s="173" t="str">
        <f>HYPERLINK("mailto:hoaanhdao291@gmail.com","hoaanhdao291@gmail.com")</f>
        <v>hoaanhdao291@gmail.com</v>
      </c>
      <c r="T682" s="54" t="s">
        <v>4592</v>
      </c>
      <c r="U682" s="54" t="s">
        <v>4593</v>
      </c>
      <c r="V682" s="123" t="s">
        <v>4594</v>
      </c>
      <c r="W682" s="123" t="s">
        <v>4595</v>
      </c>
      <c r="X682" s="123" t="s">
        <v>4596</v>
      </c>
      <c r="Y682" s="123" t="s">
        <v>865</v>
      </c>
      <c r="Z682" s="54"/>
      <c r="AA682" s="54"/>
      <c r="AB682" s="54">
        <v>1</v>
      </c>
      <c r="AC682" s="54" t="s">
        <v>236</v>
      </c>
      <c r="AD682" s="123" t="s">
        <v>866</v>
      </c>
      <c r="AE682" s="54" t="s">
        <v>867</v>
      </c>
      <c r="AF682" s="54" t="s">
        <v>231</v>
      </c>
      <c r="AG682" s="140">
        <v>41540</v>
      </c>
      <c r="AH682" s="65">
        <f t="shared" si="72"/>
        <v>9</v>
      </c>
      <c r="AI682" s="65"/>
      <c r="AJ682" s="140">
        <v>41603</v>
      </c>
      <c r="AK682" s="65">
        <f t="shared" si="73"/>
        <v>11</v>
      </c>
      <c r="AL682" s="54" t="s">
        <v>66</v>
      </c>
      <c r="AM682" s="54"/>
      <c r="AN682" s="54"/>
      <c r="AO682" s="190"/>
      <c r="AP682" s="184"/>
      <c r="AQ682" s="123"/>
      <c r="AR682" s="23"/>
      <c r="AS682" s="54" t="s">
        <v>347</v>
      </c>
      <c r="AT682" s="136"/>
      <c r="AU682" s="70">
        <f t="shared" si="67"/>
        <v>1</v>
      </c>
      <c r="AV682" s="70" t="s">
        <v>68</v>
      </c>
    </row>
    <row r="683" spans="1:48" ht="25.5" hidden="1" x14ac:dyDescent="0.2">
      <c r="A683" s="87">
        <f t="shared" si="71"/>
        <v>20660</v>
      </c>
      <c r="B683" s="80" t="s">
        <v>4597</v>
      </c>
      <c r="C683" s="80" t="s">
        <v>1547</v>
      </c>
      <c r="D683" s="87"/>
      <c r="E683" s="123" t="s">
        <v>94</v>
      </c>
      <c r="F683" s="140">
        <v>33090</v>
      </c>
      <c r="G683" s="123" t="s">
        <v>1148</v>
      </c>
      <c r="H683" s="54" t="s">
        <v>1148</v>
      </c>
      <c r="I683" s="123" t="s">
        <v>4598</v>
      </c>
      <c r="J683" s="140">
        <v>38548</v>
      </c>
      <c r="K683" s="123" t="s">
        <v>1148</v>
      </c>
      <c r="L683" s="123" t="s">
        <v>123</v>
      </c>
      <c r="M683" s="123" t="s">
        <v>4599</v>
      </c>
      <c r="N683" s="123" t="s">
        <v>3952</v>
      </c>
      <c r="O683" s="106">
        <v>2012</v>
      </c>
      <c r="P683" s="153" t="str">
        <f>HYPERLINK("mailto:vyplt@topica.edu.vn","vyplt@topica.edu.vn")</f>
        <v>vyplt@topica.edu.vn</v>
      </c>
      <c r="Q683" s="123"/>
      <c r="R683" s="123" t="s">
        <v>4600</v>
      </c>
      <c r="S683" s="173"/>
      <c r="T683" s="54" t="s">
        <v>4601</v>
      </c>
      <c r="U683" s="54" t="s">
        <v>4602</v>
      </c>
      <c r="V683" s="123" t="s">
        <v>4603</v>
      </c>
      <c r="W683" s="123" t="s">
        <v>283</v>
      </c>
      <c r="X683" s="123" t="s">
        <v>4604</v>
      </c>
      <c r="Y683" s="123" t="s">
        <v>865</v>
      </c>
      <c r="Z683" s="54"/>
      <c r="AA683" s="54"/>
      <c r="AB683" s="54">
        <v>1</v>
      </c>
      <c r="AC683" s="54" t="s">
        <v>236</v>
      </c>
      <c r="AD683" s="123" t="s">
        <v>866</v>
      </c>
      <c r="AE683" s="54" t="s">
        <v>867</v>
      </c>
      <c r="AF683" s="54" t="s">
        <v>231</v>
      </c>
      <c r="AG683" s="140">
        <v>41535</v>
      </c>
      <c r="AH683" s="65">
        <f t="shared" si="72"/>
        <v>9</v>
      </c>
      <c r="AI683" s="65"/>
      <c r="AJ683" s="140">
        <v>41603</v>
      </c>
      <c r="AK683" s="65">
        <f t="shared" si="73"/>
        <v>11</v>
      </c>
      <c r="AL683" s="54" t="s">
        <v>66</v>
      </c>
      <c r="AM683" s="54"/>
      <c r="AN683" s="54"/>
      <c r="AO683" s="190"/>
      <c r="AP683" s="158"/>
      <c r="AQ683" s="123"/>
      <c r="AR683" s="23"/>
      <c r="AS683" s="54" t="s">
        <v>347</v>
      </c>
      <c r="AT683" s="136"/>
      <c r="AU683" s="70">
        <f t="shared" si="67"/>
        <v>8</v>
      </c>
      <c r="AV683" s="70" t="s">
        <v>68</v>
      </c>
    </row>
    <row r="684" spans="1:48" ht="25.5" hidden="1" x14ac:dyDescent="0.2">
      <c r="A684" s="87">
        <f t="shared" si="71"/>
        <v>20661</v>
      </c>
      <c r="B684" s="80" t="s">
        <v>4605</v>
      </c>
      <c r="C684" s="80" t="s">
        <v>70</v>
      </c>
      <c r="D684" s="87"/>
      <c r="E684" s="123" t="s">
        <v>94</v>
      </c>
      <c r="F684" s="140">
        <v>32737</v>
      </c>
      <c r="G684" s="123" t="s">
        <v>2734</v>
      </c>
      <c r="H684" s="54" t="s">
        <v>856</v>
      </c>
      <c r="I684" s="123" t="s">
        <v>4606</v>
      </c>
      <c r="J684" s="140">
        <v>38502</v>
      </c>
      <c r="K684" s="123" t="s">
        <v>4349</v>
      </c>
      <c r="L684" s="123" t="s">
        <v>123</v>
      </c>
      <c r="M684" s="123" t="s">
        <v>2050</v>
      </c>
      <c r="N684" s="123" t="s">
        <v>3541</v>
      </c>
      <c r="O684" s="106">
        <v>2011</v>
      </c>
      <c r="P684" s="153" t="str">
        <f>HYPERLINK("mailto:giangpth@topica.edu.vn","giangpth@topica.edu.vn")</f>
        <v>giangpth@topica.edu.vn</v>
      </c>
      <c r="Q684" s="123" t="s">
        <v>4607</v>
      </c>
      <c r="R684" s="123" t="s">
        <v>4608</v>
      </c>
      <c r="S684" s="173"/>
      <c r="T684" s="54" t="s">
        <v>4609</v>
      </c>
      <c r="U684" s="54" t="s">
        <v>4610</v>
      </c>
      <c r="V684" s="123"/>
      <c r="W684" s="123"/>
      <c r="X684" s="123"/>
      <c r="Y684" s="123" t="s">
        <v>865</v>
      </c>
      <c r="Z684" s="54"/>
      <c r="AA684" s="54"/>
      <c r="AB684" s="54">
        <v>1</v>
      </c>
      <c r="AC684" s="54" t="s">
        <v>236</v>
      </c>
      <c r="AD684" s="123" t="s">
        <v>866</v>
      </c>
      <c r="AE684" s="54" t="s">
        <v>867</v>
      </c>
      <c r="AF684" s="54" t="s">
        <v>231</v>
      </c>
      <c r="AG684" s="140">
        <v>41535</v>
      </c>
      <c r="AH684" s="65">
        <f t="shared" si="72"/>
        <v>9</v>
      </c>
      <c r="AI684" s="65"/>
      <c r="AJ684" s="140">
        <v>41604</v>
      </c>
      <c r="AK684" s="65">
        <f t="shared" si="73"/>
        <v>11</v>
      </c>
      <c r="AL684" s="54" t="s">
        <v>66</v>
      </c>
      <c r="AM684" s="54"/>
      <c r="AN684" s="54"/>
      <c r="AO684" s="190"/>
      <c r="AP684" s="194"/>
      <c r="AQ684" s="123"/>
      <c r="AR684" s="23"/>
      <c r="AS684" s="54" t="s">
        <v>347</v>
      </c>
      <c r="AT684" s="136"/>
      <c r="AU684" s="70">
        <f t="shared" si="67"/>
        <v>8</v>
      </c>
      <c r="AV684" s="70" t="s">
        <v>68</v>
      </c>
    </row>
    <row r="685" spans="1:48" ht="38.25" hidden="1" x14ac:dyDescent="0.2">
      <c r="A685" s="86">
        <f t="shared" si="71"/>
        <v>20662</v>
      </c>
      <c r="B685" s="3" t="s">
        <v>4611</v>
      </c>
      <c r="C685" s="3" t="s">
        <v>256</v>
      </c>
      <c r="D685" s="86"/>
      <c r="E685" s="36" t="s">
        <v>94</v>
      </c>
      <c r="F685" s="48">
        <v>32289</v>
      </c>
      <c r="G685" s="36" t="s">
        <v>231</v>
      </c>
      <c r="H685" s="81" t="s">
        <v>954</v>
      </c>
      <c r="I685" s="36" t="s">
        <v>4612</v>
      </c>
      <c r="J685" s="48">
        <v>38947</v>
      </c>
      <c r="K685" s="36" t="s">
        <v>4349</v>
      </c>
      <c r="L685" s="36" t="s">
        <v>123</v>
      </c>
      <c r="M685" s="36" t="s">
        <v>4613</v>
      </c>
      <c r="N685" s="36" t="s">
        <v>4614</v>
      </c>
      <c r="O685" s="101">
        <v>2012</v>
      </c>
      <c r="P685" s="159" t="str">
        <f>HYPERLINK("mailto:thaocdx@topica.edu.vn","thaocdx@topica.edu.vn")</f>
        <v>thaocdx@topica.edu.vn</v>
      </c>
      <c r="Q685" s="36"/>
      <c r="R685" s="36" t="s">
        <v>4615</v>
      </c>
      <c r="S685" s="156" t="str">
        <f>HYPERLINK("mailto:xuanthao2605@yahoo.com","xuanthao2605@yahoo.com")</f>
        <v>xuanthao2605@yahoo.com</v>
      </c>
      <c r="T685" s="81" t="s">
        <v>4616</v>
      </c>
      <c r="U685" s="81" t="s">
        <v>4616</v>
      </c>
      <c r="V685" s="36" t="s">
        <v>4617</v>
      </c>
      <c r="W685" s="36" t="s">
        <v>4316</v>
      </c>
      <c r="X685" s="36" t="s">
        <v>4618</v>
      </c>
      <c r="Y685" s="36" t="s">
        <v>616</v>
      </c>
      <c r="Z685" s="81"/>
      <c r="AA685" s="54"/>
      <c r="AB685" s="81">
        <v>1</v>
      </c>
      <c r="AC685" s="81" t="s">
        <v>236</v>
      </c>
      <c r="AD685" s="36" t="s">
        <v>866</v>
      </c>
      <c r="AE685" s="81" t="s">
        <v>867</v>
      </c>
      <c r="AF685" s="81" t="s">
        <v>231</v>
      </c>
      <c r="AG685" s="48">
        <v>41528</v>
      </c>
      <c r="AH685" s="134">
        <f t="shared" si="72"/>
        <v>9</v>
      </c>
      <c r="AI685" s="134"/>
      <c r="AJ685" s="48"/>
      <c r="AK685" s="134" t="str">
        <f t="shared" si="73"/>
        <v/>
      </c>
      <c r="AL685" s="54" t="s">
        <v>82</v>
      </c>
      <c r="AM685" s="54"/>
      <c r="AN685" s="54"/>
      <c r="AO685" s="190">
        <v>41549</v>
      </c>
      <c r="AP685" s="65">
        <f t="shared" ref="AP685:AP727" si="74">IF((AO685=""),"",MONTH(AO685))</f>
        <v>10</v>
      </c>
      <c r="AQ685" s="123"/>
      <c r="AR685" s="23"/>
      <c r="AS685" s="54" t="s">
        <v>347</v>
      </c>
      <c r="AT685" s="136"/>
      <c r="AU685" s="70"/>
      <c r="AV685" s="70" t="s">
        <v>68</v>
      </c>
    </row>
    <row r="686" spans="1:48" ht="38.25" hidden="1" x14ac:dyDescent="0.2">
      <c r="A686" s="86">
        <f t="shared" si="71"/>
        <v>20663</v>
      </c>
      <c r="B686" s="3" t="s">
        <v>4619</v>
      </c>
      <c r="C686" s="3" t="s">
        <v>608</v>
      </c>
      <c r="D686" s="86"/>
      <c r="E686" s="36" t="s">
        <v>94</v>
      </c>
      <c r="F686" s="48">
        <v>33543</v>
      </c>
      <c r="G686" s="36" t="s">
        <v>303</v>
      </c>
      <c r="H686" s="81" t="s">
        <v>303</v>
      </c>
      <c r="I686" s="36" t="s">
        <v>4620</v>
      </c>
      <c r="J686" s="48">
        <v>39757</v>
      </c>
      <c r="K686" s="36" t="s">
        <v>303</v>
      </c>
      <c r="L686" s="36" t="s">
        <v>123</v>
      </c>
      <c r="M686" s="36" t="s">
        <v>96</v>
      </c>
      <c r="N686" s="36" t="s">
        <v>4621</v>
      </c>
      <c r="O686" s="101">
        <v>2013</v>
      </c>
      <c r="P686" s="159" t="str">
        <f>HYPERLINK("mailto:oanhttl@topica.edu.vn","oanhttl@topica.edu.vn")</f>
        <v>oanhttl@topica.edu.vn</v>
      </c>
      <c r="Q686" s="36"/>
      <c r="R686" s="36" t="s">
        <v>4622</v>
      </c>
      <c r="S686" s="156" t="str">
        <f>HYPERLINK("mailto:lanoanhktqd@gmail.com","lanoanhktqd@gmail.com")</f>
        <v>lanoanhktqd@gmail.com</v>
      </c>
      <c r="T686" s="81" t="s">
        <v>4623</v>
      </c>
      <c r="U686" s="81" t="s">
        <v>4624</v>
      </c>
      <c r="V686" s="36" t="s">
        <v>4625</v>
      </c>
      <c r="W686" s="36" t="s">
        <v>4626</v>
      </c>
      <c r="X686" s="36" t="s">
        <v>4627</v>
      </c>
      <c r="Y686" s="36" t="s">
        <v>284</v>
      </c>
      <c r="Z686" s="81"/>
      <c r="AA686" s="54"/>
      <c r="AB686" s="81">
        <v>1</v>
      </c>
      <c r="AC686" s="81" t="s">
        <v>236</v>
      </c>
      <c r="AD686" s="36" t="s">
        <v>221</v>
      </c>
      <c r="AE686" s="81" t="s">
        <v>4029</v>
      </c>
      <c r="AF686" s="81" t="s">
        <v>65</v>
      </c>
      <c r="AG686" s="48">
        <v>41541</v>
      </c>
      <c r="AH686" s="134">
        <f t="shared" si="72"/>
        <v>9</v>
      </c>
      <c r="AI686" s="134"/>
      <c r="AJ686" s="48"/>
      <c r="AK686" s="134" t="str">
        <f t="shared" si="73"/>
        <v/>
      </c>
      <c r="AL686" s="54" t="s">
        <v>82</v>
      </c>
      <c r="AM686" s="54"/>
      <c r="AN686" s="54"/>
      <c r="AO686" s="190"/>
      <c r="AP686" s="65" t="str">
        <f t="shared" si="74"/>
        <v/>
      </c>
      <c r="AQ686" s="123"/>
      <c r="AR686" s="23"/>
      <c r="AS686" s="54" t="s">
        <v>107</v>
      </c>
      <c r="AT686" s="136"/>
      <c r="AU686" s="70">
        <f t="shared" ref="AU686:AU717" si="75">IF((F686=""),"",MONTH(F686))</f>
        <v>11</v>
      </c>
      <c r="AV686" s="70" t="s">
        <v>68</v>
      </c>
    </row>
    <row r="687" spans="1:48" ht="51" hidden="1" x14ac:dyDescent="0.2">
      <c r="A687" s="87">
        <f t="shared" si="71"/>
        <v>20664</v>
      </c>
      <c r="B687" s="80" t="s">
        <v>4628</v>
      </c>
      <c r="C687" s="80" t="s">
        <v>287</v>
      </c>
      <c r="D687" s="87"/>
      <c r="E687" s="123" t="s">
        <v>94</v>
      </c>
      <c r="F687" s="140">
        <v>30264</v>
      </c>
      <c r="G687" s="123" t="s">
        <v>52</v>
      </c>
      <c r="H687" s="54" t="s">
        <v>52</v>
      </c>
      <c r="I687" s="123" t="s">
        <v>4629</v>
      </c>
      <c r="J687" s="140">
        <v>36439</v>
      </c>
      <c r="K687" s="123" t="s">
        <v>52</v>
      </c>
      <c r="L687" s="123" t="s">
        <v>123</v>
      </c>
      <c r="M687" s="123" t="s">
        <v>632</v>
      </c>
      <c r="N687" s="123" t="s">
        <v>4630</v>
      </c>
      <c r="O687" s="106">
        <v>2006</v>
      </c>
      <c r="P687" s="153" t="str">
        <f>HYPERLINK("mailto:maidtk@topica.edu.vn","maidtk@topica.edu.vn")</f>
        <v>maidtk@topica.edu.vn</v>
      </c>
      <c r="Q687" s="123"/>
      <c r="R687" s="123" t="s">
        <v>4631</v>
      </c>
      <c r="S687" s="173"/>
      <c r="T687" s="54" t="s">
        <v>4632</v>
      </c>
      <c r="U687" s="54" t="s">
        <v>4632</v>
      </c>
      <c r="V687" s="123" t="s">
        <v>4633</v>
      </c>
      <c r="W687" s="123" t="s">
        <v>745</v>
      </c>
      <c r="X687" s="123"/>
      <c r="Y687" s="123" t="s">
        <v>865</v>
      </c>
      <c r="Z687" s="54"/>
      <c r="AA687" s="54"/>
      <c r="AB687" s="54">
        <v>1</v>
      </c>
      <c r="AC687" s="54" t="s">
        <v>236</v>
      </c>
      <c r="AD687" s="123" t="s">
        <v>207</v>
      </c>
      <c r="AE687" s="54" t="s">
        <v>585</v>
      </c>
      <c r="AF687" s="54" t="s">
        <v>65</v>
      </c>
      <c r="AG687" s="140">
        <v>41547</v>
      </c>
      <c r="AH687" s="65">
        <f t="shared" si="72"/>
        <v>9</v>
      </c>
      <c r="AI687" s="65"/>
      <c r="AJ687" s="140">
        <v>41609</v>
      </c>
      <c r="AK687" s="65">
        <f t="shared" si="73"/>
        <v>12</v>
      </c>
      <c r="AL687" s="54" t="s">
        <v>66</v>
      </c>
      <c r="AM687" s="54"/>
      <c r="AN687" s="54"/>
      <c r="AO687" s="190"/>
      <c r="AP687" s="65" t="str">
        <f t="shared" si="74"/>
        <v/>
      </c>
      <c r="AQ687" s="123"/>
      <c r="AR687" s="23"/>
      <c r="AS687" s="54" t="s">
        <v>347</v>
      </c>
      <c r="AT687" s="136"/>
      <c r="AU687" s="70">
        <f t="shared" si="75"/>
        <v>11</v>
      </c>
      <c r="AV687" s="70" t="s">
        <v>68</v>
      </c>
    </row>
    <row r="688" spans="1:48" ht="25.5" hidden="1" x14ac:dyDescent="0.2">
      <c r="A688" s="87">
        <f t="shared" si="71"/>
        <v>20665</v>
      </c>
      <c r="B688" s="80" t="s">
        <v>4634</v>
      </c>
      <c r="C688" s="80" t="s">
        <v>131</v>
      </c>
      <c r="D688" s="87"/>
      <c r="E688" s="123" t="s">
        <v>94</v>
      </c>
      <c r="F688" s="140">
        <v>32940</v>
      </c>
      <c r="G688" s="123" t="s">
        <v>365</v>
      </c>
      <c r="H688" s="54" t="s">
        <v>365</v>
      </c>
      <c r="I688" s="123" t="s">
        <v>4635</v>
      </c>
      <c r="J688" s="140">
        <v>40668</v>
      </c>
      <c r="K688" s="123" t="s">
        <v>365</v>
      </c>
      <c r="L688" s="123" t="s">
        <v>123</v>
      </c>
      <c r="M688" s="123" t="s">
        <v>96</v>
      </c>
      <c r="N688" s="123" t="s">
        <v>1582</v>
      </c>
      <c r="O688" s="106">
        <v>2012</v>
      </c>
      <c r="P688" s="153" t="str">
        <f>HYPERLINK("mailto:hiendtt@topica.edu.vn","hiendtt@topica.edu.vn")</f>
        <v>hiendtt@topica.edu.vn</v>
      </c>
      <c r="Q688" s="123"/>
      <c r="R688" s="123" t="s">
        <v>4636</v>
      </c>
      <c r="S688" s="173"/>
      <c r="T688" s="54" t="s">
        <v>4637</v>
      </c>
      <c r="U688" s="54" t="s">
        <v>4638</v>
      </c>
      <c r="V688" s="123"/>
      <c r="W688" s="123"/>
      <c r="X688" s="123"/>
      <c r="Y688" s="123" t="s">
        <v>865</v>
      </c>
      <c r="Z688" s="54"/>
      <c r="AA688" s="54"/>
      <c r="AB688" s="54">
        <v>1</v>
      </c>
      <c r="AC688" s="54" t="s">
        <v>236</v>
      </c>
      <c r="AD688" s="123" t="s">
        <v>207</v>
      </c>
      <c r="AE688" s="54" t="s">
        <v>585</v>
      </c>
      <c r="AF688" s="54" t="s">
        <v>65</v>
      </c>
      <c r="AG688" s="140">
        <v>41547</v>
      </c>
      <c r="AH688" s="65">
        <f t="shared" si="72"/>
        <v>9</v>
      </c>
      <c r="AI688" s="65"/>
      <c r="AJ688" s="140">
        <v>41609</v>
      </c>
      <c r="AK688" s="65">
        <f t="shared" si="73"/>
        <v>12</v>
      </c>
      <c r="AL688" s="54" t="s">
        <v>66</v>
      </c>
      <c r="AM688" s="54"/>
      <c r="AN688" s="54"/>
      <c r="AO688" s="190"/>
      <c r="AP688" s="65" t="str">
        <f t="shared" si="74"/>
        <v/>
      </c>
      <c r="AQ688" s="123"/>
      <c r="AR688" s="23"/>
      <c r="AS688" s="54" t="s">
        <v>347</v>
      </c>
      <c r="AT688" s="136"/>
      <c r="AU688" s="70">
        <f t="shared" si="75"/>
        <v>3</v>
      </c>
      <c r="AV688" s="70" t="s">
        <v>68</v>
      </c>
    </row>
    <row r="689" spans="1:48" ht="38.25" hidden="1" x14ac:dyDescent="0.2">
      <c r="A689" s="86">
        <f t="shared" si="71"/>
        <v>20666</v>
      </c>
      <c r="B689" s="3" t="s">
        <v>1304</v>
      </c>
      <c r="C689" s="3" t="s">
        <v>1017</v>
      </c>
      <c r="D689" s="86"/>
      <c r="E689" s="36" t="s">
        <v>94</v>
      </c>
      <c r="F689" s="48">
        <v>31057</v>
      </c>
      <c r="G689" s="36" t="s">
        <v>52</v>
      </c>
      <c r="H689" s="81" t="s">
        <v>52</v>
      </c>
      <c r="I689" s="36" t="s">
        <v>4639</v>
      </c>
      <c r="J689" s="48">
        <v>40326</v>
      </c>
      <c r="K689" s="36" t="s">
        <v>52</v>
      </c>
      <c r="L689" s="36" t="s">
        <v>123</v>
      </c>
      <c r="M689" s="36" t="s">
        <v>2523</v>
      </c>
      <c r="N689" s="36" t="s">
        <v>2524</v>
      </c>
      <c r="O689" s="101">
        <v>2008</v>
      </c>
      <c r="P689" s="159" t="str">
        <f>HYPERLINK("mailto:quynhctt@topica.edu.vn","quynhctt@topica.edu.vn")</f>
        <v>quynhctt@topica.edu.vn</v>
      </c>
      <c r="Q689" s="36"/>
      <c r="R689" s="36" t="s">
        <v>4640</v>
      </c>
      <c r="S689" s="156"/>
      <c r="T689" s="81" t="s">
        <v>4641</v>
      </c>
      <c r="U689" s="81" t="s">
        <v>4641</v>
      </c>
      <c r="V689" s="36"/>
      <c r="W689" s="36"/>
      <c r="X689" s="36"/>
      <c r="Y689" s="36" t="s">
        <v>616</v>
      </c>
      <c r="Z689" s="81"/>
      <c r="AA689" s="54"/>
      <c r="AB689" s="81">
        <v>1</v>
      </c>
      <c r="AC689" s="81" t="s">
        <v>236</v>
      </c>
      <c r="AD689" s="36" t="s">
        <v>207</v>
      </c>
      <c r="AE689" s="81" t="s">
        <v>585</v>
      </c>
      <c r="AF689" s="81" t="s">
        <v>65</v>
      </c>
      <c r="AG689" s="48">
        <v>41547</v>
      </c>
      <c r="AH689" s="134">
        <f t="shared" si="72"/>
        <v>9</v>
      </c>
      <c r="AI689" s="134"/>
      <c r="AJ689" s="48"/>
      <c r="AK689" s="134" t="str">
        <f t="shared" si="73"/>
        <v/>
      </c>
      <c r="AL689" s="54" t="s">
        <v>82</v>
      </c>
      <c r="AM689" s="54"/>
      <c r="AN689" s="54"/>
      <c r="AO689" s="190">
        <v>41944</v>
      </c>
      <c r="AP689" s="65">
        <f t="shared" si="74"/>
        <v>11</v>
      </c>
      <c r="AQ689" s="123"/>
      <c r="AR689" s="23"/>
      <c r="AS689" s="54" t="s">
        <v>347</v>
      </c>
      <c r="AT689" s="136"/>
      <c r="AU689" s="70">
        <f t="shared" si="75"/>
        <v>1</v>
      </c>
      <c r="AV689" s="70" t="s">
        <v>68</v>
      </c>
    </row>
    <row r="690" spans="1:48" ht="25.5" hidden="1" x14ac:dyDescent="0.2">
      <c r="A690" s="87">
        <f t="shared" si="71"/>
        <v>20667</v>
      </c>
      <c r="B690" s="80" t="s">
        <v>4642</v>
      </c>
      <c r="C690" s="80" t="s">
        <v>607</v>
      </c>
      <c r="D690" s="87"/>
      <c r="E690" s="123" t="s">
        <v>94</v>
      </c>
      <c r="F690" s="140">
        <v>33506</v>
      </c>
      <c r="G690" s="123" t="s">
        <v>52</v>
      </c>
      <c r="H690" s="54" t="s">
        <v>379</v>
      </c>
      <c r="I690" s="123" t="s">
        <v>4643</v>
      </c>
      <c r="J690" s="140">
        <v>38904</v>
      </c>
      <c r="K690" s="123" t="s">
        <v>52</v>
      </c>
      <c r="L690" s="123" t="s">
        <v>123</v>
      </c>
      <c r="M690" s="123" t="s">
        <v>448</v>
      </c>
      <c r="N690" s="123" t="s">
        <v>368</v>
      </c>
      <c r="O690" s="106">
        <v>2013</v>
      </c>
      <c r="P690" s="153" t="str">
        <f>HYPERLINK("mailto:phuongnlm@topica.edu.vn","phuongnlm@topica.edu.vn")</f>
        <v>phuongnlm@topica.edu.vn</v>
      </c>
      <c r="Q690" s="123"/>
      <c r="R690" s="123" t="s">
        <v>4644</v>
      </c>
      <c r="S690" s="173" t="str">
        <f>HYPERLINK("mailto:phuongnguyenleminh@gmail.com","phuongnguyenleminh@gmail.com")</f>
        <v>phuongnguyenleminh@gmail.com</v>
      </c>
      <c r="T690" s="54" t="s">
        <v>4645</v>
      </c>
      <c r="U690" s="54" t="s">
        <v>4646</v>
      </c>
      <c r="V690" s="123" t="s">
        <v>199</v>
      </c>
      <c r="W690" s="123" t="s">
        <v>745</v>
      </c>
      <c r="X690" s="123"/>
      <c r="Y690" s="123" t="s">
        <v>312</v>
      </c>
      <c r="Z690" s="54"/>
      <c r="AA690" s="54"/>
      <c r="AB690" s="54">
        <v>1</v>
      </c>
      <c r="AC690" s="54" t="s">
        <v>236</v>
      </c>
      <c r="AD690" s="123" t="s">
        <v>917</v>
      </c>
      <c r="AE690" s="54"/>
      <c r="AF690" s="54" t="s">
        <v>65</v>
      </c>
      <c r="AG690" s="140"/>
      <c r="AH690" s="65" t="str">
        <f t="shared" si="72"/>
        <v/>
      </c>
      <c r="AI690" s="65"/>
      <c r="AJ690" s="140">
        <v>41548</v>
      </c>
      <c r="AK690" s="65">
        <f t="shared" si="73"/>
        <v>10</v>
      </c>
      <c r="AL690" s="54" t="s">
        <v>66</v>
      </c>
      <c r="AM690" s="54"/>
      <c r="AN690" s="54"/>
      <c r="AO690" s="190"/>
      <c r="AP690" s="65" t="str">
        <f t="shared" si="74"/>
        <v/>
      </c>
      <c r="AQ690" s="123"/>
      <c r="AR690" s="23"/>
      <c r="AS690" s="54" t="s">
        <v>107</v>
      </c>
      <c r="AT690" s="136"/>
      <c r="AU690" s="70">
        <f t="shared" si="75"/>
        <v>9</v>
      </c>
      <c r="AV690" s="70" t="s">
        <v>68</v>
      </c>
    </row>
    <row r="691" spans="1:48" ht="25.5" hidden="1" x14ac:dyDescent="0.2">
      <c r="A691" s="87">
        <f t="shared" si="71"/>
        <v>20668</v>
      </c>
      <c r="B691" s="80" t="s">
        <v>622</v>
      </c>
      <c r="C691" s="80" t="s">
        <v>4647</v>
      </c>
      <c r="D691" s="87"/>
      <c r="E691" s="123" t="s">
        <v>51</v>
      </c>
      <c r="F691" s="140">
        <v>30625</v>
      </c>
      <c r="G691" s="123" t="s">
        <v>52</v>
      </c>
      <c r="H691" s="54" t="s">
        <v>52</v>
      </c>
      <c r="I691" s="123" t="s">
        <v>4648</v>
      </c>
      <c r="J691" s="140">
        <v>39374</v>
      </c>
      <c r="K691" s="123" t="s">
        <v>52</v>
      </c>
      <c r="L691" s="123" t="s">
        <v>341</v>
      </c>
      <c r="M691" s="123" t="s">
        <v>4649</v>
      </c>
      <c r="N691" s="123" t="s">
        <v>4650</v>
      </c>
      <c r="O691" s="106"/>
      <c r="P691" s="153" t="str">
        <f>HYPERLINK("mailto:manhnd@topica.edu.vn","manhnd@topica.edu.vn")</f>
        <v>manhnd@topica.edu.vn</v>
      </c>
      <c r="Q691" s="123" t="s">
        <v>4651</v>
      </c>
      <c r="R691" s="123" t="s">
        <v>4652</v>
      </c>
      <c r="S691" s="173" t="str">
        <f>HYPERLINK("mailto:manhnd853@gmail.com","manhnd853@gmail.com")</f>
        <v>manhnd853@gmail.com</v>
      </c>
      <c r="T691" s="54" t="s">
        <v>4653</v>
      </c>
      <c r="U691" s="54" t="s">
        <v>4653</v>
      </c>
      <c r="V691" s="123" t="s">
        <v>4654</v>
      </c>
      <c r="W691" s="123" t="s">
        <v>3595</v>
      </c>
      <c r="X691" s="123" t="s">
        <v>4655</v>
      </c>
      <c r="Y691" s="123" t="s">
        <v>312</v>
      </c>
      <c r="Z691" s="54"/>
      <c r="AA691" s="54"/>
      <c r="AB691" s="54">
        <v>1</v>
      </c>
      <c r="AC691" s="54" t="s">
        <v>236</v>
      </c>
      <c r="AD691" s="123" t="s">
        <v>1067</v>
      </c>
      <c r="AE691" s="54" t="s">
        <v>1068</v>
      </c>
      <c r="AF691" s="54" t="s">
        <v>65</v>
      </c>
      <c r="AG691" s="140"/>
      <c r="AH691" s="65" t="str">
        <f t="shared" si="72"/>
        <v/>
      </c>
      <c r="AI691" s="65"/>
      <c r="AJ691" s="140">
        <v>41548</v>
      </c>
      <c r="AK691" s="65">
        <f t="shared" si="73"/>
        <v>10</v>
      </c>
      <c r="AL691" s="54" t="s">
        <v>66</v>
      </c>
      <c r="AM691" s="54"/>
      <c r="AN691" s="54"/>
      <c r="AO691" s="190"/>
      <c r="AP691" s="65" t="str">
        <f t="shared" si="74"/>
        <v/>
      </c>
      <c r="AQ691" s="123"/>
      <c r="AR691" s="23"/>
      <c r="AS691" s="54" t="s">
        <v>107</v>
      </c>
      <c r="AT691" s="136"/>
      <c r="AU691" s="70">
        <f t="shared" si="75"/>
        <v>11</v>
      </c>
      <c r="AV691" s="70" t="s">
        <v>68</v>
      </c>
    </row>
    <row r="692" spans="1:48" ht="25.5" hidden="1" x14ac:dyDescent="0.2">
      <c r="A692" s="87">
        <f t="shared" si="71"/>
        <v>20669</v>
      </c>
      <c r="B692" s="80" t="s">
        <v>4656</v>
      </c>
      <c r="C692" s="80" t="s">
        <v>4657</v>
      </c>
      <c r="D692" s="87"/>
      <c r="E692" s="123" t="s">
        <v>51</v>
      </c>
      <c r="F692" s="140">
        <v>32675</v>
      </c>
      <c r="G692" s="123" t="s">
        <v>120</v>
      </c>
      <c r="H692" s="54" t="s">
        <v>120</v>
      </c>
      <c r="I692" s="123" t="s">
        <v>4658</v>
      </c>
      <c r="J692" s="140">
        <v>40364</v>
      </c>
      <c r="K692" s="123" t="s">
        <v>120</v>
      </c>
      <c r="L692" s="123" t="s">
        <v>123</v>
      </c>
      <c r="M692" s="123" t="s">
        <v>4659</v>
      </c>
      <c r="N692" s="123" t="s">
        <v>2126</v>
      </c>
      <c r="O692" s="106"/>
      <c r="P692" s="153" t="str">
        <f>HYPERLINK("mailto:tuyendv@topica.edu.vn","tuyendv@topica.edu.vn")</f>
        <v>tuyendv@topica.edu.vn</v>
      </c>
      <c r="Q692" s="123"/>
      <c r="R692" s="123" t="s">
        <v>4660</v>
      </c>
      <c r="S692" s="173"/>
      <c r="T692" s="54" t="s">
        <v>4661</v>
      </c>
      <c r="U692" s="54" t="s">
        <v>4662</v>
      </c>
      <c r="V692" s="123"/>
      <c r="W692" s="123"/>
      <c r="X692" s="123"/>
      <c r="Y692" s="123" t="s">
        <v>312</v>
      </c>
      <c r="Z692" s="54"/>
      <c r="AA692" s="54"/>
      <c r="AB692" s="54">
        <v>1</v>
      </c>
      <c r="AC692" s="54" t="s">
        <v>236</v>
      </c>
      <c r="AD692" s="123" t="s">
        <v>1067</v>
      </c>
      <c r="AE692" s="54" t="s">
        <v>1118</v>
      </c>
      <c r="AF692" s="54" t="s">
        <v>65</v>
      </c>
      <c r="AG692" s="140"/>
      <c r="AH692" s="65" t="str">
        <f t="shared" si="72"/>
        <v/>
      </c>
      <c r="AI692" s="65"/>
      <c r="AJ692" s="140">
        <v>41548</v>
      </c>
      <c r="AK692" s="65">
        <f t="shared" si="73"/>
        <v>10</v>
      </c>
      <c r="AL692" s="54" t="s">
        <v>66</v>
      </c>
      <c r="AM692" s="54"/>
      <c r="AN692" s="54"/>
      <c r="AO692" s="190"/>
      <c r="AP692" s="65" t="str">
        <f t="shared" si="74"/>
        <v/>
      </c>
      <c r="AQ692" s="123"/>
      <c r="AR692" s="23"/>
      <c r="AS692" s="54" t="s">
        <v>107</v>
      </c>
      <c r="AT692" s="136"/>
      <c r="AU692" s="70">
        <f t="shared" si="75"/>
        <v>6</v>
      </c>
      <c r="AV692" s="70" t="s">
        <v>68</v>
      </c>
    </row>
    <row r="693" spans="1:48" ht="25.5" hidden="1" x14ac:dyDescent="0.2">
      <c r="A693" s="87">
        <f t="shared" si="71"/>
        <v>20670</v>
      </c>
      <c r="B693" s="80" t="s">
        <v>4093</v>
      </c>
      <c r="C693" s="80" t="s">
        <v>4663</v>
      </c>
      <c r="D693" s="87"/>
      <c r="E693" s="123" t="s">
        <v>51</v>
      </c>
      <c r="F693" s="140">
        <v>32847</v>
      </c>
      <c r="G693" s="123" t="s">
        <v>52</v>
      </c>
      <c r="H693" s="54" t="s">
        <v>52</v>
      </c>
      <c r="I693" s="123" t="s">
        <v>4664</v>
      </c>
      <c r="J693" s="140">
        <v>41415</v>
      </c>
      <c r="K693" s="123" t="s">
        <v>52</v>
      </c>
      <c r="L693" s="123" t="s">
        <v>123</v>
      </c>
      <c r="M693" s="123" t="s">
        <v>4369</v>
      </c>
      <c r="N693" s="123" t="s">
        <v>3139</v>
      </c>
      <c r="O693" s="106">
        <v>2013</v>
      </c>
      <c r="P693" s="153" t="str">
        <f>HYPERLINK("mailto:danglx@topica.edu.vn","danglx@topica.edu.vn")</f>
        <v>danglx@topica.edu.vn</v>
      </c>
      <c r="Q693" s="123" t="s">
        <v>4665</v>
      </c>
      <c r="R693" s="123" t="s">
        <v>4666</v>
      </c>
      <c r="S693" s="173" t="str">
        <f>HYPERLINK("mailto:lexuandang89@gmail.com","lexuandang89@gmail.com")</f>
        <v>lexuandang89@gmail.com</v>
      </c>
      <c r="T693" s="54" t="s">
        <v>4667</v>
      </c>
      <c r="U693" s="54" t="s">
        <v>4667</v>
      </c>
      <c r="V693" s="123"/>
      <c r="W693" s="123"/>
      <c r="X693" s="123"/>
      <c r="Y693" s="123" t="s">
        <v>312</v>
      </c>
      <c r="Z693" s="54"/>
      <c r="AA693" s="54"/>
      <c r="AB693" s="54">
        <v>1</v>
      </c>
      <c r="AC693" s="54" t="s">
        <v>236</v>
      </c>
      <c r="AD693" s="123" t="s">
        <v>1067</v>
      </c>
      <c r="AE693" s="54" t="s">
        <v>1118</v>
      </c>
      <c r="AF693" s="54" t="s">
        <v>65</v>
      </c>
      <c r="AG693" s="140"/>
      <c r="AH693" s="65" t="str">
        <f t="shared" si="72"/>
        <v/>
      </c>
      <c r="AI693" s="65"/>
      <c r="AJ693" s="140">
        <v>41548</v>
      </c>
      <c r="AK693" s="65">
        <f t="shared" si="73"/>
        <v>10</v>
      </c>
      <c r="AL693" s="54" t="s">
        <v>66</v>
      </c>
      <c r="AM693" s="54"/>
      <c r="AN693" s="54"/>
      <c r="AO693" s="190"/>
      <c r="AP693" s="65" t="str">
        <f t="shared" si="74"/>
        <v/>
      </c>
      <c r="AQ693" s="123"/>
      <c r="AR693" s="23"/>
      <c r="AS693" s="54" t="s">
        <v>107</v>
      </c>
      <c r="AT693" s="136"/>
      <c r="AU693" s="70">
        <f t="shared" si="75"/>
        <v>12</v>
      </c>
      <c r="AV693" s="70" t="s">
        <v>68</v>
      </c>
    </row>
    <row r="694" spans="1:48" ht="38.25" hidden="1" x14ac:dyDescent="0.2">
      <c r="A694" s="87">
        <f t="shared" si="71"/>
        <v>20671</v>
      </c>
      <c r="B694" s="80" t="s">
        <v>1306</v>
      </c>
      <c r="C694" s="80" t="s">
        <v>643</v>
      </c>
      <c r="D694" s="87"/>
      <c r="E694" s="123" t="s">
        <v>94</v>
      </c>
      <c r="F694" s="140">
        <v>31767</v>
      </c>
      <c r="G694" s="123" t="s">
        <v>52</v>
      </c>
      <c r="H694" s="54"/>
      <c r="I694" s="123" t="s">
        <v>4668</v>
      </c>
      <c r="J694" s="140">
        <v>37384</v>
      </c>
      <c r="K694" s="123" t="s">
        <v>52</v>
      </c>
      <c r="L694" s="123" t="s">
        <v>123</v>
      </c>
      <c r="M694" s="123" t="s">
        <v>3065</v>
      </c>
      <c r="N694" s="123" t="s">
        <v>458</v>
      </c>
      <c r="O694" s="106">
        <v>2008</v>
      </c>
      <c r="P694" s="153" t="str">
        <f>HYPERLINK("mailto:vantt3@topica.edu.vn","vantt3@topica.edu.vn")</f>
        <v>vantt3@topica.edu.vn</v>
      </c>
      <c r="Q694" s="123"/>
      <c r="R694" s="123" t="s">
        <v>4669</v>
      </c>
      <c r="S694" s="173"/>
      <c r="T694" s="54" t="s">
        <v>4670</v>
      </c>
      <c r="U694" s="54" t="s">
        <v>4671</v>
      </c>
      <c r="V694" s="123"/>
      <c r="W694" s="123"/>
      <c r="X694" s="123"/>
      <c r="Y694" s="123" t="s">
        <v>312</v>
      </c>
      <c r="Z694" s="54"/>
      <c r="AA694" s="54"/>
      <c r="AB694" s="54">
        <v>1</v>
      </c>
      <c r="AC694" s="54" t="s">
        <v>236</v>
      </c>
      <c r="AD694" s="123" t="s">
        <v>4672</v>
      </c>
      <c r="AE694" s="54"/>
      <c r="AF694" s="54" t="s">
        <v>65</v>
      </c>
      <c r="AG694" s="140">
        <v>41548</v>
      </c>
      <c r="AH694" s="65">
        <f t="shared" si="72"/>
        <v>10</v>
      </c>
      <c r="AI694" s="65"/>
      <c r="AJ694" s="140">
        <v>41579</v>
      </c>
      <c r="AK694" s="65">
        <f t="shared" si="73"/>
        <v>11</v>
      </c>
      <c r="AL694" s="54" t="s">
        <v>66</v>
      </c>
      <c r="AM694" s="54"/>
      <c r="AN694" s="54"/>
      <c r="AO694" s="190"/>
      <c r="AP694" s="65" t="str">
        <f t="shared" si="74"/>
        <v/>
      </c>
      <c r="AQ694" s="123"/>
      <c r="AR694" s="23"/>
      <c r="AS694" s="54" t="s">
        <v>107</v>
      </c>
      <c r="AT694" s="136"/>
      <c r="AU694" s="70">
        <f t="shared" si="75"/>
        <v>12</v>
      </c>
      <c r="AV694" s="70" t="s">
        <v>68</v>
      </c>
    </row>
    <row r="695" spans="1:48" ht="38.25" hidden="1" x14ac:dyDescent="0.2">
      <c r="A695" s="87">
        <f t="shared" si="71"/>
        <v>20672</v>
      </c>
      <c r="B695" s="80" t="s">
        <v>265</v>
      </c>
      <c r="C695" s="80" t="s">
        <v>643</v>
      </c>
      <c r="D695" s="87"/>
      <c r="E695" s="123" t="s">
        <v>94</v>
      </c>
      <c r="F695" s="140">
        <v>33530</v>
      </c>
      <c r="G695" s="123" t="s">
        <v>997</v>
      </c>
      <c r="H695" s="54" t="s">
        <v>997</v>
      </c>
      <c r="I695" s="123" t="s">
        <v>4673</v>
      </c>
      <c r="J695" s="140">
        <v>40750</v>
      </c>
      <c r="K695" s="123" t="s">
        <v>997</v>
      </c>
      <c r="L695" s="123" t="s">
        <v>123</v>
      </c>
      <c r="M695" s="123" t="s">
        <v>1386</v>
      </c>
      <c r="N695" s="123" t="s">
        <v>4674</v>
      </c>
      <c r="O695" s="106">
        <v>2013</v>
      </c>
      <c r="P695" s="153" t="str">
        <f>HYPERLINK("mailto:vannt2@topica.edu.vn","vannt2@topica.edu.vn")</f>
        <v>vannt2@topica.edu.vn</v>
      </c>
      <c r="Q695" s="123"/>
      <c r="R695" s="123" t="s">
        <v>4675</v>
      </c>
      <c r="S695" s="173" t="str">
        <f>HYPERLINK("mailto:nguyenvan.ad29@gmail.com","nguyenvan.ad29@gmail.com")</f>
        <v>nguyenvan.ad29@gmail.com</v>
      </c>
      <c r="T695" s="54" t="s">
        <v>4676</v>
      </c>
      <c r="U695" s="54" t="s">
        <v>4677</v>
      </c>
      <c r="V695" s="123"/>
      <c r="W695" s="123"/>
      <c r="X695" s="123"/>
      <c r="Y695" s="123" t="s">
        <v>865</v>
      </c>
      <c r="Z695" s="54"/>
      <c r="AA695" s="54"/>
      <c r="AB695" s="54">
        <v>1</v>
      </c>
      <c r="AC695" s="54" t="s">
        <v>236</v>
      </c>
      <c r="AD695" s="123" t="s">
        <v>207</v>
      </c>
      <c r="AE695" s="54" t="s">
        <v>585</v>
      </c>
      <c r="AF695" s="54" t="s">
        <v>65</v>
      </c>
      <c r="AG695" s="140">
        <v>41547</v>
      </c>
      <c r="AH695" s="65">
        <f t="shared" si="72"/>
        <v>9</v>
      </c>
      <c r="AI695" s="65"/>
      <c r="AJ695" s="140">
        <v>41609</v>
      </c>
      <c r="AK695" s="65">
        <f t="shared" si="73"/>
        <v>12</v>
      </c>
      <c r="AL695" s="54" t="s">
        <v>66</v>
      </c>
      <c r="AM695" s="54"/>
      <c r="AN695" s="54"/>
      <c r="AO695" s="190"/>
      <c r="AP695" s="65" t="str">
        <f t="shared" si="74"/>
        <v/>
      </c>
      <c r="AQ695" s="123"/>
      <c r="AR695" s="23"/>
      <c r="AS695" s="54" t="s">
        <v>347</v>
      </c>
      <c r="AT695" s="136"/>
      <c r="AU695" s="70">
        <f t="shared" si="75"/>
        <v>10</v>
      </c>
      <c r="AV695" s="70" t="s">
        <v>68</v>
      </c>
    </row>
    <row r="696" spans="1:48" ht="12.75" x14ac:dyDescent="0.2">
      <c r="A696" s="87">
        <f t="shared" si="71"/>
        <v>20673</v>
      </c>
      <c r="B696" s="80" t="s">
        <v>4678</v>
      </c>
      <c r="C696" s="80" t="s">
        <v>250</v>
      </c>
      <c r="D696" s="87"/>
      <c r="E696" s="123" t="s">
        <v>94</v>
      </c>
      <c r="F696" s="140">
        <v>31414</v>
      </c>
      <c r="G696" s="123" t="s">
        <v>4679</v>
      </c>
      <c r="H696" s="54" t="s">
        <v>726</v>
      </c>
      <c r="I696" s="123" t="s">
        <v>4680</v>
      </c>
      <c r="J696" s="140">
        <v>38268</v>
      </c>
      <c r="K696" s="123" t="s">
        <v>726</v>
      </c>
      <c r="L696" s="123" t="s">
        <v>86</v>
      </c>
      <c r="M696" s="123" t="s">
        <v>4681</v>
      </c>
      <c r="N696" s="123" t="s">
        <v>4682</v>
      </c>
      <c r="O696" s="106">
        <v>2011</v>
      </c>
      <c r="P696" s="153" t="str">
        <f>HYPERLINK("mailto:thuyhtl@topica.edu.vn","thuyhtl@topica.edu.vn")</f>
        <v>thuyhtl@topica.edu.vn</v>
      </c>
      <c r="Q696" s="123"/>
      <c r="R696" s="123" t="s">
        <v>4683</v>
      </c>
      <c r="S696" s="173"/>
      <c r="T696" s="54" t="s">
        <v>4684</v>
      </c>
      <c r="U696" s="54"/>
      <c r="V696" s="123" t="s">
        <v>4685</v>
      </c>
      <c r="W696" s="123"/>
      <c r="X696" s="123"/>
      <c r="Y696" s="217" t="s">
        <v>972</v>
      </c>
      <c r="Z696" s="54"/>
      <c r="AA696" s="54"/>
      <c r="AB696" s="54">
        <v>1</v>
      </c>
      <c r="AC696" s="54" t="s">
        <v>236</v>
      </c>
      <c r="AD696" s="123" t="s">
        <v>129</v>
      </c>
      <c r="AE696" s="54" t="s">
        <v>1090</v>
      </c>
      <c r="AF696" s="54" t="s">
        <v>65</v>
      </c>
      <c r="AG696" s="140">
        <v>41548</v>
      </c>
      <c r="AH696" s="65">
        <f t="shared" si="72"/>
        <v>10</v>
      </c>
      <c r="AI696" s="65"/>
      <c r="AJ696" s="140">
        <v>41609</v>
      </c>
      <c r="AK696" s="65">
        <f t="shared" si="73"/>
        <v>12</v>
      </c>
      <c r="AL696" s="54" t="s">
        <v>66</v>
      </c>
      <c r="AM696" s="54"/>
      <c r="AN696" s="54"/>
      <c r="AO696" s="190"/>
      <c r="AP696" s="65" t="str">
        <f t="shared" si="74"/>
        <v/>
      </c>
      <c r="AQ696" s="123"/>
      <c r="AR696" s="23"/>
      <c r="AS696" s="54"/>
      <c r="AT696" s="136"/>
      <c r="AU696" s="70">
        <f t="shared" si="75"/>
        <v>1</v>
      </c>
      <c r="AV696" s="70" t="s">
        <v>68</v>
      </c>
    </row>
    <row r="697" spans="1:48" ht="25.5" x14ac:dyDescent="0.2">
      <c r="A697" s="87">
        <f t="shared" si="71"/>
        <v>20674</v>
      </c>
      <c r="B697" s="80" t="s">
        <v>801</v>
      </c>
      <c r="C697" s="80" t="s">
        <v>667</v>
      </c>
      <c r="D697" s="87"/>
      <c r="E697" s="123" t="s">
        <v>94</v>
      </c>
      <c r="F697" s="140">
        <v>31816</v>
      </c>
      <c r="G697" s="123" t="s">
        <v>726</v>
      </c>
      <c r="H697" s="54" t="s">
        <v>726</v>
      </c>
      <c r="I697" s="123" t="s">
        <v>4686</v>
      </c>
      <c r="J697" s="140">
        <v>37536</v>
      </c>
      <c r="K697" s="123" t="s">
        <v>4687</v>
      </c>
      <c r="L697" s="123" t="s">
        <v>341</v>
      </c>
      <c r="M697" s="123" t="s">
        <v>4688</v>
      </c>
      <c r="N697" s="123" t="s">
        <v>4689</v>
      </c>
      <c r="O697" s="106">
        <v>2012</v>
      </c>
      <c r="P697" s="153" t="str">
        <f>HYPERLINK("mailto:halt2@topica.edu.vn","halt2@topica.edu.vn")</f>
        <v>halt2@topica.edu.vn</v>
      </c>
      <c r="Q697" s="123"/>
      <c r="R697" s="123" t="s">
        <v>4690</v>
      </c>
      <c r="S697" s="173"/>
      <c r="T697" s="54" t="s">
        <v>4691</v>
      </c>
      <c r="U697" s="54" t="s">
        <v>4692</v>
      </c>
      <c r="V697" s="123" t="s">
        <v>4693</v>
      </c>
      <c r="W697" s="123" t="s">
        <v>3646</v>
      </c>
      <c r="X697" s="123" t="s">
        <v>4694</v>
      </c>
      <c r="Y697" s="123" t="s">
        <v>972</v>
      </c>
      <c r="Z697" s="54"/>
      <c r="AA697" s="54"/>
      <c r="AB697" s="54">
        <v>1</v>
      </c>
      <c r="AC697" s="54" t="s">
        <v>236</v>
      </c>
      <c r="AD697" s="123" t="s">
        <v>1183</v>
      </c>
      <c r="AE697" s="54" t="s">
        <v>1184</v>
      </c>
      <c r="AF697" s="54" t="s">
        <v>231</v>
      </c>
      <c r="AG697" s="140">
        <v>41548</v>
      </c>
      <c r="AH697" s="65">
        <f t="shared" si="72"/>
        <v>10</v>
      </c>
      <c r="AI697" s="65"/>
      <c r="AJ697" s="140">
        <v>41609</v>
      </c>
      <c r="AK697" s="65">
        <f t="shared" si="73"/>
        <v>12</v>
      </c>
      <c r="AL697" s="54" t="s">
        <v>66</v>
      </c>
      <c r="AM697" s="54"/>
      <c r="AN697" s="54"/>
      <c r="AO697" s="190"/>
      <c r="AP697" s="65" t="str">
        <f t="shared" si="74"/>
        <v/>
      </c>
      <c r="AQ697" s="123"/>
      <c r="AR697" s="23"/>
      <c r="AS697" s="54" t="s">
        <v>347</v>
      </c>
      <c r="AT697" s="136"/>
      <c r="AU697" s="70">
        <f t="shared" si="75"/>
        <v>2</v>
      </c>
      <c r="AV697" s="70" t="s">
        <v>68</v>
      </c>
    </row>
    <row r="698" spans="1:48" ht="25.5" hidden="1" x14ac:dyDescent="0.2">
      <c r="A698" s="87">
        <f t="shared" si="71"/>
        <v>20675</v>
      </c>
      <c r="B698" s="80" t="s">
        <v>2870</v>
      </c>
      <c r="C698" s="80" t="s">
        <v>191</v>
      </c>
      <c r="D698" s="87"/>
      <c r="E698" s="123" t="s">
        <v>94</v>
      </c>
      <c r="F698" s="140">
        <v>32508</v>
      </c>
      <c r="G698" s="123" t="s">
        <v>1148</v>
      </c>
      <c r="H698" s="54" t="s">
        <v>1148</v>
      </c>
      <c r="I698" s="123" t="s">
        <v>4695</v>
      </c>
      <c r="J698" s="140">
        <v>37839</v>
      </c>
      <c r="K698" s="123" t="s">
        <v>4696</v>
      </c>
      <c r="L698" s="123" t="s">
        <v>123</v>
      </c>
      <c r="M698" s="123" t="s">
        <v>2038</v>
      </c>
      <c r="N698" s="123" t="s">
        <v>458</v>
      </c>
      <c r="O698" s="106">
        <v>2013</v>
      </c>
      <c r="P698" s="153" t="str">
        <f>HYPERLINK("mailto:thuyntk@topica.edu.vn","thuyntk@topica.edu.vn")</f>
        <v>thuyntk@topica.edu.vn</v>
      </c>
      <c r="Q698" s="123" t="s">
        <v>4697</v>
      </c>
      <c r="R698" s="123" t="s">
        <v>4698</v>
      </c>
      <c r="S698" s="173" t="str">
        <f>HYPERLINK("mailto:kimthuy3112@gmail.com","kimthuy3112@gmail.com")</f>
        <v>kimthuy3112@gmail.com</v>
      </c>
      <c r="T698" s="54" t="s">
        <v>4699</v>
      </c>
      <c r="U698" s="54" t="s">
        <v>4700</v>
      </c>
      <c r="V698" s="123" t="s">
        <v>4701</v>
      </c>
      <c r="W698" s="123" t="s">
        <v>283</v>
      </c>
      <c r="X698" s="123" t="s">
        <v>4702</v>
      </c>
      <c r="Y698" s="123" t="s">
        <v>312</v>
      </c>
      <c r="Z698" s="54"/>
      <c r="AA698" s="54"/>
      <c r="AB698" s="54">
        <v>1</v>
      </c>
      <c r="AC698" s="54" t="s">
        <v>236</v>
      </c>
      <c r="AD698" s="123" t="s">
        <v>1145</v>
      </c>
      <c r="AE698" s="54" t="s">
        <v>1146</v>
      </c>
      <c r="AF698" s="54" t="s">
        <v>231</v>
      </c>
      <c r="AG698" s="140">
        <v>41554</v>
      </c>
      <c r="AH698" s="65">
        <f t="shared" si="72"/>
        <v>10</v>
      </c>
      <c r="AI698" s="65"/>
      <c r="AJ698" s="140">
        <v>41615</v>
      </c>
      <c r="AK698" s="65">
        <f t="shared" si="73"/>
        <v>12</v>
      </c>
      <c r="AL698" s="54" t="s">
        <v>66</v>
      </c>
      <c r="AM698" s="54"/>
      <c r="AN698" s="54"/>
      <c r="AO698" s="190"/>
      <c r="AP698" s="136" t="str">
        <f t="shared" si="74"/>
        <v/>
      </c>
      <c r="AQ698" s="123"/>
      <c r="AR698" s="23"/>
      <c r="AS698" s="54" t="s">
        <v>107</v>
      </c>
      <c r="AT698" s="136"/>
      <c r="AU698" s="70">
        <f t="shared" si="75"/>
        <v>12</v>
      </c>
      <c r="AV698" s="70" t="s">
        <v>68</v>
      </c>
    </row>
    <row r="699" spans="1:48" ht="38.25" hidden="1" x14ac:dyDescent="0.2">
      <c r="A699" s="87">
        <f t="shared" si="71"/>
        <v>20676</v>
      </c>
      <c r="B699" s="80" t="s">
        <v>2705</v>
      </c>
      <c r="C699" s="80" t="s">
        <v>287</v>
      </c>
      <c r="D699" s="87"/>
      <c r="E699" s="123" t="s">
        <v>94</v>
      </c>
      <c r="F699" s="140">
        <v>33537</v>
      </c>
      <c r="G699" s="123" t="s">
        <v>3004</v>
      </c>
      <c r="H699" s="54" t="s">
        <v>3004</v>
      </c>
      <c r="I699" s="123" t="s">
        <v>4703</v>
      </c>
      <c r="J699" s="140">
        <v>39224</v>
      </c>
      <c r="K699" s="123" t="s">
        <v>4704</v>
      </c>
      <c r="L699" s="123" t="s">
        <v>123</v>
      </c>
      <c r="M699" s="123" t="s">
        <v>4705</v>
      </c>
      <c r="N699" s="123" t="s">
        <v>4706</v>
      </c>
      <c r="O699" s="106">
        <v>2013</v>
      </c>
      <c r="P699" s="153" t="str">
        <f>HYPERLINK("mailto:maintt2@topica.edu.vn","maintt2@topica.edu.vn")</f>
        <v>maintt2@topica.edu.vn</v>
      </c>
      <c r="Q699" s="123"/>
      <c r="R699" s="123" t="s">
        <v>4707</v>
      </c>
      <c r="S699" s="173"/>
      <c r="T699" s="54" t="s">
        <v>4708</v>
      </c>
      <c r="U699" s="54" t="s">
        <v>4709</v>
      </c>
      <c r="V699" s="123"/>
      <c r="W699" s="123"/>
      <c r="X699" s="123"/>
      <c r="Y699" s="123" t="s">
        <v>312</v>
      </c>
      <c r="Z699" s="54"/>
      <c r="AA699" s="54"/>
      <c r="AB699" s="54">
        <v>1</v>
      </c>
      <c r="AC699" s="54" t="s">
        <v>236</v>
      </c>
      <c r="AD699" s="123" t="s">
        <v>1145</v>
      </c>
      <c r="AE699" s="54" t="s">
        <v>1938</v>
      </c>
      <c r="AF699" s="54" t="s">
        <v>231</v>
      </c>
      <c r="AG699" s="140">
        <v>41554</v>
      </c>
      <c r="AH699" s="65">
        <f t="shared" si="72"/>
        <v>10</v>
      </c>
      <c r="AI699" s="65"/>
      <c r="AJ699" s="140">
        <v>41615</v>
      </c>
      <c r="AK699" s="65">
        <f t="shared" si="73"/>
        <v>12</v>
      </c>
      <c r="AL699" s="54" t="s">
        <v>66</v>
      </c>
      <c r="AM699" s="54"/>
      <c r="AN699" s="54"/>
      <c r="AO699" s="190"/>
      <c r="AP699" s="65" t="str">
        <f t="shared" si="74"/>
        <v/>
      </c>
      <c r="AQ699" s="123"/>
      <c r="AR699" s="23"/>
      <c r="AS699" s="54" t="s">
        <v>107</v>
      </c>
      <c r="AT699" s="136"/>
      <c r="AU699" s="70">
        <f t="shared" si="75"/>
        <v>10</v>
      </c>
      <c r="AV699" s="70" t="s">
        <v>68</v>
      </c>
    </row>
    <row r="700" spans="1:48" ht="25.5" x14ac:dyDescent="0.2">
      <c r="A700" s="87">
        <f t="shared" si="71"/>
        <v>20677</v>
      </c>
      <c r="B700" s="80" t="s">
        <v>4710</v>
      </c>
      <c r="C700" s="80" t="s">
        <v>70</v>
      </c>
      <c r="D700" s="87"/>
      <c r="E700" s="123" t="s">
        <v>94</v>
      </c>
      <c r="F700" s="140">
        <v>32410</v>
      </c>
      <c r="G700" s="123" t="s">
        <v>52</v>
      </c>
      <c r="H700" s="54" t="s">
        <v>120</v>
      </c>
      <c r="I700" s="123" t="s">
        <v>4711</v>
      </c>
      <c r="J700" s="140">
        <v>39045</v>
      </c>
      <c r="K700" s="123" t="s">
        <v>52</v>
      </c>
      <c r="L700" s="123" t="s">
        <v>86</v>
      </c>
      <c r="M700" s="123" t="s">
        <v>2360</v>
      </c>
      <c r="N700" s="123" t="s">
        <v>4712</v>
      </c>
      <c r="O700" s="106">
        <v>2013</v>
      </c>
      <c r="P700" s="153" t="str">
        <f>HYPERLINK("mailto:giangdh@topica.edu.vn","giangdh@topica.edu.vn")</f>
        <v>giangdh@topica.edu.vn</v>
      </c>
      <c r="Q700" s="123"/>
      <c r="R700" s="123" t="s">
        <v>4713</v>
      </c>
      <c r="S700" s="173"/>
      <c r="T700" s="54" t="s">
        <v>4714</v>
      </c>
      <c r="U700" s="54" t="s">
        <v>4714</v>
      </c>
      <c r="V700" s="123"/>
      <c r="W700" s="123"/>
      <c r="X700" s="123"/>
      <c r="Y700" s="123" t="s">
        <v>972</v>
      </c>
      <c r="Z700" s="54"/>
      <c r="AA700" s="54"/>
      <c r="AB700" s="54">
        <v>1</v>
      </c>
      <c r="AC700" s="54" t="s">
        <v>236</v>
      </c>
      <c r="AD700" s="123" t="s">
        <v>512</v>
      </c>
      <c r="AE700" s="54" t="s">
        <v>973</v>
      </c>
      <c r="AF700" s="54" t="s">
        <v>65</v>
      </c>
      <c r="AG700" s="140">
        <v>41555</v>
      </c>
      <c r="AH700" s="65">
        <f t="shared" si="72"/>
        <v>10</v>
      </c>
      <c r="AI700" s="65"/>
      <c r="AJ700" s="140">
        <v>41586</v>
      </c>
      <c r="AK700" s="65">
        <f t="shared" si="73"/>
        <v>11</v>
      </c>
      <c r="AL700" s="54" t="s">
        <v>66</v>
      </c>
      <c r="AM700" s="54"/>
      <c r="AN700" s="54"/>
      <c r="AO700" s="190"/>
      <c r="AP700" s="65" t="str">
        <f t="shared" si="74"/>
        <v/>
      </c>
      <c r="AQ700" s="123"/>
      <c r="AR700" s="23"/>
      <c r="AS700" s="54" t="s">
        <v>347</v>
      </c>
      <c r="AT700" s="136"/>
      <c r="AU700" s="70">
        <f t="shared" si="75"/>
        <v>9</v>
      </c>
      <c r="AV700" s="70" t="s">
        <v>68</v>
      </c>
    </row>
    <row r="701" spans="1:48" ht="25.5" x14ac:dyDescent="0.2">
      <c r="A701" s="87">
        <f t="shared" si="71"/>
        <v>20678</v>
      </c>
      <c r="B701" s="80" t="s">
        <v>1446</v>
      </c>
      <c r="C701" s="80" t="s">
        <v>349</v>
      </c>
      <c r="D701" s="87"/>
      <c r="E701" s="123" t="s">
        <v>94</v>
      </c>
      <c r="F701" s="140">
        <v>30291</v>
      </c>
      <c r="G701" s="123" t="s">
        <v>365</v>
      </c>
      <c r="H701" s="54" t="s">
        <v>365</v>
      </c>
      <c r="I701" s="123" t="s">
        <v>4715</v>
      </c>
      <c r="J701" s="140">
        <v>40630</v>
      </c>
      <c r="K701" s="123" t="s">
        <v>52</v>
      </c>
      <c r="L701" s="123" t="s">
        <v>123</v>
      </c>
      <c r="M701" s="123" t="s">
        <v>632</v>
      </c>
      <c r="N701" s="123" t="s">
        <v>3139</v>
      </c>
      <c r="O701" s="106">
        <v>2005</v>
      </c>
      <c r="P701" s="153" t="str">
        <f>HYPERLINK("mailto:lyttk@topica.edu.vn","lyttk@topica.edu.vn")</f>
        <v>lyttk@topica.edu.vn</v>
      </c>
      <c r="Q701" s="123"/>
      <c r="R701" s="123" t="s">
        <v>4716</v>
      </c>
      <c r="S701" s="173"/>
      <c r="T701" s="54" t="s">
        <v>4717</v>
      </c>
      <c r="U701" s="54" t="s">
        <v>4717</v>
      </c>
      <c r="V701" s="123" t="s">
        <v>4718</v>
      </c>
      <c r="W701" s="123" t="s">
        <v>2989</v>
      </c>
      <c r="X701" s="123" t="s">
        <v>4719</v>
      </c>
      <c r="Y701" s="123" t="s">
        <v>972</v>
      </c>
      <c r="Z701" s="54"/>
      <c r="AA701" s="54"/>
      <c r="AB701" s="54">
        <v>1</v>
      </c>
      <c r="AC701" s="54" t="s">
        <v>236</v>
      </c>
      <c r="AD701" s="123" t="s">
        <v>512</v>
      </c>
      <c r="AE701" s="54" t="s">
        <v>973</v>
      </c>
      <c r="AF701" s="54" t="s">
        <v>65</v>
      </c>
      <c r="AG701" s="140">
        <v>41557</v>
      </c>
      <c r="AH701" s="65">
        <f>IF((AG701=""),"",MONTH(AG701))</f>
        <v>10</v>
      </c>
      <c r="AI701" s="65"/>
      <c r="AJ701" s="140">
        <v>41588</v>
      </c>
      <c r="AK701" s="65">
        <f t="shared" si="73"/>
        <v>11</v>
      </c>
      <c r="AL701" s="54" t="s">
        <v>66</v>
      </c>
      <c r="AM701" s="54"/>
      <c r="AN701" s="54"/>
      <c r="AO701" s="190"/>
      <c r="AP701" s="65" t="str">
        <f t="shared" si="74"/>
        <v/>
      </c>
      <c r="AQ701" s="123"/>
      <c r="AR701" s="23"/>
      <c r="AS701" s="54" t="s">
        <v>347</v>
      </c>
      <c r="AT701" s="136"/>
      <c r="AU701" s="70">
        <f t="shared" si="75"/>
        <v>12</v>
      </c>
      <c r="AV701" s="70" t="s">
        <v>68</v>
      </c>
    </row>
    <row r="702" spans="1:48" ht="38.25" hidden="1" x14ac:dyDescent="0.2">
      <c r="A702" s="87">
        <f t="shared" si="71"/>
        <v>20679</v>
      </c>
      <c r="B702" s="80" t="s">
        <v>4720</v>
      </c>
      <c r="C702" s="80" t="s">
        <v>1012</v>
      </c>
      <c r="D702" s="87"/>
      <c r="E702" s="123" t="s">
        <v>51</v>
      </c>
      <c r="F702" s="140">
        <v>31964</v>
      </c>
      <c r="G702" s="123"/>
      <c r="H702" s="54"/>
      <c r="I702" s="123" t="s">
        <v>4721</v>
      </c>
      <c r="J702" s="140">
        <v>37336</v>
      </c>
      <c r="K702" s="123" t="s">
        <v>52</v>
      </c>
      <c r="L702" s="123"/>
      <c r="M702" s="123"/>
      <c r="N702" s="123"/>
      <c r="O702" s="106"/>
      <c r="P702" s="153" t="str">
        <f>HYPERLINK("mailto:binhnq@topica.edu,vn","binhnq@topica.edu,vn")</f>
        <v>binhnq@topica.edu,vn</v>
      </c>
      <c r="Q702" s="123"/>
      <c r="R702" s="123" t="s">
        <v>4722</v>
      </c>
      <c r="S702" s="173"/>
      <c r="T702" s="54" t="s">
        <v>4723</v>
      </c>
      <c r="U702" s="54" t="s">
        <v>4723</v>
      </c>
      <c r="V702" s="123" t="s">
        <v>4724</v>
      </c>
      <c r="W702" s="123" t="s">
        <v>3595</v>
      </c>
      <c r="X702" s="123" t="s">
        <v>4725</v>
      </c>
      <c r="Y702" s="123" t="s">
        <v>180</v>
      </c>
      <c r="Z702" s="54"/>
      <c r="AA702" s="54"/>
      <c r="AB702" s="54">
        <v>4</v>
      </c>
      <c r="AC702" s="54" t="s">
        <v>63</v>
      </c>
      <c r="AD702" s="123" t="s">
        <v>158</v>
      </c>
      <c r="AE702" s="54"/>
      <c r="AF702" s="54" t="s">
        <v>65</v>
      </c>
      <c r="AG702" s="140"/>
      <c r="AH702" s="23"/>
      <c r="AI702" s="65"/>
      <c r="AJ702" s="140">
        <v>41530</v>
      </c>
      <c r="AK702" s="65">
        <f t="shared" si="73"/>
        <v>9</v>
      </c>
      <c r="AL702" s="54" t="s">
        <v>66</v>
      </c>
      <c r="AM702" s="54"/>
      <c r="AN702" s="54"/>
      <c r="AO702" s="190"/>
      <c r="AP702" s="65" t="str">
        <f t="shared" si="74"/>
        <v/>
      </c>
      <c r="AQ702" s="123"/>
      <c r="AR702" s="23"/>
      <c r="AS702" s="54" t="s">
        <v>347</v>
      </c>
      <c r="AT702" s="136"/>
      <c r="AU702" s="70">
        <f t="shared" si="75"/>
        <v>7</v>
      </c>
      <c r="AV702" s="70" t="s">
        <v>4726</v>
      </c>
    </row>
    <row r="703" spans="1:48" ht="12.75" hidden="1" x14ac:dyDescent="0.2">
      <c r="A703" s="86">
        <f t="shared" si="71"/>
        <v>20680</v>
      </c>
      <c r="B703" s="3" t="s">
        <v>3295</v>
      </c>
      <c r="C703" s="3" t="s">
        <v>160</v>
      </c>
      <c r="D703" s="86"/>
      <c r="E703" s="36" t="s">
        <v>94</v>
      </c>
      <c r="F703" s="48">
        <v>32441</v>
      </c>
      <c r="G703" s="36" t="s">
        <v>4727</v>
      </c>
      <c r="H703" s="81" t="s">
        <v>4727</v>
      </c>
      <c r="I703" s="36" t="s">
        <v>4728</v>
      </c>
      <c r="J703" s="48">
        <v>40549</v>
      </c>
      <c r="K703" s="36" t="s">
        <v>4727</v>
      </c>
      <c r="L703" s="36" t="s">
        <v>341</v>
      </c>
      <c r="M703" s="36" t="s">
        <v>4729</v>
      </c>
      <c r="N703" s="36" t="s">
        <v>3139</v>
      </c>
      <c r="O703" s="101">
        <v>2010</v>
      </c>
      <c r="P703" s="159" t="s">
        <v>4730</v>
      </c>
      <c r="Q703" s="36" t="s">
        <v>4731</v>
      </c>
      <c r="R703" s="36" t="s">
        <v>4732</v>
      </c>
      <c r="S703" s="156"/>
      <c r="T703" s="81" t="s">
        <v>4733</v>
      </c>
      <c r="U703" s="81"/>
      <c r="V703" s="36"/>
      <c r="W703" s="36"/>
      <c r="X703" s="36"/>
      <c r="Y703" s="36" t="s">
        <v>616</v>
      </c>
      <c r="Z703" s="81"/>
      <c r="AA703" s="54"/>
      <c r="AB703" s="81">
        <v>1</v>
      </c>
      <c r="AC703" s="81" t="s">
        <v>236</v>
      </c>
      <c r="AD703" s="36" t="s">
        <v>866</v>
      </c>
      <c r="AE703" s="81" t="s">
        <v>867</v>
      </c>
      <c r="AF703" s="81" t="s">
        <v>231</v>
      </c>
      <c r="AG703" s="48">
        <v>41563</v>
      </c>
      <c r="AH703" s="134">
        <f t="shared" ref="AH703:AH734" si="76">IF((AG703=""),"",MONTH(AG703))</f>
        <v>10</v>
      </c>
      <c r="AI703" s="134"/>
      <c r="AJ703" s="48"/>
      <c r="AK703" s="134" t="str">
        <f t="shared" si="73"/>
        <v/>
      </c>
      <c r="AL703" s="54" t="s">
        <v>82</v>
      </c>
      <c r="AM703" s="54"/>
      <c r="AN703" s="54"/>
      <c r="AO703" s="190">
        <v>41565</v>
      </c>
      <c r="AP703" s="65">
        <f t="shared" si="74"/>
        <v>10</v>
      </c>
      <c r="AQ703" s="123"/>
      <c r="AR703" s="23"/>
      <c r="AS703" s="54" t="s">
        <v>347</v>
      </c>
      <c r="AT703" s="136"/>
      <c r="AU703" s="70">
        <f t="shared" si="75"/>
        <v>10</v>
      </c>
      <c r="AV703" s="70" t="s">
        <v>68</v>
      </c>
    </row>
    <row r="704" spans="1:48" ht="25.5" hidden="1" x14ac:dyDescent="0.2">
      <c r="A704" s="87">
        <f t="shared" si="71"/>
        <v>20681</v>
      </c>
      <c r="B704" s="80" t="s">
        <v>4734</v>
      </c>
      <c r="C704" s="80" t="s">
        <v>1428</v>
      </c>
      <c r="D704" s="87"/>
      <c r="E704" s="123" t="s">
        <v>94</v>
      </c>
      <c r="F704" s="140">
        <v>33225</v>
      </c>
      <c r="G704" s="123"/>
      <c r="H704" s="54" t="s">
        <v>1103</v>
      </c>
      <c r="I704" s="123" t="s">
        <v>4735</v>
      </c>
      <c r="J704" s="140">
        <v>41142</v>
      </c>
      <c r="K704" s="123" t="s">
        <v>4736</v>
      </c>
      <c r="L704" s="123" t="s">
        <v>341</v>
      </c>
      <c r="M704" s="123" t="s">
        <v>4688</v>
      </c>
      <c r="N704" s="123" t="s">
        <v>2524</v>
      </c>
      <c r="O704" s="106">
        <v>2011</v>
      </c>
      <c r="P704" s="153" t="str">
        <f>HYPERLINK("mailto:loanltm@topica.edu.vn","loanltm@topica.edu.vn")</f>
        <v>loanltm@topica.edu.vn</v>
      </c>
      <c r="Q704" s="123"/>
      <c r="R704" s="123" t="s">
        <v>4737</v>
      </c>
      <c r="S704" s="173" t="str">
        <f>HYPERLINK("mailto:loanle1812@yahoo.com","loanle1812@yahoo.com")</f>
        <v>loanle1812@yahoo.com</v>
      </c>
      <c r="T704" s="54" t="s">
        <v>4738</v>
      </c>
      <c r="U704" s="54" t="s">
        <v>4739</v>
      </c>
      <c r="V704" s="123" t="s">
        <v>4740</v>
      </c>
      <c r="W704" s="123" t="s">
        <v>3646</v>
      </c>
      <c r="X704" s="123" t="s">
        <v>4741</v>
      </c>
      <c r="Y704" s="123" t="s">
        <v>865</v>
      </c>
      <c r="Z704" s="54"/>
      <c r="AA704" s="54"/>
      <c r="AB704" s="54">
        <v>1</v>
      </c>
      <c r="AC704" s="54" t="s">
        <v>236</v>
      </c>
      <c r="AD704" s="123" t="s">
        <v>866</v>
      </c>
      <c r="AE704" s="54" t="s">
        <v>867</v>
      </c>
      <c r="AF704" s="54" t="s">
        <v>231</v>
      </c>
      <c r="AG704" s="140">
        <v>41563</v>
      </c>
      <c r="AH704" s="65">
        <f t="shared" si="76"/>
        <v>10</v>
      </c>
      <c r="AI704" s="65"/>
      <c r="AJ704" s="140">
        <v>41641</v>
      </c>
      <c r="AK704" s="65">
        <f t="shared" si="73"/>
        <v>1</v>
      </c>
      <c r="AL704" s="54" t="s">
        <v>66</v>
      </c>
      <c r="AM704" s="54"/>
      <c r="AN704" s="54"/>
      <c r="AO704" s="190"/>
      <c r="AP704" s="65" t="str">
        <f t="shared" si="74"/>
        <v/>
      </c>
      <c r="AQ704" s="123"/>
      <c r="AR704" s="23"/>
      <c r="AS704" s="54" t="s">
        <v>347</v>
      </c>
      <c r="AT704" s="136"/>
      <c r="AU704" s="70">
        <f t="shared" si="75"/>
        <v>12</v>
      </c>
      <c r="AV704" s="70" t="s">
        <v>68</v>
      </c>
    </row>
    <row r="705" spans="1:48" ht="25.5" hidden="1" x14ac:dyDescent="0.2">
      <c r="A705" s="86">
        <f t="shared" si="71"/>
        <v>20682</v>
      </c>
      <c r="B705" s="3" t="s">
        <v>4742</v>
      </c>
      <c r="C705" s="3" t="s">
        <v>920</v>
      </c>
      <c r="D705" s="86"/>
      <c r="E705" s="36" t="s">
        <v>94</v>
      </c>
      <c r="F705" s="48">
        <v>32209</v>
      </c>
      <c r="G705" s="36"/>
      <c r="H705" s="81" t="s">
        <v>379</v>
      </c>
      <c r="I705" s="36" t="s">
        <v>4743</v>
      </c>
      <c r="J705" s="48">
        <v>37571</v>
      </c>
      <c r="K705" s="36" t="s">
        <v>884</v>
      </c>
      <c r="L705" s="36" t="s">
        <v>123</v>
      </c>
      <c r="M705" s="36" t="s">
        <v>4454</v>
      </c>
      <c r="N705" s="36" t="s">
        <v>4744</v>
      </c>
      <c r="O705" s="101">
        <v>2010</v>
      </c>
      <c r="P705" s="159" t="str">
        <f>HYPERLINK("mailto:linhptm@topica.edu.vn","linhptm@topica.edu.vn")</f>
        <v>linhptm@topica.edu.vn</v>
      </c>
      <c r="Q705" s="36"/>
      <c r="R705" s="36" t="s">
        <v>4745</v>
      </c>
      <c r="S705" s="156" t="str">
        <f>HYPERLINK("mailto:mylinh_ph@yahoo.com","mylinh_ph@yahoo.com")</f>
        <v>mylinh_ph@yahoo.com</v>
      </c>
      <c r="T705" s="81" t="s">
        <v>4746</v>
      </c>
      <c r="U705" s="81" t="s">
        <v>4746</v>
      </c>
      <c r="V705" s="36" t="s">
        <v>4747</v>
      </c>
      <c r="W705" s="36" t="s">
        <v>745</v>
      </c>
      <c r="X705" s="36" t="s">
        <v>4748</v>
      </c>
      <c r="Y705" s="36" t="s">
        <v>616</v>
      </c>
      <c r="Z705" s="81"/>
      <c r="AA705" s="54"/>
      <c r="AB705" s="81">
        <v>1</v>
      </c>
      <c r="AC705" s="81" t="s">
        <v>236</v>
      </c>
      <c r="AD705" s="36" t="s">
        <v>866</v>
      </c>
      <c r="AE705" s="81" t="s">
        <v>867</v>
      </c>
      <c r="AF705" s="81" t="s">
        <v>231</v>
      </c>
      <c r="AG705" s="48">
        <v>41563</v>
      </c>
      <c r="AH705" s="134">
        <f t="shared" si="76"/>
        <v>10</v>
      </c>
      <c r="AI705" s="134"/>
      <c r="AJ705" s="48"/>
      <c r="AK705" s="134" t="str">
        <f t="shared" si="73"/>
        <v/>
      </c>
      <c r="AL705" s="54" t="s">
        <v>82</v>
      </c>
      <c r="AM705" s="54"/>
      <c r="AN705" s="54"/>
      <c r="AO705" s="190">
        <v>41593</v>
      </c>
      <c r="AP705" s="65">
        <f t="shared" si="74"/>
        <v>11</v>
      </c>
      <c r="AQ705" s="123"/>
      <c r="AR705" s="23"/>
      <c r="AS705" s="54" t="s">
        <v>347</v>
      </c>
      <c r="AT705" s="136"/>
      <c r="AU705" s="70">
        <f t="shared" si="75"/>
        <v>3</v>
      </c>
      <c r="AV705" s="70" t="s">
        <v>68</v>
      </c>
    </row>
    <row r="706" spans="1:48" ht="25.5" hidden="1" x14ac:dyDescent="0.2">
      <c r="A706" s="87">
        <f t="shared" si="71"/>
        <v>20683</v>
      </c>
      <c r="B706" s="80" t="s">
        <v>587</v>
      </c>
      <c r="C706" s="80" t="s">
        <v>4749</v>
      </c>
      <c r="D706" s="87"/>
      <c r="E706" s="123" t="s">
        <v>94</v>
      </c>
      <c r="F706" s="140">
        <v>31227</v>
      </c>
      <c r="G706" s="123" t="s">
        <v>1255</v>
      </c>
      <c r="H706" s="54" t="s">
        <v>1255</v>
      </c>
      <c r="I706" s="123" t="s">
        <v>4750</v>
      </c>
      <c r="J706" s="140">
        <v>40911</v>
      </c>
      <c r="K706" s="123" t="s">
        <v>1795</v>
      </c>
      <c r="L706" s="123" t="s">
        <v>123</v>
      </c>
      <c r="M706" s="123" t="s">
        <v>4210</v>
      </c>
      <c r="N706" s="123" t="s">
        <v>4751</v>
      </c>
      <c r="O706" s="106">
        <v>2009</v>
      </c>
      <c r="P706" s="153" t="str">
        <f>HYPERLINK("mailto:tienln@topica.edu.vn","tienln@topica.edu.vn")</f>
        <v>tienln@topica.edu.vn</v>
      </c>
      <c r="Q706" s="123"/>
      <c r="R706" s="123" t="s">
        <v>4752</v>
      </c>
      <c r="S706" s="173" t="str">
        <f>HYPERLINK("mailto:bentretruyen85@gmail.com","bentretruyen85@gmail.com")</f>
        <v>bentretruyen85@gmail.com</v>
      </c>
      <c r="T706" s="54" t="s">
        <v>4753</v>
      </c>
      <c r="U706" s="54" t="s">
        <v>4754</v>
      </c>
      <c r="V706" s="123" t="s">
        <v>4755</v>
      </c>
      <c r="W706" s="123" t="s">
        <v>2989</v>
      </c>
      <c r="X706" s="123" t="s">
        <v>4756</v>
      </c>
      <c r="Y706" s="123" t="s">
        <v>865</v>
      </c>
      <c r="Z706" s="54"/>
      <c r="AA706" s="54"/>
      <c r="AB706" s="54">
        <v>1</v>
      </c>
      <c r="AC706" s="54" t="s">
        <v>236</v>
      </c>
      <c r="AD706" s="123" t="s">
        <v>866</v>
      </c>
      <c r="AE706" s="54" t="s">
        <v>867</v>
      </c>
      <c r="AF706" s="54" t="s">
        <v>231</v>
      </c>
      <c r="AG706" s="140">
        <v>41563</v>
      </c>
      <c r="AH706" s="65">
        <f t="shared" si="76"/>
        <v>10</v>
      </c>
      <c r="AI706" s="65"/>
      <c r="AJ706" s="140">
        <v>41641</v>
      </c>
      <c r="AK706" s="65">
        <f t="shared" si="73"/>
        <v>1</v>
      </c>
      <c r="AL706" s="54" t="s">
        <v>66</v>
      </c>
      <c r="AM706" s="54"/>
      <c r="AN706" s="54"/>
      <c r="AO706" s="190"/>
      <c r="AP706" s="65" t="str">
        <f t="shared" si="74"/>
        <v/>
      </c>
      <c r="AQ706" s="123"/>
      <c r="AR706" s="23"/>
      <c r="AS706" s="54" t="s">
        <v>347</v>
      </c>
      <c r="AT706" s="136"/>
      <c r="AU706" s="70">
        <f t="shared" si="75"/>
        <v>6</v>
      </c>
      <c r="AV706" s="70" t="s">
        <v>68</v>
      </c>
    </row>
    <row r="707" spans="1:48" ht="25.5" hidden="1" x14ac:dyDescent="0.2">
      <c r="A707" s="87">
        <f t="shared" si="71"/>
        <v>20684</v>
      </c>
      <c r="B707" s="80" t="s">
        <v>265</v>
      </c>
      <c r="C707" s="80" t="s">
        <v>535</v>
      </c>
      <c r="D707" s="87"/>
      <c r="E707" s="123" t="s">
        <v>94</v>
      </c>
      <c r="F707" s="140">
        <v>32214</v>
      </c>
      <c r="G707" s="123" t="s">
        <v>1255</v>
      </c>
      <c r="H707" s="54" t="s">
        <v>1255</v>
      </c>
      <c r="I707" s="123" t="s">
        <v>4757</v>
      </c>
      <c r="J707" s="140">
        <v>37553</v>
      </c>
      <c r="K707" s="123" t="s">
        <v>1795</v>
      </c>
      <c r="L707" s="123" t="s">
        <v>341</v>
      </c>
      <c r="M707" s="123" t="s">
        <v>4758</v>
      </c>
      <c r="N707" s="123" t="s">
        <v>4759</v>
      </c>
      <c r="O707" s="106">
        <v>2009</v>
      </c>
      <c r="P707" s="153" t="str">
        <f>HYPERLINK("mailto:ngannt@topica.edu.vn","ngannt@topica.edu.vn")</f>
        <v>ngannt@topica.edu.vn</v>
      </c>
      <c r="Q707" s="123"/>
      <c r="R707" s="123" t="s">
        <v>4760</v>
      </c>
      <c r="S707" s="173" t="str">
        <f>HYPERLINK("mailto:nganbt123@yahoo.com.vn","nganbt123@yahoo.com.vn")</f>
        <v>nganbt123@yahoo.com.vn</v>
      </c>
      <c r="T707" s="54" t="s">
        <v>4761</v>
      </c>
      <c r="U707" s="54" t="s">
        <v>4762</v>
      </c>
      <c r="V707" s="123" t="s">
        <v>4763</v>
      </c>
      <c r="W707" s="123" t="s">
        <v>2989</v>
      </c>
      <c r="X707" s="123" t="s">
        <v>4764</v>
      </c>
      <c r="Y707" s="123" t="s">
        <v>865</v>
      </c>
      <c r="Z707" s="54"/>
      <c r="AA707" s="54"/>
      <c r="AB707" s="54">
        <v>1</v>
      </c>
      <c r="AC707" s="54" t="s">
        <v>236</v>
      </c>
      <c r="AD707" s="123" t="s">
        <v>866</v>
      </c>
      <c r="AE707" s="54" t="s">
        <v>867</v>
      </c>
      <c r="AF707" s="54" t="s">
        <v>231</v>
      </c>
      <c r="AG707" s="140">
        <v>41563</v>
      </c>
      <c r="AH707" s="65">
        <f t="shared" si="76"/>
        <v>10</v>
      </c>
      <c r="AI707" s="65"/>
      <c r="AJ707" s="140">
        <v>41641</v>
      </c>
      <c r="AK707" s="65">
        <f t="shared" si="73"/>
        <v>1</v>
      </c>
      <c r="AL707" s="54" t="s">
        <v>66</v>
      </c>
      <c r="AM707" s="54"/>
      <c r="AN707" s="54"/>
      <c r="AO707" s="190"/>
      <c r="AP707" s="65" t="str">
        <f t="shared" si="74"/>
        <v/>
      </c>
      <c r="AQ707" s="123"/>
      <c r="AR707" s="23"/>
      <c r="AS707" s="54" t="s">
        <v>347</v>
      </c>
      <c r="AT707" s="136"/>
      <c r="AU707" s="70">
        <f t="shared" si="75"/>
        <v>3</v>
      </c>
      <c r="AV707" s="70" t="s">
        <v>68</v>
      </c>
    </row>
    <row r="708" spans="1:48" ht="38.25" hidden="1" x14ac:dyDescent="0.2">
      <c r="A708" s="86">
        <f t="shared" si="71"/>
        <v>20685</v>
      </c>
      <c r="B708" s="3" t="s">
        <v>4765</v>
      </c>
      <c r="C708" s="3" t="s">
        <v>4766</v>
      </c>
      <c r="D708" s="86"/>
      <c r="E708" s="36" t="s">
        <v>94</v>
      </c>
      <c r="F708" s="48">
        <v>32803</v>
      </c>
      <c r="G708" s="36"/>
      <c r="H708" s="81" t="s">
        <v>365</v>
      </c>
      <c r="I708" s="36" t="s">
        <v>4767</v>
      </c>
      <c r="J708" s="48">
        <v>38849</v>
      </c>
      <c r="K708" s="36" t="s">
        <v>365</v>
      </c>
      <c r="L708" s="36" t="s">
        <v>123</v>
      </c>
      <c r="M708" s="36" t="s">
        <v>3108</v>
      </c>
      <c r="N708" s="36" t="s">
        <v>458</v>
      </c>
      <c r="O708" s="101"/>
      <c r="P708" s="159" t="str">
        <f>HYPERLINK("mailto:kimdtm@topica.edu.vn","kimdtm@topica.edu.vn")</f>
        <v>kimdtm@topica.edu.vn</v>
      </c>
      <c r="Q708" s="36"/>
      <c r="R708" s="36" t="s">
        <v>4768</v>
      </c>
      <c r="S708" s="156" t="str">
        <f>HYPERLINK("mailto:mat.nau518@gmail.com","mat.nau518@gmail.com")</f>
        <v>mat.nau518@gmail.com</v>
      </c>
      <c r="T708" s="81" t="s">
        <v>4769</v>
      </c>
      <c r="U708" s="81" t="s">
        <v>4770</v>
      </c>
      <c r="V708" s="36" t="s">
        <v>4771</v>
      </c>
      <c r="W708" s="36" t="s">
        <v>745</v>
      </c>
      <c r="X708" s="36" t="s">
        <v>4772</v>
      </c>
      <c r="Y708" s="36" t="s">
        <v>616</v>
      </c>
      <c r="Z708" s="81"/>
      <c r="AA708" s="54"/>
      <c r="AB708" s="81">
        <v>1</v>
      </c>
      <c r="AC708" s="81" t="s">
        <v>236</v>
      </c>
      <c r="AD708" s="36" t="s">
        <v>207</v>
      </c>
      <c r="AE708" s="81" t="s">
        <v>585</v>
      </c>
      <c r="AF708" s="81" t="s">
        <v>65</v>
      </c>
      <c r="AG708" s="48">
        <v>41561</v>
      </c>
      <c r="AH708" s="134">
        <f t="shared" si="76"/>
        <v>10</v>
      </c>
      <c r="AI708" s="134"/>
      <c r="AJ708" s="48"/>
      <c r="AK708" s="134" t="str">
        <f t="shared" ref="AK708:AK739" si="77">IF((AJ708=""),"",MONTH(AJ708))</f>
        <v/>
      </c>
      <c r="AL708" s="54" t="s">
        <v>82</v>
      </c>
      <c r="AM708" s="54"/>
      <c r="AN708" s="54"/>
      <c r="AO708" s="190">
        <v>41604</v>
      </c>
      <c r="AP708" s="65">
        <f t="shared" si="74"/>
        <v>11</v>
      </c>
      <c r="AQ708" s="123"/>
      <c r="AR708" s="23"/>
      <c r="AS708" s="54" t="s">
        <v>347</v>
      </c>
      <c r="AT708" s="136"/>
      <c r="AU708" s="70">
        <f t="shared" si="75"/>
        <v>10</v>
      </c>
      <c r="AV708" s="70" t="s">
        <v>68</v>
      </c>
    </row>
    <row r="709" spans="1:48" ht="12.75" hidden="1" x14ac:dyDescent="0.2">
      <c r="A709" s="86">
        <f t="shared" si="71"/>
        <v>20686</v>
      </c>
      <c r="B709" s="3" t="s">
        <v>4773</v>
      </c>
      <c r="C709" s="3" t="s">
        <v>643</v>
      </c>
      <c r="D709" s="86"/>
      <c r="E709" s="36" t="s">
        <v>94</v>
      </c>
      <c r="F709" s="48">
        <v>31600</v>
      </c>
      <c r="G709" s="36"/>
      <c r="H709" s="81" t="s">
        <v>397</v>
      </c>
      <c r="I709" s="36" t="s">
        <v>4774</v>
      </c>
      <c r="J709" s="48">
        <v>37073</v>
      </c>
      <c r="K709" s="36" t="s">
        <v>52</v>
      </c>
      <c r="L709" s="36" t="s">
        <v>123</v>
      </c>
      <c r="M709" s="36" t="s">
        <v>4775</v>
      </c>
      <c r="N709" s="36" t="s">
        <v>458</v>
      </c>
      <c r="O709" s="101">
        <v>2009</v>
      </c>
      <c r="P709" s="159" t="str">
        <f>HYPERLINK("mailto:vanttt2@topica.edu.vn","vanttt2@topica.edu.vn")</f>
        <v>vanttt2@topica.edu.vn</v>
      </c>
      <c r="Q709" s="36"/>
      <c r="R709" s="36" t="s">
        <v>4776</v>
      </c>
      <c r="S709" s="156"/>
      <c r="T709" s="81"/>
      <c r="U709" s="81"/>
      <c r="V709" s="36"/>
      <c r="W709" s="36"/>
      <c r="X709" s="36"/>
      <c r="Y709" s="36" t="s">
        <v>616</v>
      </c>
      <c r="Z709" s="81"/>
      <c r="AA709" s="54"/>
      <c r="AB709" s="81">
        <v>1</v>
      </c>
      <c r="AC709" s="81" t="s">
        <v>236</v>
      </c>
      <c r="AD709" s="36" t="s">
        <v>207</v>
      </c>
      <c r="AE709" s="81" t="s">
        <v>585</v>
      </c>
      <c r="AF709" s="81" t="s">
        <v>65</v>
      </c>
      <c r="AG709" s="48">
        <v>41561</v>
      </c>
      <c r="AH709" s="134">
        <f t="shared" si="76"/>
        <v>10</v>
      </c>
      <c r="AI709" s="134"/>
      <c r="AJ709" s="48"/>
      <c r="AK709" s="134" t="str">
        <f t="shared" si="77"/>
        <v/>
      </c>
      <c r="AL709" s="54" t="s">
        <v>82</v>
      </c>
      <c r="AM709" s="54"/>
      <c r="AN709" s="54"/>
      <c r="AO709" s="190">
        <v>41572</v>
      </c>
      <c r="AP709" s="65">
        <f t="shared" si="74"/>
        <v>10</v>
      </c>
      <c r="AQ709" s="123"/>
      <c r="AR709" s="23"/>
      <c r="AS709" s="54" t="s">
        <v>347</v>
      </c>
      <c r="AT709" s="136"/>
      <c r="AU709" s="70">
        <f t="shared" si="75"/>
        <v>7</v>
      </c>
      <c r="AV709" s="70" t="s">
        <v>68</v>
      </c>
    </row>
    <row r="710" spans="1:48" ht="25.5" hidden="1" x14ac:dyDescent="0.2">
      <c r="A710" s="86">
        <f t="shared" si="71"/>
        <v>20687</v>
      </c>
      <c r="B710" s="3" t="s">
        <v>4777</v>
      </c>
      <c r="C710" s="3" t="s">
        <v>1951</v>
      </c>
      <c r="D710" s="86"/>
      <c r="E710" s="36" t="s">
        <v>94</v>
      </c>
      <c r="F710" s="48">
        <v>33615</v>
      </c>
      <c r="G710" s="36"/>
      <c r="H710" s="81" t="s">
        <v>551</v>
      </c>
      <c r="I710" s="36" t="s">
        <v>4778</v>
      </c>
      <c r="J710" s="48">
        <v>38714</v>
      </c>
      <c r="K710" s="36" t="s">
        <v>551</v>
      </c>
      <c r="L710" s="36" t="s">
        <v>123</v>
      </c>
      <c r="M710" s="36" t="s">
        <v>217</v>
      </c>
      <c r="N710" s="36" t="s">
        <v>4779</v>
      </c>
      <c r="O710" s="101">
        <v>2013</v>
      </c>
      <c r="P710" s="159" t="str">
        <f>HYPERLINK("mailto:phuongnt3@topica.edu.vn","phuongnt3@topica.edu.vn")</f>
        <v>phuongnt3@topica.edu.vn</v>
      </c>
      <c r="Q710" s="36"/>
      <c r="R710" s="36" t="s">
        <v>4780</v>
      </c>
      <c r="S710" s="156"/>
      <c r="T710" s="81" t="s">
        <v>4781</v>
      </c>
      <c r="U710" s="81" t="s">
        <v>4782</v>
      </c>
      <c r="V710" s="36"/>
      <c r="W710" s="36"/>
      <c r="X710" s="36"/>
      <c r="Y710" s="36" t="s">
        <v>360</v>
      </c>
      <c r="Z710" s="81"/>
      <c r="AA710" s="54"/>
      <c r="AB710" s="81">
        <v>2</v>
      </c>
      <c r="AC710" s="81" t="s">
        <v>362</v>
      </c>
      <c r="AD710" s="36" t="s">
        <v>207</v>
      </c>
      <c r="AE710" s="81" t="s">
        <v>1128</v>
      </c>
      <c r="AF710" s="81" t="s">
        <v>65</v>
      </c>
      <c r="AG710" s="48">
        <v>41563</v>
      </c>
      <c r="AH710" s="134">
        <f t="shared" si="76"/>
        <v>10</v>
      </c>
      <c r="AI710" s="134"/>
      <c r="AJ710" s="48"/>
      <c r="AK710" s="134" t="str">
        <f t="shared" si="77"/>
        <v/>
      </c>
      <c r="AL710" s="81" t="s">
        <v>82</v>
      </c>
      <c r="AM710" s="81"/>
      <c r="AN710" s="81"/>
      <c r="AO710" s="48">
        <v>41625</v>
      </c>
      <c r="AP710" s="134">
        <f t="shared" si="74"/>
        <v>12</v>
      </c>
      <c r="AQ710" s="36" t="s">
        <v>4783</v>
      </c>
      <c r="AR710" s="116"/>
      <c r="AS710" s="81" t="s">
        <v>347</v>
      </c>
      <c r="AT710" s="134"/>
      <c r="AU710" s="172">
        <f t="shared" si="75"/>
        <v>1</v>
      </c>
      <c r="AV710" s="172" t="s">
        <v>68</v>
      </c>
    </row>
    <row r="711" spans="1:48" ht="12.75" hidden="1" x14ac:dyDescent="0.2">
      <c r="A711" s="87">
        <f t="shared" si="71"/>
        <v>20688</v>
      </c>
      <c r="B711" s="80" t="s">
        <v>4784</v>
      </c>
      <c r="C711" s="80" t="s">
        <v>4785</v>
      </c>
      <c r="D711" s="87" t="s">
        <v>4786</v>
      </c>
      <c r="E711" s="123" t="s">
        <v>51</v>
      </c>
      <c r="F711" s="140">
        <v>33000</v>
      </c>
      <c r="G711" s="123" t="s">
        <v>997</v>
      </c>
      <c r="H711" s="54" t="s">
        <v>997</v>
      </c>
      <c r="I711" s="123" t="s">
        <v>4787</v>
      </c>
      <c r="J711" s="140">
        <v>39063</v>
      </c>
      <c r="K711" s="123" t="s">
        <v>997</v>
      </c>
      <c r="L711" s="123" t="s">
        <v>123</v>
      </c>
      <c r="M711" s="123" t="s">
        <v>3108</v>
      </c>
      <c r="N711" s="123" t="s">
        <v>368</v>
      </c>
      <c r="O711" s="106"/>
      <c r="P711" s="153" t="str">
        <f>HYPERLINK("mailto:dinhvv@topica.edu.vn","dinhvv@topica.edu.vn")</f>
        <v>dinhvv@topica.edu.vn</v>
      </c>
      <c r="Q711" s="123"/>
      <c r="R711" s="123" t="s">
        <v>4788</v>
      </c>
      <c r="S711" s="173" t="str">
        <f>HYPERLINK("mailto:dinhvubn@gmail.com","dinhvubn@gmail.com")</f>
        <v>dinhvubn@gmail.com</v>
      </c>
      <c r="T711" s="54" t="s">
        <v>4789</v>
      </c>
      <c r="U711" s="54" t="s">
        <v>4790</v>
      </c>
      <c r="V711" s="123" t="s">
        <v>4791</v>
      </c>
      <c r="W711" s="123" t="s">
        <v>283</v>
      </c>
      <c r="X711" s="123" t="s">
        <v>4792</v>
      </c>
      <c r="Y711" s="123" t="s">
        <v>360</v>
      </c>
      <c r="Z711" s="54"/>
      <c r="AA711" s="54"/>
      <c r="AB711" s="54">
        <v>2</v>
      </c>
      <c r="AC711" s="54" t="s">
        <v>362</v>
      </c>
      <c r="AD711" s="123" t="s">
        <v>207</v>
      </c>
      <c r="AE711" s="54" t="s">
        <v>1128</v>
      </c>
      <c r="AF711" s="54" t="s">
        <v>65</v>
      </c>
      <c r="AG711" s="140">
        <v>41568</v>
      </c>
      <c r="AH711" s="65">
        <f t="shared" si="76"/>
        <v>10</v>
      </c>
      <c r="AI711" s="65"/>
      <c r="AJ711" s="140">
        <v>41629</v>
      </c>
      <c r="AK711" s="65">
        <f t="shared" si="77"/>
        <v>12</v>
      </c>
      <c r="AL711" s="54" t="s">
        <v>66</v>
      </c>
      <c r="AM711" s="54"/>
      <c r="AN711" s="54"/>
      <c r="AO711" s="190"/>
      <c r="AP711" s="65" t="str">
        <f t="shared" si="74"/>
        <v/>
      </c>
      <c r="AQ711" s="123"/>
      <c r="AR711" s="23"/>
      <c r="AS711" s="54" t="s">
        <v>347</v>
      </c>
      <c r="AT711" s="136"/>
      <c r="AU711" s="70">
        <f t="shared" si="75"/>
        <v>5</v>
      </c>
      <c r="AV711" s="70" t="s">
        <v>68</v>
      </c>
    </row>
    <row r="712" spans="1:48" ht="38.25" hidden="1" x14ac:dyDescent="0.2">
      <c r="A712" s="87">
        <f t="shared" si="71"/>
        <v>20689</v>
      </c>
      <c r="B712" s="80" t="s">
        <v>1337</v>
      </c>
      <c r="C712" s="80" t="s">
        <v>607</v>
      </c>
      <c r="D712" s="87"/>
      <c r="E712" s="123" t="s">
        <v>94</v>
      </c>
      <c r="F712" s="140">
        <v>33529</v>
      </c>
      <c r="G712" s="123"/>
      <c r="H712" s="54" t="s">
        <v>1046</v>
      </c>
      <c r="I712" s="123" t="s">
        <v>4793</v>
      </c>
      <c r="J712" s="140">
        <v>39340</v>
      </c>
      <c r="K712" s="123" t="s">
        <v>4794</v>
      </c>
      <c r="L712" s="123" t="s">
        <v>123</v>
      </c>
      <c r="M712" s="123" t="s">
        <v>1486</v>
      </c>
      <c r="N712" s="123" t="s">
        <v>2960</v>
      </c>
      <c r="O712" s="106">
        <v>2012</v>
      </c>
      <c r="P712" s="153" t="str">
        <f>HYPERLINK("mailto:phuongnx@topica.edu.vn","phuongnx@topica.edu.vn")</f>
        <v>phuongnx@topica.edu.vn</v>
      </c>
      <c r="Q712" s="123"/>
      <c r="R712" s="123" t="s">
        <v>4795</v>
      </c>
      <c r="S712" s="173"/>
      <c r="T712" s="54" t="s">
        <v>4796</v>
      </c>
      <c r="U712" s="54" t="s">
        <v>4797</v>
      </c>
      <c r="V712" s="123" t="s">
        <v>4798</v>
      </c>
      <c r="W712" s="123" t="s">
        <v>4626</v>
      </c>
      <c r="X712" s="123" t="s">
        <v>4799</v>
      </c>
      <c r="Y712" s="123" t="s">
        <v>865</v>
      </c>
      <c r="Z712" s="54"/>
      <c r="AA712" s="54"/>
      <c r="AB712" s="54">
        <v>1</v>
      </c>
      <c r="AC712" s="54" t="s">
        <v>236</v>
      </c>
      <c r="AD712" s="123" t="s">
        <v>866</v>
      </c>
      <c r="AE712" s="54" t="s">
        <v>867</v>
      </c>
      <c r="AF712" s="54" t="s">
        <v>231</v>
      </c>
      <c r="AG712" s="140">
        <v>41582</v>
      </c>
      <c r="AH712" s="65">
        <f t="shared" si="76"/>
        <v>11</v>
      </c>
      <c r="AI712" s="65"/>
      <c r="AJ712" s="140">
        <v>41641</v>
      </c>
      <c r="AK712" s="65">
        <f t="shared" si="77"/>
        <v>1</v>
      </c>
      <c r="AL712" s="54" t="s">
        <v>66</v>
      </c>
      <c r="AM712" s="54"/>
      <c r="AN712" s="54"/>
      <c r="AO712" s="190"/>
      <c r="AP712" s="65" t="str">
        <f t="shared" si="74"/>
        <v/>
      </c>
      <c r="AQ712" s="123"/>
      <c r="AR712" s="23"/>
      <c r="AS712" s="54" t="s">
        <v>347</v>
      </c>
      <c r="AT712" s="136"/>
      <c r="AU712" s="70">
        <f t="shared" si="75"/>
        <v>10</v>
      </c>
      <c r="AV712" s="70" t="s">
        <v>68</v>
      </c>
    </row>
    <row r="713" spans="1:48" ht="38.25" hidden="1" x14ac:dyDescent="0.2">
      <c r="A713" s="87">
        <f t="shared" si="71"/>
        <v>20690</v>
      </c>
      <c r="B713" s="80" t="s">
        <v>801</v>
      </c>
      <c r="C713" s="80" t="s">
        <v>1017</v>
      </c>
      <c r="D713" s="87"/>
      <c r="E713" s="123" t="s">
        <v>94</v>
      </c>
      <c r="F713" s="140">
        <v>33060</v>
      </c>
      <c r="G713" s="123" t="s">
        <v>303</v>
      </c>
      <c r="H713" s="54" t="s">
        <v>303</v>
      </c>
      <c r="I713" s="123" t="s">
        <v>4800</v>
      </c>
      <c r="J713" s="140">
        <v>39687</v>
      </c>
      <c r="K713" s="123" t="s">
        <v>303</v>
      </c>
      <c r="L713" s="123" t="s">
        <v>123</v>
      </c>
      <c r="M713" s="123" t="s">
        <v>3108</v>
      </c>
      <c r="N713" s="123" t="s">
        <v>368</v>
      </c>
      <c r="O713" s="106">
        <v>2012</v>
      </c>
      <c r="P713" s="153" t="str">
        <f>HYPERLINK("mailto:quynhlt@topica.edu,vn","quynhlt@topica.edu,vn")</f>
        <v>quynhlt@topica.edu,vn</v>
      </c>
      <c r="Q713" s="123"/>
      <c r="R713" s="123" t="s">
        <v>4801</v>
      </c>
      <c r="S713" s="173"/>
      <c r="T713" s="54" t="s">
        <v>4802</v>
      </c>
      <c r="U713" s="54" t="s">
        <v>4803</v>
      </c>
      <c r="V713" s="123"/>
      <c r="W713" s="123"/>
      <c r="X713" s="123"/>
      <c r="Y713" s="123" t="s">
        <v>865</v>
      </c>
      <c r="Z713" s="54"/>
      <c r="AA713" s="54"/>
      <c r="AB713" s="54">
        <v>1</v>
      </c>
      <c r="AC713" s="54" t="s">
        <v>236</v>
      </c>
      <c r="AD713" s="123" t="s">
        <v>207</v>
      </c>
      <c r="AE713" s="54" t="s">
        <v>585</v>
      </c>
      <c r="AF713" s="54" t="s">
        <v>65</v>
      </c>
      <c r="AG713" s="140">
        <v>41582</v>
      </c>
      <c r="AH713" s="65">
        <f t="shared" si="76"/>
        <v>11</v>
      </c>
      <c r="AI713" s="65"/>
      <c r="AJ713" s="140">
        <v>41640</v>
      </c>
      <c r="AK713" s="65">
        <f t="shared" si="77"/>
        <v>1</v>
      </c>
      <c r="AL713" s="54" t="s">
        <v>66</v>
      </c>
      <c r="AM713" s="54"/>
      <c r="AN713" s="54"/>
      <c r="AO713" s="190"/>
      <c r="AP713" s="65" t="str">
        <f t="shared" si="74"/>
        <v/>
      </c>
      <c r="AQ713" s="123"/>
      <c r="AR713" s="23"/>
      <c r="AS713" s="54" t="s">
        <v>347</v>
      </c>
      <c r="AT713" s="136"/>
      <c r="AU713" s="70">
        <f t="shared" si="75"/>
        <v>7</v>
      </c>
      <c r="AV713" s="70" t="s">
        <v>68</v>
      </c>
    </row>
    <row r="714" spans="1:48" ht="25.5" hidden="1" x14ac:dyDescent="0.2">
      <c r="A714" s="86">
        <f t="shared" si="71"/>
        <v>20691</v>
      </c>
      <c r="B714" s="3" t="s">
        <v>1220</v>
      </c>
      <c r="C714" s="3" t="s">
        <v>4804</v>
      </c>
      <c r="D714" s="86"/>
      <c r="E714" s="36" t="s">
        <v>94</v>
      </c>
      <c r="F714" s="48">
        <v>32464</v>
      </c>
      <c r="G714" s="36" t="s">
        <v>815</v>
      </c>
      <c r="H714" s="81" t="s">
        <v>2785</v>
      </c>
      <c r="I714" s="36" t="s">
        <v>4805</v>
      </c>
      <c r="J714" s="48">
        <v>37761</v>
      </c>
      <c r="K714" s="36" t="s">
        <v>815</v>
      </c>
      <c r="L714" s="36" t="s">
        <v>123</v>
      </c>
      <c r="M714" s="36" t="s">
        <v>3108</v>
      </c>
      <c r="N714" s="36" t="s">
        <v>1582</v>
      </c>
      <c r="O714" s="101">
        <v>2010</v>
      </c>
      <c r="P714" s="159" t="str">
        <f>HYPERLINK("mailto:menntn@topica.edu.vn","menntn@topica.edu.vn")</f>
        <v>menntn@topica.edu.vn</v>
      </c>
      <c r="Q714" s="36"/>
      <c r="R714" s="36" t="s">
        <v>4806</v>
      </c>
      <c r="S714" s="156"/>
      <c r="T714" s="81" t="s">
        <v>4807</v>
      </c>
      <c r="U714" s="81" t="s">
        <v>4808</v>
      </c>
      <c r="V714" s="36" t="s">
        <v>4809</v>
      </c>
      <c r="W714" s="36" t="s">
        <v>283</v>
      </c>
      <c r="X714" s="36" t="s">
        <v>4810</v>
      </c>
      <c r="Y714" s="36" t="s">
        <v>865</v>
      </c>
      <c r="Z714" s="81"/>
      <c r="AA714" s="54"/>
      <c r="AB714" s="81">
        <v>1</v>
      </c>
      <c r="AC714" s="81" t="s">
        <v>236</v>
      </c>
      <c r="AD714" s="36" t="s">
        <v>207</v>
      </c>
      <c r="AE714" s="81" t="s">
        <v>585</v>
      </c>
      <c r="AF714" s="81" t="s">
        <v>65</v>
      </c>
      <c r="AG714" s="48">
        <v>41582</v>
      </c>
      <c r="AH714" s="134">
        <f t="shared" si="76"/>
        <v>11</v>
      </c>
      <c r="AI714" s="134"/>
      <c r="AJ714" s="48"/>
      <c r="AK714" s="134" t="str">
        <f t="shared" si="77"/>
        <v/>
      </c>
      <c r="AL714" s="81" t="s">
        <v>82</v>
      </c>
      <c r="AM714" s="81"/>
      <c r="AN714" s="81"/>
      <c r="AO714" s="48">
        <v>41645</v>
      </c>
      <c r="AP714" s="134">
        <f t="shared" si="74"/>
        <v>1</v>
      </c>
      <c r="AQ714" s="36"/>
      <c r="AR714" s="116"/>
      <c r="AS714" s="81" t="s">
        <v>347</v>
      </c>
      <c r="AT714" s="134"/>
      <c r="AU714" s="172">
        <f t="shared" si="75"/>
        <v>11</v>
      </c>
      <c r="AV714" s="172" t="s">
        <v>68</v>
      </c>
    </row>
    <row r="715" spans="1:48" ht="38.25" hidden="1" x14ac:dyDescent="0.2">
      <c r="A715" s="87">
        <f t="shared" si="71"/>
        <v>20692</v>
      </c>
      <c r="B715" s="80" t="s">
        <v>4811</v>
      </c>
      <c r="C715" s="80" t="s">
        <v>160</v>
      </c>
      <c r="D715" s="87"/>
      <c r="E715" s="123" t="s">
        <v>94</v>
      </c>
      <c r="F715" s="140">
        <v>33149</v>
      </c>
      <c r="G715" s="123" t="s">
        <v>161</v>
      </c>
      <c r="H715" s="54" t="s">
        <v>161</v>
      </c>
      <c r="I715" s="123" t="s">
        <v>4812</v>
      </c>
      <c r="J715" s="140">
        <v>38638</v>
      </c>
      <c r="K715" s="123" t="s">
        <v>161</v>
      </c>
      <c r="L715" s="123" t="s">
        <v>123</v>
      </c>
      <c r="M715" s="123" t="s">
        <v>1838</v>
      </c>
      <c r="N715" s="123" t="s">
        <v>368</v>
      </c>
      <c r="O715" s="106">
        <v>2012</v>
      </c>
      <c r="P715" s="153" t="str">
        <f>HYPERLINK("mailto:anhdth@topica.edu.vn","anhdth@topica.edu.vn")</f>
        <v>anhdth@topica.edu.vn</v>
      </c>
      <c r="Q715" s="123"/>
      <c r="R715" s="123" t="s">
        <v>4813</v>
      </c>
      <c r="S715" s="173" t="str">
        <f>HYPERLINK("mailto:haianhdoan90@gmail.com","haianhdoan90@gmail.com")</f>
        <v>haianhdoan90@gmail.com</v>
      </c>
      <c r="T715" s="54" t="s">
        <v>4814</v>
      </c>
      <c r="U715" s="54" t="s">
        <v>4815</v>
      </c>
      <c r="V715" s="123"/>
      <c r="W715" s="123"/>
      <c r="X715" s="123"/>
      <c r="Y715" s="123" t="s">
        <v>865</v>
      </c>
      <c r="Z715" s="54"/>
      <c r="AA715" s="54"/>
      <c r="AB715" s="54">
        <v>1</v>
      </c>
      <c r="AC715" s="54" t="s">
        <v>236</v>
      </c>
      <c r="AD715" s="123" t="s">
        <v>207</v>
      </c>
      <c r="AE715" s="54" t="s">
        <v>585</v>
      </c>
      <c r="AF715" s="54" t="s">
        <v>65</v>
      </c>
      <c r="AG715" s="140">
        <v>41582</v>
      </c>
      <c r="AH715" s="65">
        <f t="shared" si="76"/>
        <v>11</v>
      </c>
      <c r="AI715" s="65"/>
      <c r="AJ715" s="140">
        <v>41640</v>
      </c>
      <c r="AK715" s="65">
        <f t="shared" si="77"/>
        <v>1</v>
      </c>
      <c r="AL715" s="54" t="s">
        <v>66</v>
      </c>
      <c r="AM715" s="54"/>
      <c r="AN715" s="54"/>
      <c r="AO715" s="190"/>
      <c r="AP715" s="65" t="str">
        <f t="shared" si="74"/>
        <v/>
      </c>
      <c r="AQ715" s="123"/>
      <c r="AR715" s="23"/>
      <c r="AS715" s="54" t="s">
        <v>347</v>
      </c>
      <c r="AT715" s="136"/>
      <c r="AU715" s="70">
        <f t="shared" si="75"/>
        <v>10</v>
      </c>
      <c r="AV715" s="70" t="s">
        <v>68</v>
      </c>
    </row>
    <row r="716" spans="1:48" ht="38.25" hidden="1" x14ac:dyDescent="0.2">
      <c r="A716" s="87">
        <f t="shared" si="71"/>
        <v>20693</v>
      </c>
      <c r="B716" s="80" t="s">
        <v>4816</v>
      </c>
      <c r="C716" s="80" t="s">
        <v>685</v>
      </c>
      <c r="D716" s="87"/>
      <c r="E716" s="123" t="s">
        <v>94</v>
      </c>
      <c r="F716" s="140">
        <v>33207</v>
      </c>
      <c r="G716" s="123" t="s">
        <v>171</v>
      </c>
      <c r="H716" s="54" t="s">
        <v>171</v>
      </c>
      <c r="I716" s="123" t="s">
        <v>4817</v>
      </c>
      <c r="J716" s="140">
        <v>39393</v>
      </c>
      <c r="K716" s="123" t="s">
        <v>171</v>
      </c>
      <c r="L716" s="123" t="s">
        <v>123</v>
      </c>
      <c r="M716" s="123" t="s">
        <v>96</v>
      </c>
      <c r="N716" s="123" t="s">
        <v>368</v>
      </c>
      <c r="O716" s="106">
        <v>2012</v>
      </c>
      <c r="P716" s="153" t="str">
        <f>HYPERLINK("mailto:trangdth2@topica.edu.vn","trangdth2@topica.edu.vn")</f>
        <v>trangdth2@topica.edu.vn</v>
      </c>
      <c r="Q716" s="123" t="s">
        <v>4818</v>
      </c>
      <c r="R716" s="123" t="s">
        <v>4819</v>
      </c>
      <c r="S716" s="173" t="str">
        <f>HYPERLINK("mailto:susanduong1130@gmail.com","susanduong1130@gmail.com")</f>
        <v>susanduong1130@gmail.com</v>
      </c>
      <c r="T716" s="54" t="s">
        <v>583</v>
      </c>
      <c r="U716" s="54" t="s">
        <v>4820</v>
      </c>
      <c r="V716" s="123"/>
      <c r="W716" s="123"/>
      <c r="X716" s="123"/>
      <c r="Y716" s="123" t="s">
        <v>865</v>
      </c>
      <c r="Z716" s="54"/>
      <c r="AA716" s="54"/>
      <c r="AB716" s="54">
        <v>1</v>
      </c>
      <c r="AC716" s="54" t="s">
        <v>236</v>
      </c>
      <c r="AD716" s="123" t="s">
        <v>207</v>
      </c>
      <c r="AE716" s="54" t="s">
        <v>585</v>
      </c>
      <c r="AF716" s="54" t="s">
        <v>65</v>
      </c>
      <c r="AG716" s="140">
        <v>41582</v>
      </c>
      <c r="AH716" s="65">
        <f t="shared" si="76"/>
        <v>11</v>
      </c>
      <c r="AI716" s="65"/>
      <c r="AJ716" s="140">
        <v>41640</v>
      </c>
      <c r="AK716" s="65">
        <f t="shared" si="77"/>
        <v>1</v>
      </c>
      <c r="AL716" s="54" t="s">
        <v>66</v>
      </c>
      <c r="AM716" s="54"/>
      <c r="AN716" s="54"/>
      <c r="AO716" s="190"/>
      <c r="AP716" s="65" t="str">
        <f t="shared" si="74"/>
        <v/>
      </c>
      <c r="AQ716" s="123"/>
      <c r="AR716" s="23"/>
      <c r="AS716" s="54" t="s">
        <v>347</v>
      </c>
      <c r="AT716" s="136"/>
      <c r="AU716" s="70">
        <f t="shared" si="75"/>
        <v>11</v>
      </c>
      <c r="AV716" s="70" t="s">
        <v>68</v>
      </c>
    </row>
    <row r="717" spans="1:48" ht="25.5" hidden="1" x14ac:dyDescent="0.2">
      <c r="A717" s="86">
        <f t="shared" si="71"/>
        <v>20694</v>
      </c>
      <c r="B717" s="3" t="s">
        <v>265</v>
      </c>
      <c r="C717" s="3" t="s">
        <v>685</v>
      </c>
      <c r="D717" s="86"/>
      <c r="E717" s="36" t="s">
        <v>94</v>
      </c>
      <c r="F717" s="48">
        <v>33751</v>
      </c>
      <c r="G717" s="36" t="s">
        <v>52</v>
      </c>
      <c r="H717" s="81" t="s">
        <v>52</v>
      </c>
      <c r="I717" s="36" t="s">
        <v>4821</v>
      </c>
      <c r="J717" s="48">
        <v>41426</v>
      </c>
      <c r="K717" s="36" t="s">
        <v>52</v>
      </c>
      <c r="L717" s="36" t="s">
        <v>341</v>
      </c>
      <c r="M717" s="36" t="s">
        <v>4822</v>
      </c>
      <c r="N717" s="36" t="s">
        <v>458</v>
      </c>
      <c r="O717" s="101">
        <v>2013</v>
      </c>
      <c r="P717" s="159" t="str">
        <f>HYPERLINK("mailto:trangnt2@topica.edu.vn","trangnt2@topica.edu.vn")</f>
        <v>trangnt2@topica.edu.vn</v>
      </c>
      <c r="Q717" s="36"/>
      <c r="R717" s="36" t="s">
        <v>4823</v>
      </c>
      <c r="S717" s="156" t="str">
        <f>HYPERLINK("mailto:nguyentrang92hn@gmail.com","nguyentrang92hn@gmail.com")</f>
        <v>nguyentrang92hn@gmail.com</v>
      </c>
      <c r="T717" s="81" t="s">
        <v>4824</v>
      </c>
      <c r="U717" s="81" t="s">
        <v>4824</v>
      </c>
      <c r="V717" s="36"/>
      <c r="W717" s="36"/>
      <c r="X717" s="36"/>
      <c r="Y717" s="36" t="s">
        <v>865</v>
      </c>
      <c r="Z717" s="81"/>
      <c r="AA717" s="54"/>
      <c r="AB717" s="81">
        <v>1</v>
      </c>
      <c r="AC717" s="81" t="s">
        <v>236</v>
      </c>
      <c r="AD717" s="36" t="s">
        <v>207</v>
      </c>
      <c r="AE717" s="81" t="s">
        <v>585</v>
      </c>
      <c r="AF717" s="81" t="s">
        <v>65</v>
      </c>
      <c r="AG717" s="48">
        <v>41582</v>
      </c>
      <c r="AH717" s="134">
        <f t="shared" si="76"/>
        <v>11</v>
      </c>
      <c r="AI717" s="134"/>
      <c r="AJ717" s="48"/>
      <c r="AK717" s="134" t="str">
        <f t="shared" si="77"/>
        <v/>
      </c>
      <c r="AL717" s="81" t="s">
        <v>82</v>
      </c>
      <c r="AM717" s="81"/>
      <c r="AN717" s="81"/>
      <c r="AO717" s="48">
        <v>41639</v>
      </c>
      <c r="AP717" s="134">
        <f t="shared" si="74"/>
        <v>12</v>
      </c>
      <c r="AQ717" s="36"/>
      <c r="AR717" s="116"/>
      <c r="AS717" s="81" t="s">
        <v>347</v>
      </c>
      <c r="AT717" s="134"/>
      <c r="AU717" s="172">
        <f t="shared" si="75"/>
        <v>5</v>
      </c>
      <c r="AV717" s="172" t="s">
        <v>68</v>
      </c>
    </row>
    <row r="718" spans="1:48" ht="38.25" x14ac:dyDescent="0.2">
      <c r="A718" s="87">
        <f t="shared" si="71"/>
        <v>20695</v>
      </c>
      <c r="B718" s="80" t="s">
        <v>4825</v>
      </c>
      <c r="C718" s="80" t="s">
        <v>4826</v>
      </c>
      <c r="D718" s="87"/>
      <c r="E718" s="123" t="s">
        <v>94</v>
      </c>
      <c r="F718" s="140">
        <v>31824</v>
      </c>
      <c r="G718" s="123" t="s">
        <v>52</v>
      </c>
      <c r="H718" s="54" t="s">
        <v>52</v>
      </c>
      <c r="I718" s="123" t="s">
        <v>4827</v>
      </c>
      <c r="J718" s="140">
        <v>37839</v>
      </c>
      <c r="K718" s="123" t="s">
        <v>52</v>
      </c>
      <c r="L718" s="123" t="s">
        <v>123</v>
      </c>
      <c r="M718" s="123" t="s">
        <v>4828</v>
      </c>
      <c r="N718" s="123" t="s">
        <v>4829</v>
      </c>
      <c r="O718" s="106">
        <v>2013</v>
      </c>
      <c r="P718" s="153" t="str">
        <f>HYPERLINK("mailto:haudh@topica.edu.vn","haudh@topica.edu.vn")</f>
        <v>haudh@topica.edu.vn</v>
      </c>
      <c r="Q718" s="123" t="s">
        <v>4830</v>
      </c>
      <c r="R718" s="123" t="s">
        <v>4831</v>
      </c>
      <c r="S718" s="173"/>
      <c r="T718" s="54" t="s">
        <v>4832</v>
      </c>
      <c r="U718" s="54" t="s">
        <v>4832</v>
      </c>
      <c r="V718" s="123" t="s">
        <v>4833</v>
      </c>
      <c r="W718" s="123" t="s">
        <v>2989</v>
      </c>
      <c r="X718" s="123"/>
      <c r="Y718" s="123" t="s">
        <v>972</v>
      </c>
      <c r="Z718" s="54"/>
      <c r="AA718" s="54"/>
      <c r="AB718" s="54">
        <v>1</v>
      </c>
      <c r="AC718" s="54" t="s">
        <v>236</v>
      </c>
      <c r="AD718" s="123" t="s">
        <v>129</v>
      </c>
      <c r="AE718" s="54" t="s">
        <v>1090</v>
      </c>
      <c r="AF718" s="54" t="s">
        <v>65</v>
      </c>
      <c r="AG718" s="140">
        <v>41579</v>
      </c>
      <c r="AH718" s="65">
        <f t="shared" si="76"/>
        <v>11</v>
      </c>
      <c r="AI718" s="65"/>
      <c r="AJ718" s="140">
        <v>41640</v>
      </c>
      <c r="AK718" s="65">
        <f t="shared" si="77"/>
        <v>1</v>
      </c>
      <c r="AL718" s="54" t="s">
        <v>66</v>
      </c>
      <c r="AM718" s="54"/>
      <c r="AN718" s="54"/>
      <c r="AO718" s="190"/>
      <c r="AP718" s="65" t="str">
        <f t="shared" si="74"/>
        <v/>
      </c>
      <c r="AQ718" s="123"/>
      <c r="AR718" s="23"/>
      <c r="AS718" s="54" t="s">
        <v>347</v>
      </c>
      <c r="AT718" s="136"/>
      <c r="AU718" s="70">
        <f t="shared" ref="AU718:AU749" si="78">IF((F718=""),"",MONTH(F718))</f>
        <v>2</v>
      </c>
      <c r="AV718" s="70" t="s">
        <v>68</v>
      </c>
    </row>
    <row r="719" spans="1:48" ht="25.5" hidden="1" x14ac:dyDescent="0.2">
      <c r="A719" s="86">
        <f t="shared" si="71"/>
        <v>20696</v>
      </c>
      <c r="B719" s="3" t="s">
        <v>4834</v>
      </c>
      <c r="C719" s="3" t="s">
        <v>939</v>
      </c>
      <c r="D719" s="86"/>
      <c r="E719" s="36" t="s">
        <v>94</v>
      </c>
      <c r="F719" s="48">
        <v>32763</v>
      </c>
      <c r="G719" s="36"/>
      <c r="H719" s="81" t="s">
        <v>2734</v>
      </c>
      <c r="I719" s="36" t="s">
        <v>4835</v>
      </c>
      <c r="J719" s="48">
        <v>40535</v>
      </c>
      <c r="K719" s="36" t="s">
        <v>4349</v>
      </c>
      <c r="L719" s="36" t="s">
        <v>123</v>
      </c>
      <c r="M719" s="36" t="s">
        <v>3886</v>
      </c>
      <c r="N719" s="36" t="s">
        <v>3651</v>
      </c>
      <c r="O719" s="101">
        <v>2011</v>
      </c>
      <c r="P719" s="159" t="str">
        <f>HYPERLINK("mailto:lienltb@topica.edu.vn","lienltb@topica.edu.vn")</f>
        <v>lienltb@topica.edu.vn</v>
      </c>
      <c r="Q719" s="36" t="s">
        <v>4836</v>
      </c>
      <c r="R719" s="36" t="s">
        <v>4837</v>
      </c>
      <c r="S719" s="156" t="str">
        <f>HYPERLINK("mailto:lienltb1209@gmail.com","lienltb1209@gmail.com")</f>
        <v>lienltb1209@gmail.com</v>
      </c>
      <c r="T719" s="81" t="s">
        <v>4838</v>
      </c>
      <c r="U719" s="81" t="s">
        <v>4838</v>
      </c>
      <c r="V719" s="36" t="s">
        <v>4839</v>
      </c>
      <c r="W719" s="36" t="s">
        <v>4165</v>
      </c>
      <c r="X719" s="36" t="s">
        <v>4840</v>
      </c>
      <c r="Y719" s="36" t="s">
        <v>616</v>
      </c>
      <c r="Z719" s="81"/>
      <c r="AA719" s="54"/>
      <c r="AB719" s="81">
        <v>1</v>
      </c>
      <c r="AC719" s="81" t="s">
        <v>236</v>
      </c>
      <c r="AD719" s="36" t="s">
        <v>866</v>
      </c>
      <c r="AE719" s="81" t="s">
        <v>867</v>
      </c>
      <c r="AF719" s="81" t="s">
        <v>231</v>
      </c>
      <c r="AG719" s="48">
        <v>41548</v>
      </c>
      <c r="AH719" s="134">
        <f t="shared" si="76"/>
        <v>10</v>
      </c>
      <c r="AI719" s="134"/>
      <c r="AJ719" s="48"/>
      <c r="AK719" s="134" t="str">
        <f t="shared" si="77"/>
        <v/>
      </c>
      <c r="AL719" s="54" t="s">
        <v>82</v>
      </c>
      <c r="AM719" s="54"/>
      <c r="AN719" s="54"/>
      <c r="AO719" s="190">
        <v>41605</v>
      </c>
      <c r="AP719" s="65">
        <f t="shared" si="74"/>
        <v>11</v>
      </c>
      <c r="AQ719" s="123"/>
      <c r="AR719" s="23"/>
      <c r="AS719" s="54"/>
      <c r="AT719" s="136"/>
      <c r="AU719" s="70">
        <f t="shared" si="78"/>
        <v>9</v>
      </c>
      <c r="AV719" s="70" t="s">
        <v>68</v>
      </c>
    </row>
    <row r="720" spans="1:48" ht="25.5" x14ac:dyDescent="0.2">
      <c r="A720" s="87">
        <f t="shared" si="71"/>
        <v>20697</v>
      </c>
      <c r="B720" s="80" t="s">
        <v>3784</v>
      </c>
      <c r="C720" s="80" t="s">
        <v>685</v>
      </c>
      <c r="D720" s="87"/>
      <c r="E720" s="123" t="s">
        <v>94</v>
      </c>
      <c r="F720" s="140">
        <v>31456</v>
      </c>
      <c r="G720" s="123" t="s">
        <v>52</v>
      </c>
      <c r="H720" s="54" t="s">
        <v>303</v>
      </c>
      <c r="I720" s="123" t="s">
        <v>4841</v>
      </c>
      <c r="J720" s="140">
        <v>39349</v>
      </c>
      <c r="K720" s="123" t="s">
        <v>3389</v>
      </c>
      <c r="L720" s="123" t="s">
        <v>341</v>
      </c>
      <c r="M720" s="123" t="s">
        <v>4842</v>
      </c>
      <c r="N720" s="123" t="s">
        <v>458</v>
      </c>
      <c r="O720" s="106">
        <v>2010</v>
      </c>
      <c r="P720" s="153" t="str">
        <f>HYPERLINK("mailto:trangnth@topica.edu.vn","trangnth@topica.edu.vn")</f>
        <v>trangnth@topica.edu.vn</v>
      </c>
      <c r="Q720" s="123"/>
      <c r="R720" s="123" t="s">
        <v>4843</v>
      </c>
      <c r="S720" s="173"/>
      <c r="T720" s="54" t="s">
        <v>4844</v>
      </c>
      <c r="U720" s="54" t="s">
        <v>4845</v>
      </c>
      <c r="V720" s="123" t="s">
        <v>4846</v>
      </c>
      <c r="W720" s="123" t="s">
        <v>745</v>
      </c>
      <c r="X720" s="123" t="s">
        <v>4847</v>
      </c>
      <c r="Y720" s="123" t="s">
        <v>972</v>
      </c>
      <c r="Z720" s="54"/>
      <c r="AA720" s="54"/>
      <c r="AB720" s="54">
        <v>1</v>
      </c>
      <c r="AC720" s="54" t="s">
        <v>236</v>
      </c>
      <c r="AD720" s="123" t="s">
        <v>1183</v>
      </c>
      <c r="AE720" s="54" t="s">
        <v>1184</v>
      </c>
      <c r="AF720" s="54" t="s">
        <v>231</v>
      </c>
      <c r="AG720" s="140">
        <v>41590</v>
      </c>
      <c r="AH720" s="65">
        <f t="shared" si="76"/>
        <v>11</v>
      </c>
      <c r="AI720" s="65"/>
      <c r="AJ720" s="140">
        <v>41649</v>
      </c>
      <c r="AK720" s="65">
        <f t="shared" si="77"/>
        <v>1</v>
      </c>
      <c r="AL720" s="54" t="s">
        <v>66</v>
      </c>
      <c r="AM720" s="54"/>
      <c r="AN720" s="54"/>
      <c r="AO720" s="190"/>
      <c r="AP720" s="65" t="str">
        <f t="shared" si="74"/>
        <v/>
      </c>
      <c r="AQ720" s="123"/>
      <c r="AR720" s="23"/>
      <c r="AS720" s="54"/>
      <c r="AT720" s="136"/>
      <c r="AU720" s="70">
        <f t="shared" si="78"/>
        <v>2</v>
      </c>
      <c r="AV720" s="70" t="s">
        <v>68</v>
      </c>
    </row>
    <row r="721" spans="1:48" ht="25.5" x14ac:dyDescent="0.2">
      <c r="A721" s="87">
        <f t="shared" si="71"/>
        <v>20698</v>
      </c>
      <c r="B721" s="80" t="s">
        <v>265</v>
      </c>
      <c r="C721" s="80" t="s">
        <v>200</v>
      </c>
      <c r="D721" s="87" t="s">
        <v>4848</v>
      </c>
      <c r="E721" s="123" t="s">
        <v>94</v>
      </c>
      <c r="F721" s="140">
        <v>30448</v>
      </c>
      <c r="G721" s="123" t="s">
        <v>52</v>
      </c>
      <c r="H721" s="54" t="s">
        <v>52</v>
      </c>
      <c r="I721" s="123" t="s">
        <v>4849</v>
      </c>
      <c r="J721" s="140">
        <v>40475</v>
      </c>
      <c r="K721" s="123" t="s">
        <v>52</v>
      </c>
      <c r="L721" s="123" t="s">
        <v>123</v>
      </c>
      <c r="M721" s="123" t="s">
        <v>4850</v>
      </c>
      <c r="N721" s="123" t="s">
        <v>4851</v>
      </c>
      <c r="O721" s="106">
        <v>2007</v>
      </c>
      <c r="P721" s="153" t="str">
        <f>HYPERLINK("mailto:thunt3@topica.edu.vn","thunt3@topica.edu.vn")</f>
        <v>thunt3@topica.edu.vn</v>
      </c>
      <c r="Q721" s="123"/>
      <c r="R721" s="123" t="s">
        <v>4852</v>
      </c>
      <c r="S721" s="173"/>
      <c r="T721" s="54" t="s">
        <v>4853</v>
      </c>
      <c r="U721" s="54" t="s">
        <v>4854</v>
      </c>
      <c r="V721" s="123"/>
      <c r="W721" s="123"/>
      <c r="X721" s="123"/>
      <c r="Y721" s="123" t="s">
        <v>972</v>
      </c>
      <c r="Z721" s="54"/>
      <c r="AA721" s="54"/>
      <c r="AB721" s="54">
        <v>1</v>
      </c>
      <c r="AC721" s="54" t="s">
        <v>236</v>
      </c>
      <c r="AD721" s="123" t="s">
        <v>512</v>
      </c>
      <c r="AE721" s="54" t="s">
        <v>973</v>
      </c>
      <c r="AF721" s="54" t="s">
        <v>65</v>
      </c>
      <c r="AG721" s="140">
        <v>41589</v>
      </c>
      <c r="AH721" s="65">
        <f t="shared" si="76"/>
        <v>11</v>
      </c>
      <c r="AI721" s="65"/>
      <c r="AJ721" s="140">
        <v>41650</v>
      </c>
      <c r="AK721" s="65">
        <f t="shared" si="77"/>
        <v>1</v>
      </c>
      <c r="AL721" s="54" t="s">
        <v>66</v>
      </c>
      <c r="AM721" s="54"/>
      <c r="AN721" s="54"/>
      <c r="AO721" s="190"/>
      <c r="AP721" s="65" t="str">
        <f t="shared" si="74"/>
        <v/>
      </c>
      <c r="AQ721" s="123"/>
      <c r="AR721" s="23"/>
      <c r="AS721" s="54"/>
      <c r="AT721" s="136"/>
      <c r="AU721" s="70">
        <f t="shared" si="78"/>
        <v>5</v>
      </c>
      <c r="AV721" s="70" t="s">
        <v>68</v>
      </c>
    </row>
    <row r="722" spans="1:48" ht="38.25" hidden="1" x14ac:dyDescent="0.2">
      <c r="A722" s="87">
        <f t="shared" si="71"/>
        <v>20699</v>
      </c>
      <c r="B722" s="80" t="s">
        <v>4855</v>
      </c>
      <c r="C722" s="80" t="s">
        <v>638</v>
      </c>
      <c r="D722" s="87"/>
      <c r="E722" s="123" t="s">
        <v>51</v>
      </c>
      <c r="F722" s="140">
        <v>30435</v>
      </c>
      <c r="G722" s="123"/>
      <c r="H722" s="54"/>
      <c r="I722" s="123" t="s">
        <v>4856</v>
      </c>
      <c r="J722" s="140">
        <v>36264</v>
      </c>
      <c r="K722" s="123" t="s">
        <v>52</v>
      </c>
      <c r="L722" s="123" t="s">
        <v>123</v>
      </c>
      <c r="M722" s="123"/>
      <c r="N722" s="123"/>
      <c r="O722" s="106"/>
      <c r="P722" s="153" t="str">
        <f>HYPERLINK("mailto:haivt@topica.edu.vn","haivt@topica.edu.vn")</f>
        <v>haivt@topica.edu.vn</v>
      </c>
      <c r="Q722" s="123"/>
      <c r="R722" s="123" t="s">
        <v>4857</v>
      </c>
      <c r="S722" s="173"/>
      <c r="T722" s="54" t="s">
        <v>4858</v>
      </c>
      <c r="U722" s="54" t="s">
        <v>4858</v>
      </c>
      <c r="V722" s="123"/>
      <c r="W722" s="123"/>
      <c r="X722" s="123"/>
      <c r="Y722" s="123" t="s">
        <v>102</v>
      </c>
      <c r="Z722" s="54"/>
      <c r="AA722" s="54"/>
      <c r="AB722" s="54">
        <v>4</v>
      </c>
      <c r="AC722" s="54" t="s">
        <v>63</v>
      </c>
      <c r="AD722" s="123" t="s">
        <v>158</v>
      </c>
      <c r="AE722" s="54"/>
      <c r="AF722" s="54" t="s">
        <v>65</v>
      </c>
      <c r="AG722" s="140"/>
      <c r="AH722" s="65" t="str">
        <f t="shared" si="76"/>
        <v/>
      </c>
      <c r="AI722" s="65"/>
      <c r="AJ722" s="140">
        <v>41579</v>
      </c>
      <c r="AK722" s="65">
        <f t="shared" si="77"/>
        <v>11</v>
      </c>
      <c r="AL722" s="54" t="s">
        <v>66</v>
      </c>
      <c r="AM722" s="54"/>
      <c r="AN722" s="54"/>
      <c r="AO722" s="190"/>
      <c r="AP722" s="65" t="str">
        <f t="shared" si="74"/>
        <v/>
      </c>
      <c r="AQ722" s="123"/>
      <c r="AR722" s="23"/>
      <c r="AS722" s="54"/>
      <c r="AT722" s="136"/>
      <c r="AU722" s="70">
        <f t="shared" si="78"/>
        <v>4</v>
      </c>
      <c r="AV722" s="70" t="s">
        <v>4726</v>
      </c>
    </row>
    <row r="723" spans="1:48" ht="25.5" hidden="1" x14ac:dyDescent="0.2">
      <c r="A723" s="87">
        <f t="shared" si="71"/>
        <v>20700</v>
      </c>
      <c r="B723" s="80" t="s">
        <v>4859</v>
      </c>
      <c r="C723" s="80" t="s">
        <v>823</v>
      </c>
      <c r="D723" s="87"/>
      <c r="E723" s="123" t="s">
        <v>94</v>
      </c>
      <c r="F723" s="140">
        <v>33486</v>
      </c>
      <c r="G723" s="123" t="s">
        <v>52</v>
      </c>
      <c r="H723" s="54" t="s">
        <v>52</v>
      </c>
      <c r="I723" s="123" t="s">
        <v>4860</v>
      </c>
      <c r="J723" s="140">
        <v>38888</v>
      </c>
      <c r="K723" s="123" t="s">
        <v>52</v>
      </c>
      <c r="L723" s="123" t="s">
        <v>123</v>
      </c>
      <c r="M723" s="123" t="s">
        <v>4861</v>
      </c>
      <c r="N723" s="123" t="s">
        <v>368</v>
      </c>
      <c r="O723" s="106">
        <v>2013</v>
      </c>
      <c r="P723" s="153" t="str">
        <f>HYPERLINK("mailto:ngocna@topica.edu.vn","ngocna@topica.edu.vn")</f>
        <v>ngocna@topica.edu.vn</v>
      </c>
      <c r="Q723" s="123"/>
      <c r="R723" s="123" t="s">
        <v>4862</v>
      </c>
      <c r="S723" s="173" t="str">
        <f>HYPERLINK("mailto:anhngoc5991@gmail.com","anhngoc5991@gmail.com")</f>
        <v>anhngoc5991@gmail.com</v>
      </c>
      <c r="T723" s="54" t="s">
        <v>4863</v>
      </c>
      <c r="U723" s="54" t="s">
        <v>4863</v>
      </c>
      <c r="V723" s="123"/>
      <c r="W723" s="123"/>
      <c r="X723" s="123"/>
      <c r="Y723" s="123" t="s">
        <v>865</v>
      </c>
      <c r="Z723" s="54"/>
      <c r="AA723" s="54"/>
      <c r="AB723" s="54">
        <v>1</v>
      </c>
      <c r="AC723" s="54" t="s">
        <v>236</v>
      </c>
      <c r="AD723" s="123" t="s">
        <v>207</v>
      </c>
      <c r="AE723" s="54" t="s">
        <v>585</v>
      </c>
      <c r="AF723" s="54" t="s">
        <v>65</v>
      </c>
      <c r="AG723" s="140">
        <v>41596</v>
      </c>
      <c r="AH723" s="65">
        <f t="shared" si="76"/>
        <v>11</v>
      </c>
      <c r="AI723" s="65"/>
      <c r="AJ723" s="140">
        <v>41640</v>
      </c>
      <c r="AK723" s="65">
        <f t="shared" si="77"/>
        <v>1</v>
      </c>
      <c r="AL723" s="54" t="s">
        <v>66</v>
      </c>
      <c r="AM723" s="54"/>
      <c r="AN723" s="54"/>
      <c r="AO723" s="190"/>
      <c r="AP723" s="65" t="str">
        <f t="shared" si="74"/>
        <v/>
      </c>
      <c r="AQ723" s="123"/>
      <c r="AR723" s="23"/>
      <c r="AS723" s="54"/>
      <c r="AT723" s="136"/>
      <c r="AU723" s="70">
        <f t="shared" si="78"/>
        <v>9</v>
      </c>
      <c r="AV723" s="70" t="s">
        <v>68</v>
      </c>
    </row>
    <row r="724" spans="1:48" ht="25.5" hidden="1" x14ac:dyDescent="0.2">
      <c r="A724" s="86">
        <f t="shared" ref="A724:A787" si="79">A723+1</f>
        <v>20701</v>
      </c>
      <c r="B724" s="3" t="s">
        <v>4864</v>
      </c>
      <c r="C724" s="3" t="s">
        <v>266</v>
      </c>
      <c r="D724" s="86"/>
      <c r="E724" s="36" t="s">
        <v>94</v>
      </c>
      <c r="F724" s="48">
        <v>32852</v>
      </c>
      <c r="G724" s="36" t="s">
        <v>726</v>
      </c>
      <c r="H724" s="81" t="s">
        <v>726</v>
      </c>
      <c r="I724" s="36" t="s">
        <v>4865</v>
      </c>
      <c r="J724" s="48">
        <v>41032</v>
      </c>
      <c r="K724" s="36" t="s">
        <v>726</v>
      </c>
      <c r="L724" s="36" t="s">
        <v>123</v>
      </c>
      <c r="M724" s="36" t="s">
        <v>1838</v>
      </c>
      <c r="N724" s="36" t="s">
        <v>458</v>
      </c>
      <c r="O724" s="101">
        <v>2012</v>
      </c>
      <c r="P724" s="159" t="str">
        <f>HYPERLINK("mailto:huyenlt3@topica.edu.vn","huyenlt3@topica.edu.vn")</f>
        <v>huyenlt3@topica.edu.vn</v>
      </c>
      <c r="Q724" s="36"/>
      <c r="R724" s="36" t="s">
        <v>4866</v>
      </c>
      <c r="S724" s="156"/>
      <c r="T724" s="81" t="s">
        <v>4867</v>
      </c>
      <c r="U724" s="81" t="s">
        <v>4867</v>
      </c>
      <c r="V724" s="36"/>
      <c r="W724" s="36"/>
      <c r="X724" s="36"/>
      <c r="Y724" s="36" t="s">
        <v>616</v>
      </c>
      <c r="Z724" s="81"/>
      <c r="AA724" s="54"/>
      <c r="AB724" s="81">
        <v>1</v>
      </c>
      <c r="AC724" s="81" t="s">
        <v>236</v>
      </c>
      <c r="AD724" s="36" t="s">
        <v>207</v>
      </c>
      <c r="AE724" s="81" t="s">
        <v>585</v>
      </c>
      <c r="AF724" s="81" t="s">
        <v>65</v>
      </c>
      <c r="AG724" s="48">
        <v>41596</v>
      </c>
      <c r="AH724" s="134">
        <f t="shared" si="76"/>
        <v>11</v>
      </c>
      <c r="AI724" s="134"/>
      <c r="AJ724" s="48"/>
      <c r="AK724" s="134" t="str">
        <f t="shared" si="77"/>
        <v/>
      </c>
      <c r="AL724" s="81" t="s">
        <v>82</v>
      </c>
      <c r="AM724" s="81"/>
      <c r="AN724" s="81"/>
      <c r="AO724" s="48">
        <v>41628</v>
      </c>
      <c r="AP724" s="134">
        <f t="shared" si="74"/>
        <v>12</v>
      </c>
      <c r="AQ724" s="36"/>
      <c r="AR724" s="116"/>
      <c r="AS724" s="81"/>
      <c r="AT724" s="134"/>
      <c r="AU724" s="172">
        <f t="shared" si="78"/>
        <v>12</v>
      </c>
      <c r="AV724" s="172" t="s">
        <v>68</v>
      </c>
    </row>
    <row r="725" spans="1:48" ht="25.5" hidden="1" x14ac:dyDescent="0.2">
      <c r="A725" s="86">
        <f t="shared" si="79"/>
        <v>20702</v>
      </c>
      <c r="B725" s="3" t="s">
        <v>3248</v>
      </c>
      <c r="C725" s="3" t="s">
        <v>4868</v>
      </c>
      <c r="D725" s="86"/>
      <c r="E725" s="36" t="s">
        <v>94</v>
      </c>
      <c r="F725" s="48">
        <v>32793</v>
      </c>
      <c r="G725" s="36" t="s">
        <v>52</v>
      </c>
      <c r="H725" s="81" t="s">
        <v>52</v>
      </c>
      <c r="I725" s="36" t="s">
        <v>4869</v>
      </c>
      <c r="J725" s="48">
        <v>40463</v>
      </c>
      <c r="K725" s="36" t="s">
        <v>52</v>
      </c>
      <c r="L725" s="36" t="s">
        <v>341</v>
      </c>
      <c r="M725" s="36" t="s">
        <v>4870</v>
      </c>
      <c r="N725" s="36" t="s">
        <v>458</v>
      </c>
      <c r="O725" s="101">
        <v>2010</v>
      </c>
      <c r="P725" s="159" t="str">
        <f>HYPERLINK("mailto:lieupt@topica.edu.vn","lieupt@topica.edu.vn")</f>
        <v>lieupt@topica.edu.vn</v>
      </c>
      <c r="Q725" s="36"/>
      <c r="R725" s="36" t="s">
        <v>4871</v>
      </c>
      <c r="S725" s="156"/>
      <c r="T725" s="81" t="s">
        <v>4872</v>
      </c>
      <c r="U725" s="81" t="s">
        <v>4872</v>
      </c>
      <c r="V725" s="36" t="s">
        <v>4873</v>
      </c>
      <c r="W725" s="36"/>
      <c r="X725" s="36"/>
      <c r="Y725" s="36" t="s">
        <v>865</v>
      </c>
      <c r="Z725" s="81"/>
      <c r="AA725" s="54"/>
      <c r="AB725" s="81">
        <v>1</v>
      </c>
      <c r="AC725" s="81" t="s">
        <v>236</v>
      </c>
      <c r="AD725" s="36" t="s">
        <v>207</v>
      </c>
      <c r="AE725" s="81" t="s">
        <v>585</v>
      </c>
      <c r="AF725" s="81" t="s">
        <v>65</v>
      </c>
      <c r="AG725" s="48">
        <v>41596</v>
      </c>
      <c r="AH725" s="134">
        <f t="shared" si="76"/>
        <v>11</v>
      </c>
      <c r="AI725" s="134"/>
      <c r="AJ725" s="48"/>
      <c r="AK725" s="134" t="str">
        <f t="shared" si="77"/>
        <v/>
      </c>
      <c r="AL725" s="81" t="s">
        <v>82</v>
      </c>
      <c r="AM725" s="81"/>
      <c r="AN725" s="81"/>
      <c r="AO725" s="48"/>
      <c r="AP725" s="134" t="str">
        <f t="shared" si="74"/>
        <v/>
      </c>
      <c r="AQ725" s="36"/>
      <c r="AR725" s="116"/>
      <c r="AS725" s="81"/>
      <c r="AT725" s="134"/>
      <c r="AU725" s="172">
        <f t="shared" si="78"/>
        <v>10</v>
      </c>
      <c r="AV725" s="172" t="s">
        <v>68</v>
      </c>
    </row>
    <row r="726" spans="1:48" ht="25.5" hidden="1" x14ac:dyDescent="0.2">
      <c r="A726" s="87">
        <f t="shared" si="79"/>
        <v>20703</v>
      </c>
      <c r="B726" s="79" t="s">
        <v>4874</v>
      </c>
      <c r="C726" s="79" t="s">
        <v>685</v>
      </c>
      <c r="D726" s="79"/>
      <c r="E726" s="65" t="s">
        <v>94</v>
      </c>
      <c r="F726" s="29">
        <v>33087</v>
      </c>
      <c r="G726" s="184" t="s">
        <v>272</v>
      </c>
      <c r="H726" s="65" t="s">
        <v>412</v>
      </c>
      <c r="I726" s="123" t="s">
        <v>4875</v>
      </c>
      <c r="J726" s="29">
        <v>38861</v>
      </c>
      <c r="K726" s="65" t="s">
        <v>272</v>
      </c>
      <c r="L726" s="65" t="s">
        <v>123</v>
      </c>
      <c r="M726" s="65" t="s">
        <v>441</v>
      </c>
      <c r="N726" s="23"/>
      <c r="O726" s="23"/>
      <c r="P726" s="62" t="str">
        <f>HYPERLINK("mailto:trangvdq@topica.edu.vn","trangvdq@topica.edu.vn")</f>
        <v>trangvdq@topica.edu.vn</v>
      </c>
      <c r="Q726" s="123"/>
      <c r="R726" s="123" t="s">
        <v>4876</v>
      </c>
      <c r="S726" s="173"/>
      <c r="T726" s="65" t="s">
        <v>4877</v>
      </c>
      <c r="U726" s="65" t="s">
        <v>4877</v>
      </c>
      <c r="V726" s="65" t="s">
        <v>4878</v>
      </c>
      <c r="W726" s="184"/>
      <c r="X726" s="123"/>
      <c r="Y726" s="123" t="s">
        <v>865</v>
      </c>
      <c r="Z726" s="54"/>
      <c r="AA726" s="54"/>
      <c r="AB726" s="54">
        <v>1</v>
      </c>
      <c r="AC726" s="54" t="s">
        <v>236</v>
      </c>
      <c r="AD726" s="123" t="s">
        <v>207</v>
      </c>
      <c r="AE726" s="54" t="s">
        <v>585</v>
      </c>
      <c r="AF726" s="54" t="s">
        <v>65</v>
      </c>
      <c r="AG726" s="29">
        <v>41603</v>
      </c>
      <c r="AH726" s="65">
        <f t="shared" si="76"/>
        <v>11</v>
      </c>
      <c r="AI726" s="65"/>
      <c r="AJ726" s="140"/>
      <c r="AK726" s="65" t="str">
        <f t="shared" si="77"/>
        <v/>
      </c>
      <c r="AL726" s="65" t="s">
        <v>2322</v>
      </c>
      <c r="AM726" s="54"/>
      <c r="AN726" s="54"/>
      <c r="AO726" s="190"/>
      <c r="AP726" s="65" t="str">
        <f t="shared" si="74"/>
        <v/>
      </c>
      <c r="AQ726" s="123"/>
      <c r="AR726" s="23"/>
      <c r="AS726" s="54"/>
      <c r="AT726" s="136"/>
      <c r="AU726" s="70">
        <f t="shared" si="78"/>
        <v>8</v>
      </c>
      <c r="AV726" s="70" t="s">
        <v>68</v>
      </c>
    </row>
    <row r="727" spans="1:48" ht="38.25" hidden="1" x14ac:dyDescent="0.2">
      <c r="A727" s="87">
        <f t="shared" si="79"/>
        <v>20704</v>
      </c>
      <c r="B727" s="79" t="s">
        <v>4879</v>
      </c>
      <c r="C727" s="79" t="s">
        <v>93</v>
      </c>
      <c r="D727" s="79"/>
      <c r="E727" s="65" t="s">
        <v>94</v>
      </c>
      <c r="F727" s="29">
        <v>32647</v>
      </c>
      <c r="G727" s="158" t="s">
        <v>365</v>
      </c>
      <c r="H727" s="65" t="s">
        <v>365</v>
      </c>
      <c r="I727" s="123" t="s">
        <v>4880</v>
      </c>
      <c r="J727" s="29">
        <v>39141</v>
      </c>
      <c r="K727" s="65" t="s">
        <v>365</v>
      </c>
      <c r="L727" s="65" t="s">
        <v>123</v>
      </c>
      <c r="M727" s="65" t="s">
        <v>4881</v>
      </c>
      <c r="N727" s="65" t="s">
        <v>4882</v>
      </c>
      <c r="O727" s="184"/>
      <c r="P727" s="62" t="str">
        <f>HYPERLINK("mailto:hanhpn@topica.edu.vn","hanhpn@topica.edu.vn")</f>
        <v>hanhpn@topica.edu.vn</v>
      </c>
      <c r="Q727" s="123"/>
      <c r="R727" s="123" t="s">
        <v>4883</v>
      </c>
      <c r="S727" s="173"/>
      <c r="T727" s="65" t="s">
        <v>4884</v>
      </c>
      <c r="U727" s="65" t="s">
        <v>4885</v>
      </c>
      <c r="V727" s="13"/>
      <c r="W727" s="71"/>
      <c r="X727" s="123"/>
      <c r="Y727" s="123" t="s">
        <v>865</v>
      </c>
      <c r="Z727" s="54"/>
      <c r="AA727" s="54"/>
      <c r="AB727" s="54">
        <v>1</v>
      </c>
      <c r="AC727" s="54" t="s">
        <v>236</v>
      </c>
      <c r="AD727" s="123" t="s">
        <v>207</v>
      </c>
      <c r="AE727" s="54" t="s">
        <v>585</v>
      </c>
      <c r="AF727" s="54" t="s">
        <v>65</v>
      </c>
      <c r="AG727" s="29">
        <v>41603</v>
      </c>
      <c r="AH727" s="65">
        <f t="shared" si="76"/>
        <v>11</v>
      </c>
      <c r="AI727" s="65"/>
      <c r="AJ727" s="140"/>
      <c r="AK727" s="65" t="str">
        <f t="shared" si="77"/>
        <v/>
      </c>
      <c r="AL727" s="65" t="s">
        <v>2322</v>
      </c>
      <c r="AM727" s="54"/>
      <c r="AN727" s="54"/>
      <c r="AO727" s="190"/>
      <c r="AP727" s="65" t="str">
        <f t="shared" si="74"/>
        <v/>
      </c>
      <c r="AQ727" s="123"/>
      <c r="AR727" s="23"/>
      <c r="AS727" s="54"/>
      <c r="AT727" s="136"/>
      <c r="AU727" s="70">
        <f t="shared" si="78"/>
        <v>5</v>
      </c>
      <c r="AV727" s="70" t="s">
        <v>68</v>
      </c>
    </row>
    <row r="728" spans="1:48" ht="12.75" hidden="1" x14ac:dyDescent="0.2">
      <c r="A728" s="87">
        <f t="shared" si="79"/>
        <v>20705</v>
      </c>
      <c r="B728" s="79" t="s">
        <v>587</v>
      </c>
      <c r="C728" s="79" t="s">
        <v>643</v>
      </c>
      <c r="D728" s="79" t="s">
        <v>4886</v>
      </c>
      <c r="E728" s="65" t="s">
        <v>94</v>
      </c>
      <c r="F728" s="73">
        <v>32418</v>
      </c>
      <c r="G728" s="56" t="s">
        <v>1103</v>
      </c>
      <c r="H728" s="161" t="s">
        <v>1103</v>
      </c>
      <c r="I728" s="123" t="s">
        <v>4887</v>
      </c>
      <c r="J728" s="73">
        <v>38369</v>
      </c>
      <c r="K728" s="129" t="s">
        <v>4888</v>
      </c>
      <c r="L728" s="129" t="s">
        <v>341</v>
      </c>
      <c r="M728" s="129" t="s">
        <v>4889</v>
      </c>
      <c r="N728" s="129" t="s">
        <v>4890</v>
      </c>
      <c r="O728" s="56"/>
      <c r="P728" s="161" t="s">
        <v>4891</v>
      </c>
      <c r="Q728" s="123"/>
      <c r="R728" s="123" t="s">
        <v>4892</v>
      </c>
      <c r="S728" s="37"/>
      <c r="T728" s="129" t="s">
        <v>4893</v>
      </c>
      <c r="U728" s="28" t="s">
        <v>4894</v>
      </c>
      <c r="V728" s="56" t="s">
        <v>4895</v>
      </c>
      <c r="W728" s="192" t="s">
        <v>3595</v>
      </c>
      <c r="X728" s="123" t="s">
        <v>4896</v>
      </c>
      <c r="Y728" s="65" t="s">
        <v>2281</v>
      </c>
      <c r="Z728" s="23"/>
      <c r="AA728" s="54"/>
      <c r="AB728" s="54">
        <v>1</v>
      </c>
      <c r="AC728" s="54" t="s">
        <v>236</v>
      </c>
      <c r="AD728" s="65" t="s">
        <v>1183</v>
      </c>
      <c r="AE728" s="27" t="s">
        <v>1807</v>
      </c>
      <c r="AF728" s="65" t="s">
        <v>231</v>
      </c>
      <c r="AG728" s="29">
        <v>41605</v>
      </c>
      <c r="AH728" s="65">
        <f t="shared" si="76"/>
        <v>11</v>
      </c>
      <c r="AI728" s="65"/>
      <c r="AJ728" s="95">
        <v>41666</v>
      </c>
      <c r="AK728" s="65">
        <f t="shared" si="77"/>
        <v>1</v>
      </c>
      <c r="AL728" s="65" t="s">
        <v>66</v>
      </c>
      <c r="AM728" s="37"/>
      <c r="AN728" s="129"/>
      <c r="AO728" s="129"/>
      <c r="AP728" s="129"/>
      <c r="AQ728" s="161"/>
      <c r="AR728" s="23"/>
      <c r="AS728" s="37"/>
      <c r="AT728" s="161"/>
      <c r="AU728" s="70">
        <f t="shared" si="78"/>
        <v>10</v>
      </c>
      <c r="AV728" s="70" t="s">
        <v>68</v>
      </c>
    </row>
    <row r="729" spans="1:48" ht="12.75" hidden="1" x14ac:dyDescent="0.2">
      <c r="A729" s="86">
        <f t="shared" si="79"/>
        <v>20706</v>
      </c>
      <c r="B729" s="47" t="s">
        <v>4897</v>
      </c>
      <c r="C729" s="47" t="s">
        <v>618</v>
      </c>
      <c r="D729" s="47"/>
      <c r="E729" s="134" t="s">
        <v>94</v>
      </c>
      <c r="F729" s="118">
        <v>33598</v>
      </c>
      <c r="G729" s="134" t="s">
        <v>815</v>
      </c>
      <c r="H729" s="134" t="s">
        <v>815</v>
      </c>
      <c r="I729" s="36" t="s">
        <v>4898</v>
      </c>
      <c r="J729" s="118">
        <v>41449</v>
      </c>
      <c r="K729" s="134" t="s">
        <v>815</v>
      </c>
      <c r="L729" s="134" t="s">
        <v>123</v>
      </c>
      <c r="M729" s="134" t="s">
        <v>96</v>
      </c>
      <c r="N729" s="134" t="s">
        <v>1582</v>
      </c>
      <c r="O729" s="134">
        <v>2013</v>
      </c>
      <c r="P729" s="38" t="str">
        <f>HYPERLINK("mailto:huongnl@topica.edu.vn","huongnl@topica.edu.vn")</f>
        <v>huongnl@topica.edu.vn</v>
      </c>
      <c r="Q729" s="36"/>
      <c r="R729" s="36" t="s">
        <v>4899</v>
      </c>
      <c r="S729" s="156"/>
      <c r="T729" s="134" t="s">
        <v>4900</v>
      </c>
      <c r="U729" s="69" t="s">
        <v>4901</v>
      </c>
      <c r="V729" s="134" t="s">
        <v>4902</v>
      </c>
      <c r="W729" s="134" t="s">
        <v>745</v>
      </c>
      <c r="X729" s="36" t="s">
        <v>4903</v>
      </c>
      <c r="Y729" s="36" t="s">
        <v>865</v>
      </c>
      <c r="Z729" s="81"/>
      <c r="AA729" s="54"/>
      <c r="AB729" s="81">
        <v>1</v>
      </c>
      <c r="AC729" s="81" t="s">
        <v>236</v>
      </c>
      <c r="AD729" s="134" t="s">
        <v>207</v>
      </c>
      <c r="AE729" s="81" t="s">
        <v>585</v>
      </c>
      <c r="AF729" s="81" t="s">
        <v>65</v>
      </c>
      <c r="AG729" s="118">
        <v>41603</v>
      </c>
      <c r="AH729" s="134">
        <f t="shared" si="76"/>
        <v>11</v>
      </c>
      <c r="AI729" s="134"/>
      <c r="AJ729" s="48"/>
      <c r="AK729" s="134" t="str">
        <f t="shared" si="77"/>
        <v/>
      </c>
      <c r="AL729" s="134" t="s">
        <v>82</v>
      </c>
      <c r="AM729" s="81"/>
      <c r="AN729" s="81"/>
      <c r="AO729" s="48">
        <v>41639</v>
      </c>
      <c r="AP729" s="134">
        <f>IF((AO729=""),"",MONTH(AO729))</f>
        <v>12</v>
      </c>
      <c r="AQ729" s="36"/>
      <c r="AR729" s="116"/>
      <c r="AS729" s="81"/>
      <c r="AT729" s="134"/>
      <c r="AU729" s="172">
        <f t="shared" si="78"/>
        <v>12</v>
      </c>
      <c r="AV729" s="172" t="s">
        <v>68</v>
      </c>
    </row>
    <row r="730" spans="1:48" ht="12.75" hidden="1" x14ac:dyDescent="0.2">
      <c r="A730" s="87">
        <f t="shared" si="79"/>
        <v>20707</v>
      </c>
      <c r="B730" s="79" t="s">
        <v>4904</v>
      </c>
      <c r="C730" s="79" t="s">
        <v>833</v>
      </c>
      <c r="D730" s="79"/>
      <c r="E730" s="65" t="s">
        <v>94</v>
      </c>
      <c r="F730" s="29">
        <v>30682</v>
      </c>
      <c r="G730" s="37" t="s">
        <v>161</v>
      </c>
      <c r="H730" s="161" t="s">
        <v>161</v>
      </c>
      <c r="I730" s="123" t="s">
        <v>4905</v>
      </c>
      <c r="J730" s="73">
        <v>37999</v>
      </c>
      <c r="K730" s="129" t="s">
        <v>161</v>
      </c>
      <c r="L730" s="129" t="s">
        <v>341</v>
      </c>
      <c r="M730" s="129" t="s">
        <v>4906</v>
      </c>
      <c r="N730" s="129" t="s">
        <v>4907</v>
      </c>
      <c r="O730" s="105">
        <v>2007</v>
      </c>
      <c r="P730" s="62" t="str">
        <f>HYPERLINK("mailto:thanhdtk@topica.edu.vn","thanhdtk@topica.edu.vn")</f>
        <v>thanhdtk@topica.edu.vn</v>
      </c>
      <c r="Q730" s="123"/>
      <c r="R730" s="123"/>
      <c r="S730" s="173"/>
      <c r="T730" s="37" t="s">
        <v>4908</v>
      </c>
      <c r="U730" s="162"/>
      <c r="V730" s="28"/>
      <c r="W730" s="105"/>
      <c r="X730" s="123"/>
      <c r="Y730" s="123" t="s">
        <v>865</v>
      </c>
      <c r="Z730" s="54"/>
      <c r="AA730" s="54"/>
      <c r="AB730" s="54">
        <v>1</v>
      </c>
      <c r="AC730" s="54" t="s">
        <v>236</v>
      </c>
      <c r="AD730" s="65" t="s">
        <v>207</v>
      </c>
      <c r="AE730" s="54" t="s">
        <v>585</v>
      </c>
      <c r="AF730" s="54" t="s">
        <v>65</v>
      </c>
      <c r="AG730" s="29">
        <v>41603</v>
      </c>
      <c r="AH730" s="65">
        <f t="shared" si="76"/>
        <v>11</v>
      </c>
      <c r="AI730" s="65"/>
      <c r="AJ730" s="140"/>
      <c r="AK730" s="65" t="str">
        <f t="shared" si="77"/>
        <v/>
      </c>
      <c r="AL730" s="65" t="s">
        <v>2322</v>
      </c>
      <c r="AM730" s="54"/>
      <c r="AN730" s="54"/>
      <c r="AO730" s="190"/>
      <c r="AP730" s="65" t="str">
        <f>IF((AO730=""),"",MONTH(AO730))</f>
        <v/>
      </c>
      <c r="AQ730" s="123"/>
      <c r="AR730" s="23"/>
      <c r="AS730" s="54"/>
      <c r="AT730" s="136"/>
      <c r="AU730" s="70">
        <f t="shared" si="78"/>
        <v>1</v>
      </c>
      <c r="AV730" s="70" t="s">
        <v>68</v>
      </c>
    </row>
    <row r="731" spans="1:48" ht="12.75" hidden="1" x14ac:dyDescent="0.2">
      <c r="A731" s="86">
        <f t="shared" si="79"/>
        <v>20708</v>
      </c>
      <c r="B731" s="47" t="s">
        <v>4909</v>
      </c>
      <c r="C731" s="47" t="s">
        <v>3764</v>
      </c>
      <c r="D731" s="47"/>
      <c r="E731" s="134" t="s">
        <v>94</v>
      </c>
      <c r="F731" s="118">
        <v>32649</v>
      </c>
      <c r="G731" s="134" t="s">
        <v>365</v>
      </c>
      <c r="H731" s="134" t="s">
        <v>365</v>
      </c>
      <c r="I731" s="36" t="s">
        <v>4910</v>
      </c>
      <c r="J731" s="118">
        <v>39192</v>
      </c>
      <c r="K731" s="134" t="s">
        <v>3334</v>
      </c>
      <c r="L731" s="134" t="s">
        <v>123</v>
      </c>
      <c r="M731" s="134" t="s">
        <v>4911</v>
      </c>
      <c r="N731" s="134" t="s">
        <v>1858</v>
      </c>
      <c r="O731" s="49"/>
      <c r="P731" s="38" t="str">
        <f>HYPERLINK("mailto:huyenltt@topica.edu.vn","huyenltt@topica.edu.vn")</f>
        <v>huyenltt@topica.edu.vn</v>
      </c>
      <c r="Q731" s="36"/>
      <c r="R731" s="36" t="s">
        <v>4912</v>
      </c>
      <c r="S731" s="156"/>
      <c r="T731" s="134" t="s">
        <v>4913</v>
      </c>
      <c r="U731" s="41" t="s">
        <v>4914</v>
      </c>
      <c r="V731" s="148"/>
      <c r="W731" s="19"/>
      <c r="X731" s="36"/>
      <c r="Y731" s="36" t="s">
        <v>312</v>
      </c>
      <c r="Z731" s="81"/>
      <c r="AA731" s="54"/>
      <c r="AB731" s="81">
        <v>1</v>
      </c>
      <c r="AC731" s="81" t="s">
        <v>236</v>
      </c>
      <c r="AD731" s="134" t="s">
        <v>207</v>
      </c>
      <c r="AE731" s="2" t="s">
        <v>1128</v>
      </c>
      <c r="AF731" s="134" t="s">
        <v>65</v>
      </c>
      <c r="AG731" s="29">
        <v>41610</v>
      </c>
      <c r="AH731" s="134">
        <f t="shared" si="76"/>
        <v>12</v>
      </c>
      <c r="AI731" s="134"/>
      <c r="AJ731" s="48"/>
      <c r="AK731" s="134" t="str">
        <f t="shared" si="77"/>
        <v/>
      </c>
      <c r="AL731" s="134" t="s">
        <v>82</v>
      </c>
      <c r="AM731" s="81"/>
      <c r="AN731" s="81"/>
      <c r="AO731" s="48">
        <v>41649</v>
      </c>
      <c r="AP731" s="134">
        <f>IF((AO731=""),"",MONTH(AO731))</f>
        <v>1</v>
      </c>
      <c r="AQ731" s="36"/>
      <c r="AR731" s="116"/>
      <c r="AS731" s="81"/>
      <c r="AT731" s="134"/>
      <c r="AU731" s="134">
        <f t="shared" si="78"/>
        <v>5</v>
      </c>
      <c r="AV731" s="172" t="s">
        <v>68</v>
      </c>
    </row>
    <row r="732" spans="1:48" ht="25.5" hidden="1" x14ac:dyDescent="0.2">
      <c r="A732" s="87">
        <f t="shared" si="79"/>
        <v>20709</v>
      </c>
      <c r="B732" s="79" t="s">
        <v>4915</v>
      </c>
      <c r="C732" s="79" t="s">
        <v>70</v>
      </c>
      <c r="D732" s="79"/>
      <c r="E732" s="65" t="s">
        <v>94</v>
      </c>
      <c r="F732" s="29">
        <v>32782</v>
      </c>
      <c r="G732" s="65" t="s">
        <v>132</v>
      </c>
      <c r="H732" s="65" t="s">
        <v>132</v>
      </c>
      <c r="I732" s="123" t="s">
        <v>4916</v>
      </c>
      <c r="J732" s="29">
        <v>40941</v>
      </c>
      <c r="K732" s="65" t="s">
        <v>132</v>
      </c>
      <c r="L732" s="65" t="s">
        <v>123</v>
      </c>
      <c r="M732" s="65" t="s">
        <v>96</v>
      </c>
      <c r="N732" s="65" t="s">
        <v>1582</v>
      </c>
      <c r="O732" s="65">
        <v>2011</v>
      </c>
      <c r="P732" s="62" t="str">
        <f>HYPERLINK("mailto:gianglh@topica.edu.vn","gianglh@topica.edu.vn")</f>
        <v>gianglh@topica.edu.vn</v>
      </c>
      <c r="Q732" s="123"/>
      <c r="R732" s="123" t="s">
        <v>4917</v>
      </c>
      <c r="S732" s="173"/>
      <c r="T732" s="65" t="s">
        <v>4918</v>
      </c>
      <c r="U732" s="65" t="s">
        <v>4919</v>
      </c>
      <c r="V732" s="76"/>
      <c r="W732" s="71"/>
      <c r="X732" s="123"/>
      <c r="Y732" s="123" t="s">
        <v>865</v>
      </c>
      <c r="Z732" s="54"/>
      <c r="AA732" s="54"/>
      <c r="AB732" s="54">
        <v>1</v>
      </c>
      <c r="AC732" s="54" t="s">
        <v>236</v>
      </c>
      <c r="AD732" s="65" t="s">
        <v>207</v>
      </c>
      <c r="AE732" s="27" t="s">
        <v>585</v>
      </c>
      <c r="AF732" s="65" t="s">
        <v>65</v>
      </c>
      <c r="AG732" s="140">
        <v>41613</v>
      </c>
      <c r="AH732" s="65">
        <f t="shared" si="76"/>
        <v>12</v>
      </c>
      <c r="AI732" s="1"/>
      <c r="AJ732" s="48"/>
      <c r="AK732" s="134" t="str">
        <f t="shared" si="77"/>
        <v/>
      </c>
      <c r="AL732" s="65" t="s">
        <v>2322</v>
      </c>
      <c r="AM732" s="54"/>
      <c r="AN732" s="54"/>
      <c r="AO732" s="190"/>
      <c r="AP732" s="65" t="str">
        <f>IF((AO732=""),"",MONTH(AO732))</f>
        <v/>
      </c>
      <c r="AQ732" s="123"/>
      <c r="AR732" s="23"/>
      <c r="AS732" s="54"/>
      <c r="AT732" s="136"/>
      <c r="AU732" s="65">
        <f t="shared" si="78"/>
        <v>10</v>
      </c>
      <c r="AV732" s="70" t="s">
        <v>68</v>
      </c>
    </row>
    <row r="733" spans="1:48" ht="12.75" hidden="1" x14ac:dyDescent="0.2">
      <c r="A733" s="87">
        <f t="shared" si="79"/>
        <v>20710</v>
      </c>
      <c r="B733" s="79" t="s">
        <v>4920</v>
      </c>
      <c r="C733" s="79" t="s">
        <v>51</v>
      </c>
      <c r="D733" s="79"/>
      <c r="E733" s="23" t="s">
        <v>51</v>
      </c>
      <c r="F733" s="73">
        <v>31578</v>
      </c>
      <c r="G733" s="28" t="s">
        <v>4921</v>
      </c>
      <c r="H733" s="161" t="s">
        <v>161</v>
      </c>
      <c r="I733" s="123" t="s">
        <v>4922</v>
      </c>
      <c r="J733" s="73">
        <v>40712</v>
      </c>
      <c r="K733" s="129" t="s">
        <v>161</v>
      </c>
      <c r="L733" s="129" t="s">
        <v>123</v>
      </c>
      <c r="M733" s="129" t="s">
        <v>4923</v>
      </c>
      <c r="N733" s="129" t="s">
        <v>3139</v>
      </c>
      <c r="O733" s="161"/>
      <c r="P733" s="62" t="str">
        <f>HYPERLINK("mailto:namld@topica.edu.vn","namld@topica.edu.vn")</f>
        <v>namld@topica.edu.vn</v>
      </c>
      <c r="Q733" s="123"/>
      <c r="R733" s="123" t="s">
        <v>4924</v>
      </c>
      <c r="S733" s="37"/>
      <c r="T733" s="129" t="s">
        <v>4925</v>
      </c>
      <c r="U733" s="28" t="s">
        <v>4926</v>
      </c>
      <c r="V733" s="56" t="s">
        <v>4927</v>
      </c>
      <c r="W733" s="192" t="s">
        <v>2320</v>
      </c>
      <c r="X733" s="123" t="s">
        <v>4928</v>
      </c>
      <c r="Y733" s="123" t="s">
        <v>360</v>
      </c>
      <c r="Z733" s="54"/>
      <c r="AA733" s="54"/>
      <c r="AB733" s="54">
        <v>2</v>
      </c>
      <c r="AC733" s="65" t="s">
        <v>362</v>
      </c>
      <c r="AD733" s="65" t="s">
        <v>1067</v>
      </c>
      <c r="AE733" s="27" t="s">
        <v>1068</v>
      </c>
      <c r="AF733" s="65" t="s">
        <v>65</v>
      </c>
      <c r="AG733" s="29"/>
      <c r="AH733" s="65" t="str">
        <f t="shared" si="76"/>
        <v/>
      </c>
      <c r="AI733" s="65"/>
      <c r="AJ733" s="29">
        <v>41617</v>
      </c>
      <c r="AK733" s="65">
        <f t="shared" si="77"/>
        <v>12</v>
      </c>
      <c r="AL733" s="65" t="s">
        <v>66</v>
      </c>
      <c r="AM733" s="37"/>
      <c r="AN733" s="129"/>
      <c r="AO733" s="129"/>
      <c r="AP733" s="129"/>
      <c r="AQ733" s="161"/>
      <c r="AR733" s="23"/>
      <c r="AS733" s="37"/>
      <c r="AT733" s="161"/>
      <c r="AU733" s="65">
        <f t="shared" si="78"/>
        <v>6</v>
      </c>
      <c r="AV733" s="37"/>
    </row>
    <row r="734" spans="1:48" ht="12.75" hidden="1" x14ac:dyDescent="0.2">
      <c r="A734" s="86">
        <f t="shared" si="79"/>
        <v>20711</v>
      </c>
      <c r="B734" s="47" t="s">
        <v>4188</v>
      </c>
      <c r="C734" s="47" t="s">
        <v>1428</v>
      </c>
      <c r="D734" s="47"/>
      <c r="E734" s="134" t="s">
        <v>94</v>
      </c>
      <c r="F734" s="118">
        <v>31973</v>
      </c>
      <c r="G734" s="49"/>
      <c r="H734" s="134" t="s">
        <v>52</v>
      </c>
      <c r="I734" s="36" t="s">
        <v>4929</v>
      </c>
      <c r="J734" s="118">
        <v>40264</v>
      </c>
      <c r="K734" s="134" t="s">
        <v>52</v>
      </c>
      <c r="L734" s="134" t="s">
        <v>123</v>
      </c>
      <c r="M734" s="134" t="s">
        <v>4930</v>
      </c>
      <c r="N734" s="134" t="s">
        <v>368</v>
      </c>
      <c r="O734" s="134">
        <v>2011</v>
      </c>
      <c r="P734" s="38" t="str">
        <f>HYPERLINK("mailto:loanvt@topica.edu.vn","loanvt@topica.edu.vn")</f>
        <v>loanvt@topica.edu.vn</v>
      </c>
      <c r="Q734" s="116"/>
      <c r="R734" s="36" t="s">
        <v>4931</v>
      </c>
      <c r="S734" s="156"/>
      <c r="T734" s="134" t="s">
        <v>4932</v>
      </c>
      <c r="U734" s="49" t="s">
        <v>4933</v>
      </c>
      <c r="V734" s="134" t="s">
        <v>4934</v>
      </c>
      <c r="W734" s="134" t="s">
        <v>283</v>
      </c>
      <c r="X734" s="36" t="s">
        <v>4935</v>
      </c>
      <c r="Y734" s="36" t="s">
        <v>312</v>
      </c>
      <c r="Z734" s="81"/>
      <c r="AA734" s="54"/>
      <c r="AB734" s="81">
        <v>1</v>
      </c>
      <c r="AC734" s="134" t="s">
        <v>236</v>
      </c>
      <c r="AD734" s="134" t="s">
        <v>207</v>
      </c>
      <c r="AE734" s="2" t="s">
        <v>1128</v>
      </c>
      <c r="AF734" s="134" t="s">
        <v>65</v>
      </c>
      <c r="AG734" s="48">
        <v>41611</v>
      </c>
      <c r="AH734" s="134">
        <f t="shared" si="76"/>
        <v>12</v>
      </c>
      <c r="AI734" s="134"/>
      <c r="AJ734" s="134"/>
      <c r="AK734" s="134" t="str">
        <f t="shared" si="77"/>
        <v/>
      </c>
      <c r="AL734" s="134" t="s">
        <v>82</v>
      </c>
      <c r="AM734" s="81"/>
      <c r="AN734" s="81"/>
      <c r="AO734" s="48">
        <v>41647</v>
      </c>
      <c r="AP734" s="134">
        <f>IF((AO734=""),"",MONTH(AO734))</f>
        <v>1</v>
      </c>
      <c r="AQ734" s="36"/>
      <c r="AR734" s="116"/>
      <c r="AS734" s="81"/>
      <c r="AT734" s="134"/>
      <c r="AU734" s="65">
        <f t="shared" si="78"/>
        <v>7</v>
      </c>
      <c r="AV734" s="172" t="s">
        <v>68</v>
      </c>
    </row>
    <row r="735" spans="1:48" s="65" customFormat="1" ht="25.5" hidden="1" x14ac:dyDescent="0.2">
      <c r="A735" s="87">
        <f t="shared" si="79"/>
        <v>20712</v>
      </c>
      <c r="B735" s="79" t="s">
        <v>2344</v>
      </c>
      <c r="C735" s="79" t="s">
        <v>685</v>
      </c>
      <c r="D735" s="79"/>
      <c r="E735" s="65" t="s">
        <v>94</v>
      </c>
      <c r="F735" s="29">
        <v>33860</v>
      </c>
      <c r="G735" s="65" t="s">
        <v>120</v>
      </c>
      <c r="H735" s="65" t="s">
        <v>120</v>
      </c>
      <c r="I735" s="123" t="s">
        <v>4936</v>
      </c>
      <c r="J735" s="29">
        <v>39184</v>
      </c>
      <c r="K735" s="65" t="s">
        <v>120</v>
      </c>
      <c r="L735" s="65" t="s">
        <v>123</v>
      </c>
      <c r="M735" s="65" t="s">
        <v>4401</v>
      </c>
      <c r="N735" s="65" t="s">
        <v>458</v>
      </c>
      <c r="O735" s="65">
        <v>2013</v>
      </c>
      <c r="P735" s="62" t="str">
        <f>HYPERLINK("mailto:trangct@topica.edu.vn","trangct@topica.edu.vn")</f>
        <v>trangct@topica.edu.vn</v>
      </c>
      <c r="R735" s="123" t="s">
        <v>4937</v>
      </c>
      <c r="T735" s="65" t="s">
        <v>4938</v>
      </c>
      <c r="U735" s="65" t="s">
        <v>4939</v>
      </c>
      <c r="V735" s="65" t="s">
        <v>2342</v>
      </c>
      <c r="W735" s="65" t="s">
        <v>4595</v>
      </c>
      <c r="X735" s="123" t="s">
        <v>2343</v>
      </c>
      <c r="Y735" s="123" t="s">
        <v>312</v>
      </c>
      <c r="Z735" s="23"/>
      <c r="AA735" s="54"/>
      <c r="AB735" s="54">
        <v>1</v>
      </c>
      <c r="AC735" s="65" t="s">
        <v>236</v>
      </c>
      <c r="AD735" s="65" t="s">
        <v>221</v>
      </c>
      <c r="AE735" s="27" t="s">
        <v>4029</v>
      </c>
      <c r="AF735" s="65" t="s">
        <v>65</v>
      </c>
      <c r="AG735" s="29">
        <v>41604</v>
      </c>
      <c r="AH735" s="65">
        <f t="shared" ref="AH735:AH751" si="80">IF((AG735=""),"",MONTH(AG735))</f>
        <v>11</v>
      </c>
      <c r="AI735" s="29">
        <v>41299</v>
      </c>
      <c r="AJ735" s="29">
        <v>41299</v>
      </c>
      <c r="AK735" s="65">
        <f t="shared" si="77"/>
        <v>1</v>
      </c>
      <c r="AL735" s="65" t="s">
        <v>66</v>
      </c>
      <c r="AM735" s="37"/>
      <c r="AN735" s="129"/>
      <c r="AO735" s="129"/>
      <c r="AP735" s="129"/>
      <c r="AQ735" s="161"/>
      <c r="AR735" s="23"/>
      <c r="AS735" s="37"/>
      <c r="AT735" s="161"/>
      <c r="AU735" s="65">
        <f t="shared" si="78"/>
        <v>9</v>
      </c>
      <c r="AV735" s="37"/>
    </row>
    <row r="736" spans="1:48" s="65" customFormat="1" ht="12.75" hidden="1" x14ac:dyDescent="0.2">
      <c r="A736" s="87">
        <f t="shared" si="79"/>
        <v>20713</v>
      </c>
      <c r="B736" s="79" t="s">
        <v>1939</v>
      </c>
      <c r="C736" s="79" t="s">
        <v>1226</v>
      </c>
      <c r="D736" s="79"/>
      <c r="E736" s="65" t="s">
        <v>51</v>
      </c>
      <c r="H736" s="184"/>
      <c r="I736" s="123"/>
      <c r="P736" s="62" t="str">
        <f>HYPERLINK("mailto:duclm@topica.edu.vn","duclm@topica.edu.vn")</f>
        <v>duclm@topica.edu.vn</v>
      </c>
      <c r="R736" s="123"/>
      <c r="T736" s="184"/>
      <c r="U736" s="23"/>
      <c r="X736" s="123"/>
      <c r="Y736" s="123" t="s">
        <v>312</v>
      </c>
      <c r="Z736" s="54"/>
      <c r="AA736" s="54"/>
      <c r="AB736" s="54">
        <v>1</v>
      </c>
      <c r="AC736" s="65" t="s">
        <v>236</v>
      </c>
      <c r="AD736" s="65" t="s">
        <v>207</v>
      </c>
      <c r="AE736" s="27" t="s">
        <v>1128</v>
      </c>
      <c r="AF736" s="65" t="s">
        <v>65</v>
      </c>
      <c r="AH736" s="65" t="str">
        <f t="shared" si="80"/>
        <v/>
      </c>
      <c r="AK736" s="65" t="str">
        <f t="shared" si="77"/>
        <v/>
      </c>
      <c r="AL736" s="199" t="s">
        <v>66</v>
      </c>
      <c r="AM736" s="54"/>
      <c r="AN736" s="54"/>
      <c r="AO736" s="190"/>
      <c r="AP736" s="65" t="str">
        <f>IF((AO736=""),"",MONTH(AO736))</f>
        <v/>
      </c>
      <c r="AQ736" s="123"/>
      <c r="AR736" s="23"/>
      <c r="AS736" s="54"/>
      <c r="AT736" s="136"/>
      <c r="AU736" s="65" t="str">
        <f t="shared" si="78"/>
        <v/>
      </c>
      <c r="AV736" s="70" t="s">
        <v>68</v>
      </c>
    </row>
    <row r="737" spans="1:48" s="65" customFormat="1" ht="12.75" x14ac:dyDescent="0.2">
      <c r="A737" s="87">
        <f t="shared" si="79"/>
        <v>20714</v>
      </c>
      <c r="B737" s="79" t="s">
        <v>4940</v>
      </c>
      <c r="C737" s="79" t="s">
        <v>939</v>
      </c>
      <c r="D737" s="79"/>
      <c r="E737" s="65" t="s">
        <v>94</v>
      </c>
      <c r="F737" s="29">
        <v>31963</v>
      </c>
      <c r="H737" s="158" t="s">
        <v>2734</v>
      </c>
      <c r="I737" s="123" t="s">
        <v>4941</v>
      </c>
      <c r="J737" s="29">
        <v>40156</v>
      </c>
      <c r="K737" s="65" t="s">
        <v>4942</v>
      </c>
      <c r="P737" s="184" t="s">
        <v>4943</v>
      </c>
      <c r="R737" s="123" t="s">
        <v>4944</v>
      </c>
      <c r="T737" s="76" t="s">
        <v>4945</v>
      </c>
      <c r="U737" s="105" t="s">
        <v>4946</v>
      </c>
      <c r="X737" s="123"/>
      <c r="Y737" s="123" t="s">
        <v>972</v>
      </c>
      <c r="Z737" s="54"/>
      <c r="AA737" s="54"/>
      <c r="AB737" s="54">
        <v>1</v>
      </c>
      <c r="AC737" s="65" t="s">
        <v>236</v>
      </c>
      <c r="AD737" s="65" t="s">
        <v>1183</v>
      </c>
      <c r="AE737" s="27" t="s">
        <v>1184</v>
      </c>
      <c r="AF737" s="65" t="s">
        <v>231</v>
      </c>
      <c r="AG737" s="29">
        <v>41617</v>
      </c>
      <c r="AH737" s="65">
        <f t="shared" si="80"/>
        <v>12</v>
      </c>
      <c r="AI737" s="29">
        <v>41706</v>
      </c>
      <c r="AK737" s="134" t="str">
        <f t="shared" si="77"/>
        <v/>
      </c>
      <c r="AL737" s="65" t="s">
        <v>2322</v>
      </c>
      <c r="AM737" s="13"/>
      <c r="AN737" s="28"/>
      <c r="AO737" s="28"/>
      <c r="AP737" s="28"/>
      <c r="AQ737" s="105"/>
      <c r="AR737" s="23"/>
      <c r="AS737" s="13"/>
      <c r="AT737" s="105"/>
      <c r="AU737" s="65">
        <f t="shared" si="78"/>
        <v>7</v>
      </c>
      <c r="AV737" s="70" t="s">
        <v>68</v>
      </c>
    </row>
    <row r="738" spans="1:48" s="65" customFormat="1" ht="12.75" x14ac:dyDescent="0.2">
      <c r="A738" s="87">
        <f t="shared" si="79"/>
        <v>20715</v>
      </c>
      <c r="B738" s="79" t="s">
        <v>4947</v>
      </c>
      <c r="C738" s="79" t="s">
        <v>778</v>
      </c>
      <c r="D738" s="79"/>
      <c r="E738" s="65" t="s">
        <v>94</v>
      </c>
      <c r="F738" s="29">
        <v>30535</v>
      </c>
      <c r="H738" s="194" t="s">
        <v>231</v>
      </c>
      <c r="I738" s="123" t="s">
        <v>4948</v>
      </c>
      <c r="J738" s="29">
        <v>41524</v>
      </c>
      <c r="K738" s="65" t="s">
        <v>3389</v>
      </c>
      <c r="L738" s="65" t="s">
        <v>123</v>
      </c>
      <c r="M738" s="65" t="s">
        <v>4949</v>
      </c>
      <c r="N738" s="65" t="s">
        <v>4950</v>
      </c>
      <c r="P738" s="194" t="s">
        <v>4951</v>
      </c>
      <c r="Q738" s="123" t="s">
        <v>4952</v>
      </c>
      <c r="R738" s="123" t="s">
        <v>4953</v>
      </c>
      <c r="T738" s="117" t="s">
        <v>4954</v>
      </c>
      <c r="U738" s="192" t="s">
        <v>4955</v>
      </c>
      <c r="V738" s="65" t="s">
        <v>4718</v>
      </c>
      <c r="W738" s="65" t="s">
        <v>283</v>
      </c>
      <c r="X738" s="123" t="s">
        <v>4956</v>
      </c>
      <c r="Y738" s="123" t="s">
        <v>972</v>
      </c>
      <c r="Z738" s="54"/>
      <c r="AA738" s="54"/>
      <c r="AB738" s="54">
        <v>1</v>
      </c>
      <c r="AC738" s="65" t="s">
        <v>236</v>
      </c>
      <c r="AD738" s="65" t="s">
        <v>1183</v>
      </c>
      <c r="AE738" s="27" t="s">
        <v>1184</v>
      </c>
      <c r="AF738" s="65" t="s">
        <v>231</v>
      </c>
      <c r="AG738" s="29">
        <v>41617</v>
      </c>
      <c r="AH738" s="65">
        <f t="shared" si="80"/>
        <v>12</v>
      </c>
      <c r="AJ738" s="29">
        <v>41679</v>
      </c>
      <c r="AK738" s="65">
        <f t="shared" si="77"/>
        <v>2</v>
      </c>
      <c r="AL738" s="65" t="s">
        <v>66</v>
      </c>
      <c r="AM738" s="76"/>
      <c r="AN738" s="162"/>
      <c r="AO738" s="162"/>
      <c r="AP738" s="162"/>
      <c r="AQ738" s="71"/>
      <c r="AR738" s="23"/>
      <c r="AS738" s="76"/>
      <c r="AT738" s="71"/>
      <c r="AU738" s="65">
        <f t="shared" si="78"/>
        <v>8</v>
      </c>
      <c r="AV738" s="70" t="s">
        <v>68</v>
      </c>
    </row>
    <row r="739" spans="1:48" s="65" customFormat="1" ht="25.5" hidden="1" x14ac:dyDescent="0.2">
      <c r="A739" s="87">
        <f t="shared" si="79"/>
        <v>20716</v>
      </c>
      <c r="B739" s="79" t="s">
        <v>4957</v>
      </c>
      <c r="C739" s="79" t="s">
        <v>4958</v>
      </c>
      <c r="D739" s="79"/>
      <c r="E739" s="65" t="s">
        <v>94</v>
      </c>
      <c r="F739" s="29">
        <v>33084</v>
      </c>
      <c r="G739" s="65" t="s">
        <v>726</v>
      </c>
      <c r="H739" s="65" t="s">
        <v>726</v>
      </c>
      <c r="I739" s="123" t="s">
        <v>4959</v>
      </c>
      <c r="J739" s="29">
        <v>39429</v>
      </c>
      <c r="K739" s="65" t="s">
        <v>726</v>
      </c>
      <c r="L739" s="65" t="s">
        <v>123</v>
      </c>
      <c r="M739" s="65" t="s">
        <v>3167</v>
      </c>
      <c r="N739" s="65" t="s">
        <v>4960</v>
      </c>
      <c r="O739" s="65">
        <v>2013</v>
      </c>
      <c r="P739" s="62" t="str">
        <f>HYPERLINK("mailto:thuantt2@topica.edu.vn","thuantt2@topica.edu.vn")</f>
        <v>thuantt2@topica.edu.vn</v>
      </c>
      <c r="Q739" s="123"/>
      <c r="R739" s="123" t="s">
        <v>4961</v>
      </c>
      <c r="T739" s="65" t="s">
        <v>4962</v>
      </c>
      <c r="U739" s="65" t="s">
        <v>4963</v>
      </c>
      <c r="X739" s="123"/>
      <c r="Y739" s="123" t="s">
        <v>312</v>
      </c>
      <c r="Z739" s="54"/>
      <c r="AA739" s="54"/>
      <c r="AB739" s="54">
        <v>1</v>
      </c>
      <c r="AC739" s="65" t="s">
        <v>236</v>
      </c>
      <c r="AD739" s="65" t="s">
        <v>158</v>
      </c>
      <c r="AE739" s="27"/>
      <c r="AF739" s="65" t="s">
        <v>65</v>
      </c>
      <c r="AH739" s="65" t="str">
        <f t="shared" si="80"/>
        <v/>
      </c>
      <c r="AJ739" s="29">
        <v>41609</v>
      </c>
      <c r="AK739" s="65">
        <f t="shared" si="77"/>
        <v>12</v>
      </c>
      <c r="AL739" s="65" t="s">
        <v>66</v>
      </c>
      <c r="AM739" s="76"/>
      <c r="AN739" s="162"/>
      <c r="AO739" s="162"/>
      <c r="AP739" s="162"/>
      <c r="AQ739" s="71"/>
      <c r="AR739" s="23"/>
      <c r="AS739" s="76"/>
      <c r="AT739" s="71"/>
      <c r="AU739" s="65">
        <f t="shared" si="78"/>
        <v>7</v>
      </c>
      <c r="AV739" s="13"/>
    </row>
    <row r="740" spans="1:48" s="65" customFormat="1" ht="25.5" hidden="1" x14ac:dyDescent="0.2">
      <c r="A740" s="87">
        <f t="shared" si="79"/>
        <v>20717</v>
      </c>
      <c r="B740" s="79" t="s">
        <v>265</v>
      </c>
      <c r="C740" s="79" t="s">
        <v>271</v>
      </c>
      <c r="D740" s="79"/>
      <c r="E740" s="65" t="s">
        <v>94</v>
      </c>
      <c r="F740" s="29">
        <v>32035</v>
      </c>
      <c r="G740" s="65" t="s">
        <v>412</v>
      </c>
      <c r="H740" s="184" t="s">
        <v>412</v>
      </c>
      <c r="I740" s="123" t="s">
        <v>4964</v>
      </c>
      <c r="J740" s="29">
        <v>40959</v>
      </c>
      <c r="K740" s="65" t="s">
        <v>412</v>
      </c>
      <c r="L740" s="65" t="s">
        <v>123</v>
      </c>
      <c r="M740" s="65" t="s">
        <v>4965</v>
      </c>
      <c r="N740" s="65" t="s">
        <v>4966</v>
      </c>
      <c r="O740" s="65">
        <v>2010</v>
      </c>
      <c r="P740" s="184" t="s">
        <v>4967</v>
      </c>
      <c r="Q740" s="123"/>
      <c r="R740" s="123"/>
      <c r="T740" s="13" t="s">
        <v>4968</v>
      </c>
      <c r="U740" s="105"/>
      <c r="X740" s="123"/>
      <c r="Y740" s="123" t="s">
        <v>312</v>
      </c>
      <c r="Z740" s="54"/>
      <c r="AA740" s="54"/>
      <c r="AB740" s="54">
        <v>1</v>
      </c>
      <c r="AC740" s="65" t="s">
        <v>236</v>
      </c>
      <c r="AD740" s="65" t="s">
        <v>198</v>
      </c>
      <c r="AE740" s="27" t="s">
        <v>313</v>
      </c>
      <c r="AF740" s="65" t="s">
        <v>65</v>
      </c>
      <c r="AG740" s="29">
        <v>41609</v>
      </c>
      <c r="AH740" s="65">
        <f t="shared" si="80"/>
        <v>12</v>
      </c>
      <c r="AK740" s="65" t="str">
        <f t="shared" ref="AK740:AK771" si="81">IF((AJ740=""),"",MONTH(AJ740))</f>
        <v/>
      </c>
      <c r="AL740" s="65" t="s">
        <v>2322</v>
      </c>
      <c r="AM740" s="76"/>
      <c r="AN740" s="162"/>
      <c r="AO740" s="162"/>
      <c r="AP740" s="162"/>
      <c r="AQ740" s="71"/>
      <c r="AR740" s="23"/>
      <c r="AS740" s="76"/>
      <c r="AT740" s="71"/>
      <c r="AU740" s="65">
        <f t="shared" si="78"/>
        <v>9</v>
      </c>
      <c r="AV740" s="76"/>
    </row>
    <row r="741" spans="1:48" s="65" customFormat="1" ht="25.5" hidden="1" x14ac:dyDescent="0.2">
      <c r="A741" s="87">
        <f t="shared" si="79"/>
        <v>20718</v>
      </c>
      <c r="B741" s="79" t="s">
        <v>4123</v>
      </c>
      <c r="C741" s="79" t="s">
        <v>4657</v>
      </c>
      <c r="D741" s="79"/>
      <c r="E741" s="65" t="s">
        <v>51</v>
      </c>
      <c r="F741" s="29">
        <v>33090</v>
      </c>
      <c r="G741" s="65" t="s">
        <v>52</v>
      </c>
      <c r="H741" s="158" t="s">
        <v>52</v>
      </c>
      <c r="I741" s="147" t="s">
        <v>4969</v>
      </c>
      <c r="J741" s="29">
        <v>38699</v>
      </c>
      <c r="K741" s="65" t="s">
        <v>52</v>
      </c>
      <c r="L741" s="65" t="s">
        <v>123</v>
      </c>
      <c r="M741" s="65" t="s">
        <v>4970</v>
      </c>
      <c r="N741" s="65" t="s">
        <v>4971</v>
      </c>
      <c r="P741" s="158" t="s">
        <v>4972</v>
      </c>
      <c r="Q741" s="123"/>
      <c r="R741" s="123" t="s">
        <v>4973</v>
      </c>
      <c r="T741" s="158" t="s">
        <v>4974</v>
      </c>
      <c r="U741" s="76" t="s">
        <v>4974</v>
      </c>
      <c r="V741" s="166" t="s">
        <v>4975</v>
      </c>
      <c r="W741" s="65" t="s">
        <v>4028</v>
      </c>
      <c r="X741" s="123" t="s">
        <v>4976</v>
      </c>
      <c r="Y741" s="123" t="s">
        <v>312</v>
      </c>
      <c r="Z741" s="54"/>
      <c r="AA741" s="54"/>
      <c r="AB741" s="54">
        <v>1</v>
      </c>
      <c r="AC741" s="65" t="s">
        <v>236</v>
      </c>
      <c r="AD741" s="65" t="s">
        <v>158</v>
      </c>
      <c r="AE741" s="27"/>
      <c r="AF741" s="65" t="s">
        <v>65</v>
      </c>
      <c r="AG741" s="29">
        <v>41614</v>
      </c>
      <c r="AH741" s="65">
        <f t="shared" si="80"/>
        <v>12</v>
      </c>
      <c r="AK741" s="65" t="str">
        <f t="shared" si="81"/>
        <v/>
      </c>
      <c r="AL741" s="65" t="s">
        <v>2322</v>
      </c>
      <c r="AM741" s="76"/>
      <c r="AN741" s="162"/>
      <c r="AO741" s="162"/>
      <c r="AP741" s="162"/>
      <c r="AQ741" s="71"/>
      <c r="AR741" s="23"/>
      <c r="AS741" s="76"/>
      <c r="AT741" s="71"/>
      <c r="AU741" s="65">
        <f t="shared" si="78"/>
        <v>8</v>
      </c>
      <c r="AV741" s="76"/>
    </row>
    <row r="742" spans="1:48" s="65" customFormat="1" ht="12.75" hidden="1" x14ac:dyDescent="0.2">
      <c r="A742" s="87">
        <f t="shared" si="79"/>
        <v>20719</v>
      </c>
      <c r="B742" s="79" t="s">
        <v>1750</v>
      </c>
      <c r="C742" s="79" t="s">
        <v>823</v>
      </c>
      <c r="D742" s="79"/>
      <c r="E742" s="65" t="s">
        <v>94</v>
      </c>
      <c r="F742" s="29">
        <v>33718</v>
      </c>
      <c r="G742" s="65" t="s">
        <v>161</v>
      </c>
      <c r="H742" s="158" t="s">
        <v>161</v>
      </c>
      <c r="I742" s="147" t="s">
        <v>4977</v>
      </c>
      <c r="J742" s="29">
        <v>39259</v>
      </c>
      <c r="K742" s="65" t="s">
        <v>161</v>
      </c>
      <c r="L742" s="65" t="s">
        <v>123</v>
      </c>
      <c r="M742" s="65" t="s">
        <v>4978</v>
      </c>
      <c r="P742" s="158" t="s">
        <v>4979</v>
      </c>
      <c r="Q742" s="123"/>
      <c r="R742" s="123" t="s">
        <v>4980</v>
      </c>
      <c r="T742" s="76" t="s">
        <v>4981</v>
      </c>
      <c r="U742" s="71"/>
      <c r="X742" s="123"/>
      <c r="Y742" s="123" t="s">
        <v>312</v>
      </c>
      <c r="Z742" s="54"/>
      <c r="AA742" s="54"/>
      <c r="AB742" s="54">
        <v>1</v>
      </c>
      <c r="AC742" s="65" t="s">
        <v>236</v>
      </c>
      <c r="AD742" s="65" t="s">
        <v>158</v>
      </c>
      <c r="AE742" s="27"/>
      <c r="AF742" s="65" t="s">
        <v>65</v>
      </c>
      <c r="AG742" s="29">
        <v>41614</v>
      </c>
      <c r="AH742" s="65">
        <f t="shared" si="80"/>
        <v>12</v>
      </c>
      <c r="AK742" s="65" t="str">
        <f t="shared" si="81"/>
        <v/>
      </c>
      <c r="AL742" s="65" t="s">
        <v>2322</v>
      </c>
      <c r="AM742" s="76"/>
      <c r="AN742" s="162"/>
      <c r="AO742" s="162"/>
      <c r="AP742" s="162"/>
      <c r="AQ742" s="71"/>
      <c r="AR742" s="23"/>
      <c r="AS742" s="76"/>
      <c r="AT742" s="71"/>
      <c r="AU742" s="65">
        <f t="shared" si="78"/>
        <v>4</v>
      </c>
      <c r="AV742" s="76"/>
    </row>
    <row r="743" spans="1:48" s="65" customFormat="1" ht="12.75" hidden="1" x14ac:dyDescent="0.2">
      <c r="A743" s="87">
        <f t="shared" si="79"/>
        <v>20720</v>
      </c>
      <c r="B743" s="79" t="s">
        <v>4982</v>
      </c>
      <c r="C743" s="79" t="s">
        <v>160</v>
      </c>
      <c r="D743" s="79"/>
      <c r="E743" s="65" t="s">
        <v>94</v>
      </c>
      <c r="F743" s="29">
        <v>32716</v>
      </c>
      <c r="G743" s="65" t="s">
        <v>231</v>
      </c>
      <c r="H743" s="158" t="s">
        <v>231</v>
      </c>
      <c r="I743" s="147" t="s">
        <v>4983</v>
      </c>
      <c r="J743" s="29">
        <v>38246</v>
      </c>
      <c r="K743" s="65" t="s">
        <v>1778</v>
      </c>
      <c r="L743" s="65" t="s">
        <v>123</v>
      </c>
      <c r="M743" s="65" t="s">
        <v>4984</v>
      </c>
      <c r="N743" s="65" t="s">
        <v>368</v>
      </c>
      <c r="O743" s="65">
        <v>2013</v>
      </c>
      <c r="P743" s="158" t="s">
        <v>4985</v>
      </c>
      <c r="Q743" s="123"/>
      <c r="R743" s="123" t="s">
        <v>4986</v>
      </c>
      <c r="S743" s="65" t="s">
        <v>4987</v>
      </c>
      <c r="T743" s="158" t="s">
        <v>4988</v>
      </c>
      <c r="U743" s="76" t="s">
        <v>4989</v>
      </c>
      <c r="V743" s="166"/>
      <c r="X743" s="123"/>
      <c r="Y743" s="123" t="s">
        <v>865</v>
      </c>
      <c r="Z743" s="54"/>
      <c r="AA743" s="54"/>
      <c r="AB743" s="54">
        <v>1</v>
      </c>
      <c r="AC743" s="65" t="s">
        <v>236</v>
      </c>
      <c r="AD743" s="65" t="s">
        <v>866</v>
      </c>
      <c r="AE743" s="27" t="s">
        <v>867</v>
      </c>
      <c r="AF743" s="65" t="s">
        <v>231</v>
      </c>
      <c r="AG743" s="29">
        <v>41632</v>
      </c>
      <c r="AH743" s="65">
        <f t="shared" si="80"/>
        <v>12</v>
      </c>
      <c r="AK743" s="65" t="str">
        <f t="shared" si="81"/>
        <v/>
      </c>
      <c r="AL743" s="65" t="s">
        <v>2322</v>
      </c>
      <c r="AM743" s="117"/>
      <c r="AN743" s="56"/>
      <c r="AO743" s="162"/>
      <c r="AP743" s="56"/>
      <c r="AQ743" s="71"/>
      <c r="AR743" s="23"/>
      <c r="AS743" s="76"/>
      <c r="AT743" s="71"/>
      <c r="AU743" s="65">
        <f t="shared" si="78"/>
        <v>7</v>
      </c>
      <c r="AV743" s="76"/>
    </row>
    <row r="744" spans="1:48" s="65" customFormat="1" ht="12.75" hidden="1" x14ac:dyDescent="0.2">
      <c r="A744" s="86">
        <f t="shared" si="79"/>
        <v>20721</v>
      </c>
      <c r="B744" s="47" t="s">
        <v>4990</v>
      </c>
      <c r="C744" s="47" t="s">
        <v>424</v>
      </c>
      <c r="D744" s="47"/>
      <c r="E744" s="134" t="s">
        <v>94</v>
      </c>
      <c r="F744" s="118">
        <v>32230</v>
      </c>
      <c r="G744" s="134" t="s">
        <v>231</v>
      </c>
      <c r="H744" s="69" t="s">
        <v>231</v>
      </c>
      <c r="I744" s="147" t="s">
        <v>4991</v>
      </c>
      <c r="J744" s="118">
        <v>37763</v>
      </c>
      <c r="K744" s="134"/>
      <c r="L744" s="134"/>
      <c r="M744" s="134"/>
      <c r="N744" s="134"/>
      <c r="O744" s="134"/>
      <c r="P744" s="69"/>
      <c r="Q744" s="36"/>
      <c r="R744" s="36" t="s">
        <v>4992</v>
      </c>
      <c r="S744" s="134"/>
      <c r="T744" s="69" t="s">
        <v>4993</v>
      </c>
      <c r="U744" s="196" t="s">
        <v>4993</v>
      </c>
      <c r="V744" s="121"/>
      <c r="W744" s="134"/>
      <c r="X744" s="36"/>
      <c r="Y744" s="36" t="s">
        <v>865</v>
      </c>
      <c r="Z744" s="81"/>
      <c r="AA744" s="54"/>
      <c r="AB744" s="81">
        <v>1</v>
      </c>
      <c r="AC744" s="134" t="s">
        <v>236</v>
      </c>
      <c r="AD744" s="134" t="s">
        <v>866</v>
      </c>
      <c r="AE744" s="2" t="s">
        <v>867</v>
      </c>
      <c r="AF744" s="134" t="s">
        <v>231</v>
      </c>
      <c r="AG744" s="118">
        <v>41632</v>
      </c>
      <c r="AH744" s="134">
        <f t="shared" si="80"/>
        <v>12</v>
      </c>
      <c r="AI744" s="134"/>
      <c r="AJ744" s="134"/>
      <c r="AK744" s="134" t="str">
        <f t="shared" si="81"/>
        <v/>
      </c>
      <c r="AL744" s="134" t="s">
        <v>82</v>
      </c>
      <c r="AM744" s="138"/>
      <c r="AN744" s="138"/>
      <c r="AO744" s="122">
        <v>41641</v>
      </c>
      <c r="AP744" s="136">
        <f>IF((AO744=""),"",MONTH(AO744))</f>
        <v>1</v>
      </c>
      <c r="AQ744" s="69"/>
      <c r="AR744" s="116"/>
      <c r="AS744" s="196"/>
      <c r="AT744" s="19"/>
      <c r="AU744" s="65">
        <f t="shared" si="78"/>
        <v>3</v>
      </c>
      <c r="AV744" s="41"/>
    </row>
    <row r="745" spans="1:48" s="65" customFormat="1" ht="25.5" hidden="1" x14ac:dyDescent="0.2">
      <c r="A745" s="87">
        <f t="shared" si="79"/>
        <v>20722</v>
      </c>
      <c r="B745" s="79" t="s">
        <v>4994</v>
      </c>
      <c r="C745" s="79" t="s">
        <v>4995</v>
      </c>
      <c r="D745" s="79"/>
      <c r="E745" s="65" t="s">
        <v>51</v>
      </c>
      <c r="F745" s="29">
        <v>41484</v>
      </c>
      <c r="G745" s="65" t="s">
        <v>231</v>
      </c>
      <c r="H745" s="158" t="s">
        <v>231</v>
      </c>
      <c r="I745" s="123" t="s">
        <v>4996</v>
      </c>
      <c r="J745" s="29">
        <v>37727</v>
      </c>
      <c r="K745" s="65" t="s">
        <v>4997</v>
      </c>
      <c r="L745" s="65" t="s">
        <v>123</v>
      </c>
      <c r="M745" s="65" t="s">
        <v>3918</v>
      </c>
      <c r="N745" s="65" t="s">
        <v>3236</v>
      </c>
      <c r="P745" s="158" t="s">
        <v>4998</v>
      </c>
      <c r="Q745" s="123"/>
      <c r="R745" s="123" t="s">
        <v>4999</v>
      </c>
      <c r="T745" s="76" t="s">
        <v>5000</v>
      </c>
      <c r="U745" s="71" t="s">
        <v>5000</v>
      </c>
      <c r="V745" s="65" t="s">
        <v>5001</v>
      </c>
      <c r="W745" s="65" t="s">
        <v>745</v>
      </c>
      <c r="X745" s="123" t="s">
        <v>5002</v>
      </c>
      <c r="Y745" s="123" t="s">
        <v>312</v>
      </c>
      <c r="Z745" s="54"/>
      <c r="AA745" s="54"/>
      <c r="AB745" s="54">
        <v>1</v>
      </c>
      <c r="AC745" s="65" t="s">
        <v>236</v>
      </c>
      <c r="AD745" s="65" t="s">
        <v>1145</v>
      </c>
      <c r="AE745" s="27" t="s">
        <v>3730</v>
      </c>
      <c r="AF745" s="65" t="s">
        <v>231</v>
      </c>
      <c r="AG745" s="29">
        <v>41619</v>
      </c>
      <c r="AH745" s="65">
        <f t="shared" si="80"/>
        <v>12</v>
      </c>
      <c r="AI745" s="29">
        <v>41708</v>
      </c>
      <c r="AK745" s="65" t="str">
        <f t="shared" si="81"/>
        <v/>
      </c>
      <c r="AL745" s="65" t="s">
        <v>2322</v>
      </c>
      <c r="AM745" s="13"/>
      <c r="AN745" s="28"/>
      <c r="AO745" s="162"/>
      <c r="AP745" s="28"/>
      <c r="AQ745" s="71"/>
      <c r="AR745" s="23"/>
      <c r="AS745" s="76"/>
      <c r="AT745" s="71"/>
      <c r="AU745" s="65">
        <f t="shared" si="78"/>
        <v>7</v>
      </c>
      <c r="AV745" s="70" t="s">
        <v>68</v>
      </c>
    </row>
    <row r="746" spans="1:48" s="65" customFormat="1" ht="12.75" hidden="1" x14ac:dyDescent="0.2">
      <c r="A746" s="86">
        <f t="shared" si="79"/>
        <v>20723</v>
      </c>
      <c r="B746" s="47" t="s">
        <v>5003</v>
      </c>
      <c r="C746" s="47" t="s">
        <v>256</v>
      </c>
      <c r="D746" s="47"/>
      <c r="E746" s="134" t="s">
        <v>94</v>
      </c>
      <c r="F746" s="118">
        <v>32920</v>
      </c>
      <c r="G746" s="134"/>
      <c r="H746" s="69" t="s">
        <v>2777</v>
      </c>
      <c r="I746" s="134"/>
      <c r="J746" s="134"/>
      <c r="K746" s="134"/>
      <c r="L746" s="134"/>
      <c r="M746" s="134"/>
      <c r="N746" s="134"/>
      <c r="O746" s="134"/>
      <c r="P746" s="69" t="s">
        <v>5004</v>
      </c>
      <c r="Q746" s="36"/>
      <c r="R746" s="36" t="s">
        <v>5005</v>
      </c>
      <c r="S746" s="134"/>
      <c r="T746" s="196"/>
      <c r="U746" s="19"/>
      <c r="V746" s="134"/>
      <c r="W746" s="134"/>
      <c r="X746" s="36"/>
      <c r="Y746" s="36" t="s">
        <v>865</v>
      </c>
      <c r="Z746" s="81"/>
      <c r="AA746" s="54"/>
      <c r="AB746" s="81">
        <v>1</v>
      </c>
      <c r="AC746" s="134" t="s">
        <v>236</v>
      </c>
      <c r="AD746" s="134" t="s">
        <v>866</v>
      </c>
      <c r="AE746" s="2" t="s">
        <v>867</v>
      </c>
      <c r="AF746" s="134" t="s">
        <v>231</v>
      </c>
      <c r="AG746" s="118">
        <v>41632</v>
      </c>
      <c r="AH746" s="134">
        <f t="shared" si="80"/>
        <v>12</v>
      </c>
      <c r="AI746" s="134"/>
      <c r="AJ746" s="134"/>
      <c r="AK746" s="134" t="str">
        <f t="shared" si="81"/>
        <v/>
      </c>
      <c r="AL746" s="134" t="s">
        <v>82</v>
      </c>
      <c r="AM746" s="196"/>
      <c r="AN746" s="148"/>
      <c r="AO746" s="197">
        <v>41636</v>
      </c>
      <c r="AP746" s="148"/>
      <c r="AQ746" s="19"/>
      <c r="AR746" s="116"/>
      <c r="AS746" s="196"/>
      <c r="AT746" s="19"/>
      <c r="AU746" s="65">
        <f t="shared" si="78"/>
        <v>2</v>
      </c>
      <c r="AV746" s="61"/>
    </row>
    <row r="747" spans="1:48" s="65" customFormat="1" ht="12.75" hidden="1" x14ac:dyDescent="0.2">
      <c r="A747" s="86">
        <f t="shared" si="79"/>
        <v>20724</v>
      </c>
      <c r="B747" s="47" t="s">
        <v>2245</v>
      </c>
      <c r="C747" s="47" t="s">
        <v>93</v>
      </c>
      <c r="D747" s="47"/>
      <c r="E747" s="134" t="s">
        <v>94</v>
      </c>
      <c r="F747" s="118">
        <v>33428</v>
      </c>
      <c r="G747" s="134" t="s">
        <v>726</v>
      </c>
      <c r="H747" s="69" t="s">
        <v>1550</v>
      </c>
      <c r="I747" s="52" t="s">
        <v>5006</v>
      </c>
      <c r="J747" s="118">
        <v>39528</v>
      </c>
      <c r="K747" s="134" t="s">
        <v>726</v>
      </c>
      <c r="L747" s="134" t="s">
        <v>123</v>
      </c>
      <c r="M747" s="134" t="s">
        <v>5007</v>
      </c>
      <c r="N747" s="134" t="s">
        <v>4882</v>
      </c>
      <c r="O747" s="134">
        <v>2013</v>
      </c>
      <c r="P747" s="69"/>
      <c r="Q747" s="36"/>
      <c r="R747" s="36" t="s">
        <v>5008</v>
      </c>
      <c r="S747" s="134"/>
      <c r="T747" s="196" t="s">
        <v>5009</v>
      </c>
      <c r="U747" s="19" t="s">
        <v>5010</v>
      </c>
      <c r="V747" s="134"/>
      <c r="W747" s="134"/>
      <c r="X747" s="36"/>
      <c r="Y747" s="36" t="s">
        <v>312</v>
      </c>
      <c r="Z747" s="81"/>
      <c r="AA747" s="54"/>
      <c r="AB747" s="81">
        <v>1</v>
      </c>
      <c r="AC747" s="134" t="s">
        <v>236</v>
      </c>
      <c r="AD747" s="36" t="s">
        <v>375</v>
      </c>
      <c r="AE747" s="2" t="s">
        <v>475</v>
      </c>
      <c r="AF747" s="134" t="s">
        <v>65</v>
      </c>
      <c r="AG747" s="118">
        <v>41626</v>
      </c>
      <c r="AH747" s="134">
        <f t="shared" si="80"/>
        <v>12</v>
      </c>
      <c r="AI747" s="134"/>
      <c r="AJ747" s="134"/>
      <c r="AK747" s="134" t="str">
        <f t="shared" si="81"/>
        <v/>
      </c>
      <c r="AL747" s="54" t="s">
        <v>82</v>
      </c>
      <c r="AM747" s="41"/>
      <c r="AN747" s="22"/>
      <c r="AO747" s="108">
        <v>41645</v>
      </c>
      <c r="AP747" s="22"/>
      <c r="AQ747" s="83"/>
      <c r="AR747" s="116"/>
      <c r="AS747" s="41"/>
      <c r="AT747" s="83"/>
      <c r="AU747" s="65">
        <f t="shared" si="78"/>
        <v>7</v>
      </c>
      <c r="AV747" s="41"/>
    </row>
    <row r="748" spans="1:48" s="65" customFormat="1" ht="12.75" hidden="1" x14ac:dyDescent="0.2">
      <c r="A748" s="86">
        <f t="shared" si="79"/>
        <v>20725</v>
      </c>
      <c r="B748" s="47" t="s">
        <v>5011</v>
      </c>
      <c r="C748" s="47" t="s">
        <v>1384</v>
      </c>
      <c r="D748" s="47"/>
      <c r="E748" s="134" t="s">
        <v>51</v>
      </c>
      <c r="F748" s="134"/>
      <c r="G748" s="134"/>
      <c r="H748" s="69"/>
      <c r="I748" s="52"/>
      <c r="J748" s="134"/>
      <c r="K748" s="134"/>
      <c r="L748" s="134"/>
      <c r="M748" s="134"/>
      <c r="N748" s="134"/>
      <c r="O748" s="134"/>
      <c r="P748" s="69" t="s">
        <v>5012</v>
      </c>
      <c r="Q748" s="36"/>
      <c r="R748" s="134"/>
      <c r="S748" s="134"/>
      <c r="T748" s="69"/>
      <c r="U748" s="49"/>
      <c r="V748" s="134"/>
      <c r="W748" s="134"/>
      <c r="X748" s="36"/>
      <c r="Y748" s="36" t="s">
        <v>312</v>
      </c>
      <c r="Z748" s="81"/>
      <c r="AA748" s="81"/>
      <c r="AB748" s="81">
        <v>1</v>
      </c>
      <c r="AC748" s="134" t="s">
        <v>236</v>
      </c>
      <c r="AD748" s="134" t="s">
        <v>207</v>
      </c>
      <c r="AE748" s="2" t="s">
        <v>1128</v>
      </c>
      <c r="AF748" s="134" t="s">
        <v>65</v>
      </c>
      <c r="AG748" s="118">
        <v>41617</v>
      </c>
      <c r="AH748" s="134">
        <f t="shared" si="80"/>
        <v>12</v>
      </c>
      <c r="AI748" s="134"/>
      <c r="AJ748" s="134"/>
      <c r="AK748" s="134" t="str">
        <f t="shared" si="81"/>
        <v/>
      </c>
      <c r="AL748" s="134" t="s">
        <v>82</v>
      </c>
      <c r="AM748" s="81"/>
      <c r="AN748" s="81"/>
      <c r="AO748" s="48"/>
      <c r="AP748" s="134" t="str">
        <f>IF((AO748=""),"",MONTH(AO748))</f>
        <v/>
      </c>
      <c r="AQ748" s="36"/>
      <c r="AR748" s="116"/>
      <c r="AS748" s="81"/>
      <c r="AT748" s="134"/>
      <c r="AU748" s="134" t="str">
        <f t="shared" si="78"/>
        <v/>
      </c>
      <c r="AV748" s="172" t="s">
        <v>68</v>
      </c>
    </row>
    <row r="749" spans="1:48" s="65" customFormat="1" ht="12.75" hidden="1" x14ac:dyDescent="0.2">
      <c r="A749" s="87">
        <f t="shared" si="79"/>
        <v>20726</v>
      </c>
      <c r="B749" s="79" t="s">
        <v>5013</v>
      </c>
      <c r="C749" s="79" t="s">
        <v>5014</v>
      </c>
      <c r="D749" s="79"/>
      <c r="E749" s="65" t="s">
        <v>51</v>
      </c>
      <c r="F749" s="29">
        <v>33165</v>
      </c>
      <c r="G749" s="65" t="s">
        <v>379</v>
      </c>
      <c r="H749" s="158" t="s">
        <v>379</v>
      </c>
      <c r="I749" s="147" t="s">
        <v>5015</v>
      </c>
      <c r="J749" s="29">
        <v>39691</v>
      </c>
      <c r="K749" s="65" t="s">
        <v>379</v>
      </c>
      <c r="M749" s="65" t="s">
        <v>5016</v>
      </c>
      <c r="N749" s="65" t="s">
        <v>3139</v>
      </c>
      <c r="P749" s="158" t="s">
        <v>5017</v>
      </c>
      <c r="Q749" s="123"/>
      <c r="R749" s="147" t="s">
        <v>5018</v>
      </c>
      <c r="T749" s="158" t="s">
        <v>5019</v>
      </c>
      <c r="U749" s="23" t="s">
        <v>5020</v>
      </c>
      <c r="V749" s="65" t="s">
        <v>5021</v>
      </c>
      <c r="W749" s="65" t="s">
        <v>2320</v>
      </c>
      <c r="X749" s="147" t="s">
        <v>5022</v>
      </c>
      <c r="Y749" s="123" t="s">
        <v>312</v>
      </c>
      <c r="Z749" s="54"/>
      <c r="AA749" s="54"/>
      <c r="AB749" s="54">
        <v>1</v>
      </c>
      <c r="AC749" s="65" t="s">
        <v>236</v>
      </c>
      <c r="AD749" s="65" t="s">
        <v>207</v>
      </c>
      <c r="AE749" s="27" t="s">
        <v>1128</v>
      </c>
      <c r="AF749" s="65" t="s">
        <v>65</v>
      </c>
      <c r="AG749" s="29">
        <v>41617</v>
      </c>
      <c r="AH749" s="65">
        <f t="shared" si="80"/>
        <v>12</v>
      </c>
      <c r="AK749" s="65" t="str">
        <f t="shared" si="81"/>
        <v/>
      </c>
      <c r="AL749" s="65" t="s">
        <v>2322</v>
      </c>
      <c r="AM749" s="54"/>
      <c r="AN749" s="54"/>
      <c r="AO749" s="190"/>
      <c r="AP749" s="65" t="str">
        <f>IF((AO749=""),"",MONTH(AO749))</f>
        <v/>
      </c>
      <c r="AQ749" s="123"/>
      <c r="AR749" s="23"/>
      <c r="AS749" s="54"/>
      <c r="AT749" s="136"/>
      <c r="AU749" s="65">
        <f t="shared" si="78"/>
        <v>10</v>
      </c>
      <c r="AV749" s="70" t="s">
        <v>68</v>
      </c>
    </row>
    <row r="750" spans="1:48" s="65" customFormat="1" ht="12.75" hidden="1" x14ac:dyDescent="0.2">
      <c r="A750" s="87">
        <f t="shared" si="79"/>
        <v>20727</v>
      </c>
      <c r="B750" s="79" t="s">
        <v>5023</v>
      </c>
      <c r="C750" s="79" t="s">
        <v>607</v>
      </c>
      <c r="D750" s="79" t="s">
        <v>5024</v>
      </c>
      <c r="E750" s="65" t="s">
        <v>94</v>
      </c>
      <c r="F750" s="29">
        <v>28456</v>
      </c>
      <c r="G750" s="65" t="s">
        <v>726</v>
      </c>
      <c r="H750" s="158" t="s">
        <v>726</v>
      </c>
      <c r="I750" s="147" t="s">
        <v>5025</v>
      </c>
      <c r="J750" s="29">
        <v>41128</v>
      </c>
      <c r="K750" s="65" t="s">
        <v>52</v>
      </c>
      <c r="L750" s="65" t="s">
        <v>55</v>
      </c>
      <c r="M750" s="65" t="s">
        <v>5026</v>
      </c>
      <c r="N750" s="65" t="s">
        <v>5027</v>
      </c>
      <c r="O750" s="65">
        <v>2007</v>
      </c>
      <c r="P750" s="158" t="s">
        <v>5028</v>
      </c>
      <c r="Q750" s="123"/>
      <c r="R750" s="123" t="s">
        <v>5029</v>
      </c>
      <c r="S750" s="65" t="s">
        <v>5030</v>
      </c>
      <c r="T750" s="76" t="s">
        <v>5031</v>
      </c>
      <c r="U750" s="105" t="s">
        <v>5032</v>
      </c>
      <c r="X750" s="147"/>
      <c r="Y750" s="123" t="s">
        <v>360</v>
      </c>
      <c r="Z750" s="54"/>
      <c r="AA750" s="54"/>
      <c r="AB750" s="54">
        <v>2</v>
      </c>
      <c r="AC750" s="65" t="s">
        <v>362</v>
      </c>
      <c r="AD750" s="123" t="s">
        <v>375</v>
      </c>
      <c r="AE750" s="27" t="s">
        <v>2099</v>
      </c>
      <c r="AF750" s="65" t="s">
        <v>65</v>
      </c>
      <c r="AG750" s="29">
        <v>41624</v>
      </c>
      <c r="AH750" s="65">
        <f t="shared" si="80"/>
        <v>12</v>
      </c>
      <c r="AJ750" s="29">
        <v>41655</v>
      </c>
      <c r="AK750" s="65">
        <f t="shared" si="81"/>
        <v>1</v>
      </c>
      <c r="AL750" s="65" t="s">
        <v>66</v>
      </c>
      <c r="AM750" s="37"/>
      <c r="AN750" s="28"/>
      <c r="AO750" s="28"/>
      <c r="AP750" s="28"/>
      <c r="AQ750" s="105"/>
      <c r="AR750" s="23"/>
      <c r="AS750" s="13" t="s">
        <v>107</v>
      </c>
      <c r="AT750" s="105"/>
      <c r="AU750" s="65">
        <f t="shared" ref="AU750:AU781" si="82">IF((F750=""),"",MONTH(F750))</f>
        <v>11</v>
      </c>
      <c r="AV750" s="13"/>
    </row>
    <row r="751" spans="1:48" s="65" customFormat="1" ht="12.75" x14ac:dyDescent="0.2">
      <c r="A751" s="87">
        <f t="shared" si="79"/>
        <v>20728</v>
      </c>
      <c r="B751" s="79" t="s">
        <v>5033</v>
      </c>
      <c r="C751" s="79" t="s">
        <v>160</v>
      </c>
      <c r="D751" s="79"/>
      <c r="E751" s="65" t="s">
        <v>94</v>
      </c>
      <c r="F751" s="29">
        <v>31807</v>
      </c>
      <c r="G751" s="65" t="s">
        <v>3334</v>
      </c>
      <c r="H751" s="158" t="s">
        <v>120</v>
      </c>
      <c r="I751" s="147" t="s">
        <v>5034</v>
      </c>
      <c r="J751" s="29">
        <v>41071</v>
      </c>
      <c r="K751" s="65" t="s">
        <v>3334</v>
      </c>
      <c r="L751" s="65" t="s">
        <v>123</v>
      </c>
      <c r="M751" s="65" t="s">
        <v>5035</v>
      </c>
      <c r="N751" s="65" t="s">
        <v>4890</v>
      </c>
      <c r="O751" s="65">
        <v>2011</v>
      </c>
      <c r="P751" s="158" t="s">
        <v>5036</v>
      </c>
      <c r="Q751" s="123"/>
      <c r="T751" s="76" t="s">
        <v>5037</v>
      </c>
      <c r="U751" s="71" t="s">
        <v>5038</v>
      </c>
      <c r="X751" s="147"/>
      <c r="Y751" s="123" t="s">
        <v>972</v>
      </c>
      <c r="Z751" s="54"/>
      <c r="AA751" s="54"/>
      <c r="AB751" s="54">
        <v>1</v>
      </c>
      <c r="AC751" s="65" t="s">
        <v>236</v>
      </c>
      <c r="AD751" s="65" t="s">
        <v>404</v>
      </c>
      <c r="AE751" s="27" t="s">
        <v>700</v>
      </c>
      <c r="AF751" s="65" t="s">
        <v>65</v>
      </c>
      <c r="AG751" s="29">
        <v>41618</v>
      </c>
      <c r="AH751" s="65">
        <f t="shared" si="80"/>
        <v>12</v>
      </c>
      <c r="AK751" s="65" t="str">
        <f t="shared" si="81"/>
        <v/>
      </c>
      <c r="AL751" s="65" t="s">
        <v>2322</v>
      </c>
      <c r="AM751" s="138"/>
      <c r="AN751" s="76"/>
      <c r="AO751" s="162"/>
      <c r="AP751" s="162"/>
      <c r="AQ751" s="71"/>
      <c r="AR751" s="23"/>
      <c r="AS751" s="76"/>
      <c r="AT751" s="71"/>
      <c r="AU751" s="65">
        <f t="shared" si="82"/>
        <v>1</v>
      </c>
      <c r="AV751" s="76"/>
    </row>
    <row r="752" spans="1:48" s="65" customFormat="1" ht="12.75" hidden="1" x14ac:dyDescent="0.2">
      <c r="A752" s="87">
        <f t="shared" si="79"/>
        <v>20729</v>
      </c>
      <c r="B752" s="79" t="s">
        <v>5039</v>
      </c>
      <c r="C752" s="79" t="s">
        <v>141</v>
      </c>
      <c r="D752" s="79" t="s">
        <v>5040</v>
      </c>
      <c r="E752" s="65" t="s">
        <v>51</v>
      </c>
      <c r="F752" s="29">
        <v>30459</v>
      </c>
      <c r="H752" s="158"/>
      <c r="I752" s="147" t="s">
        <v>5041</v>
      </c>
      <c r="J752" s="95">
        <v>36767</v>
      </c>
      <c r="K752" s="65" t="s">
        <v>5042</v>
      </c>
      <c r="L752" s="65" t="s">
        <v>123</v>
      </c>
      <c r="M752" s="65" t="s">
        <v>124</v>
      </c>
      <c r="N752" s="65" t="s">
        <v>5043</v>
      </c>
      <c r="P752" s="158" t="s">
        <v>5044</v>
      </c>
      <c r="Q752" s="123"/>
      <c r="R752" s="147" t="s">
        <v>5045</v>
      </c>
      <c r="S752" s="65" t="s">
        <v>5046</v>
      </c>
      <c r="T752" s="158" t="s">
        <v>5047</v>
      </c>
      <c r="U752" s="76" t="s">
        <v>5047</v>
      </c>
      <c r="V752" s="166"/>
      <c r="X752" s="147"/>
      <c r="Y752" s="65" t="s">
        <v>102</v>
      </c>
      <c r="Z752" s="54"/>
      <c r="AA752" s="54"/>
      <c r="AB752" s="54">
        <v>4</v>
      </c>
      <c r="AC752" s="184" t="s">
        <v>63</v>
      </c>
      <c r="AD752" s="65" t="s">
        <v>1067</v>
      </c>
      <c r="AE752" s="27"/>
      <c r="AF752" s="65" t="s">
        <v>65</v>
      </c>
      <c r="AJ752" s="29">
        <v>41632</v>
      </c>
      <c r="AK752" s="65">
        <f t="shared" si="81"/>
        <v>12</v>
      </c>
      <c r="AL752" s="65" t="s">
        <v>66</v>
      </c>
      <c r="AM752" s="13"/>
      <c r="AN752" s="162"/>
      <c r="AO752" s="162"/>
      <c r="AP752" s="162"/>
      <c r="AQ752" s="71"/>
      <c r="AR752" s="23"/>
      <c r="AS752" s="76"/>
      <c r="AT752" s="71"/>
      <c r="AU752" s="65">
        <f t="shared" si="82"/>
        <v>5</v>
      </c>
      <c r="AV752" s="76"/>
    </row>
    <row r="753" spans="1:48" s="65" customFormat="1" ht="12.75" hidden="1" x14ac:dyDescent="0.2">
      <c r="A753" s="86">
        <f t="shared" si="79"/>
        <v>20730</v>
      </c>
      <c r="B753" s="47" t="s">
        <v>5048</v>
      </c>
      <c r="C753" s="47" t="s">
        <v>349</v>
      </c>
      <c r="D753" s="47" t="s">
        <v>5049</v>
      </c>
      <c r="E753" s="134" t="s">
        <v>94</v>
      </c>
      <c r="F753" s="118">
        <v>32968</v>
      </c>
      <c r="G753" s="134" t="s">
        <v>895</v>
      </c>
      <c r="H753" s="69" t="s">
        <v>379</v>
      </c>
      <c r="I753" s="52" t="s">
        <v>5050</v>
      </c>
      <c r="J753" s="118">
        <v>38168</v>
      </c>
      <c r="K753" s="134" t="s">
        <v>895</v>
      </c>
      <c r="L753" s="134" t="s">
        <v>123</v>
      </c>
      <c r="M753" s="134" t="s">
        <v>5051</v>
      </c>
      <c r="N753" s="134" t="s">
        <v>941</v>
      </c>
      <c r="O753" s="134">
        <v>2012</v>
      </c>
      <c r="P753" s="69" t="s">
        <v>5052</v>
      </c>
      <c r="Q753" s="36"/>
      <c r="R753" s="169" t="s">
        <v>5053</v>
      </c>
      <c r="S753" s="134"/>
      <c r="T753" s="196" t="s">
        <v>5054</v>
      </c>
      <c r="U753" s="19" t="s">
        <v>5055</v>
      </c>
      <c r="V753" s="134"/>
      <c r="W753" s="134"/>
      <c r="X753" s="52"/>
      <c r="Y753" s="134" t="s">
        <v>312</v>
      </c>
      <c r="Z753" s="81"/>
      <c r="AA753" s="81"/>
      <c r="AB753" s="81">
        <v>1</v>
      </c>
      <c r="AC753" s="69" t="s">
        <v>236</v>
      </c>
      <c r="AD753" s="36" t="s">
        <v>375</v>
      </c>
      <c r="AE753" s="81" t="s">
        <v>376</v>
      </c>
      <c r="AF753" s="134" t="s">
        <v>65</v>
      </c>
      <c r="AG753" s="118">
        <v>41632</v>
      </c>
      <c r="AH753" s="134">
        <f t="shared" ref="AH753:AH786" si="83">IF((AG753=""),"",MONTH(AG753))</f>
        <v>12</v>
      </c>
      <c r="AI753" s="134"/>
      <c r="AJ753" s="134"/>
      <c r="AK753" s="134" t="str">
        <f t="shared" si="81"/>
        <v/>
      </c>
      <c r="AL753" s="134" t="s">
        <v>82</v>
      </c>
      <c r="AM753" s="196"/>
      <c r="AN753" s="148"/>
      <c r="AO753" s="197">
        <v>41699</v>
      </c>
      <c r="AP753" s="148"/>
      <c r="AQ753" s="19"/>
      <c r="AR753" s="116"/>
      <c r="AS753" s="196"/>
      <c r="AT753" s="19"/>
      <c r="AU753" s="134">
        <f t="shared" si="82"/>
        <v>4</v>
      </c>
      <c r="AV753" s="196"/>
    </row>
    <row r="754" spans="1:48" s="65" customFormat="1" ht="12.75" hidden="1" x14ac:dyDescent="0.2">
      <c r="A754" s="87">
        <f t="shared" si="79"/>
        <v>20731</v>
      </c>
      <c r="B754" s="79" t="s">
        <v>5056</v>
      </c>
      <c r="C754" s="79" t="s">
        <v>778</v>
      </c>
      <c r="D754" s="79"/>
      <c r="E754" s="65" t="s">
        <v>94</v>
      </c>
      <c r="F754" s="29">
        <v>32048</v>
      </c>
      <c r="G754" s="65" t="s">
        <v>52</v>
      </c>
      <c r="H754" s="158" t="s">
        <v>52</v>
      </c>
      <c r="I754" s="147" t="s">
        <v>5057</v>
      </c>
      <c r="J754" s="29">
        <v>37752</v>
      </c>
      <c r="K754" s="65" t="s">
        <v>52</v>
      </c>
      <c r="L754" s="65" t="s">
        <v>86</v>
      </c>
      <c r="M754" s="65" t="s">
        <v>5058</v>
      </c>
      <c r="N754" s="65" t="s">
        <v>4287</v>
      </c>
      <c r="O754" s="65">
        <v>2012</v>
      </c>
      <c r="P754" s="158" t="s">
        <v>5059</v>
      </c>
      <c r="Q754" s="123"/>
      <c r="R754" s="124" t="s">
        <v>5060</v>
      </c>
      <c r="S754" s="65" t="s">
        <v>5061</v>
      </c>
      <c r="T754" s="158" t="s">
        <v>5062</v>
      </c>
      <c r="U754" s="76" t="s">
        <v>5062</v>
      </c>
      <c r="V754" s="166"/>
      <c r="X754" s="147"/>
      <c r="Y754" s="65" t="s">
        <v>312</v>
      </c>
      <c r="Z754" s="54"/>
      <c r="AA754" s="54"/>
      <c r="AB754" s="54">
        <v>1</v>
      </c>
      <c r="AC754" s="158"/>
      <c r="AD754" s="65" t="s">
        <v>158</v>
      </c>
      <c r="AE754" s="27"/>
      <c r="AF754" s="65" t="s">
        <v>65</v>
      </c>
      <c r="AG754" s="29">
        <v>41618</v>
      </c>
      <c r="AH754" s="65">
        <f t="shared" si="83"/>
        <v>12</v>
      </c>
      <c r="AK754" s="65" t="str">
        <f t="shared" si="81"/>
        <v/>
      </c>
      <c r="AL754" s="65" t="s">
        <v>2322</v>
      </c>
      <c r="AM754" s="76"/>
      <c r="AN754" s="162"/>
      <c r="AO754" s="162"/>
      <c r="AP754" s="162"/>
      <c r="AQ754" s="71"/>
      <c r="AR754" s="23"/>
      <c r="AS754" s="76"/>
      <c r="AT754" s="71"/>
      <c r="AU754" s="65">
        <f t="shared" si="82"/>
        <v>9</v>
      </c>
      <c r="AV754" s="76"/>
    </row>
    <row r="755" spans="1:48" s="65" customFormat="1" ht="12.75" hidden="1" x14ac:dyDescent="0.2">
      <c r="A755" s="87">
        <f t="shared" si="79"/>
        <v>20732</v>
      </c>
      <c r="B755" s="79" t="s">
        <v>5063</v>
      </c>
      <c r="C755" s="79" t="s">
        <v>160</v>
      </c>
      <c r="D755" s="79"/>
      <c r="E755" s="65" t="s">
        <v>51</v>
      </c>
      <c r="F755" s="29">
        <v>32937</v>
      </c>
      <c r="G755" s="65" t="s">
        <v>303</v>
      </c>
      <c r="H755" s="158" t="s">
        <v>303</v>
      </c>
      <c r="I755" s="147" t="s">
        <v>5064</v>
      </c>
      <c r="J755" s="29">
        <v>39420</v>
      </c>
      <c r="K755" s="65" t="s">
        <v>303</v>
      </c>
      <c r="L755" s="65" t="s">
        <v>123</v>
      </c>
      <c r="M755" s="65" t="s">
        <v>5065</v>
      </c>
      <c r="N755" s="65" t="s">
        <v>5066</v>
      </c>
      <c r="O755" s="65">
        <v>2012</v>
      </c>
      <c r="P755" s="158" t="s">
        <v>5067</v>
      </c>
      <c r="Q755" s="123"/>
      <c r="R755" s="124" t="s">
        <v>5068</v>
      </c>
      <c r="T755" s="76" t="s">
        <v>5069</v>
      </c>
      <c r="U755" s="71" t="s">
        <v>5070</v>
      </c>
      <c r="V755" s="65" t="s">
        <v>5071</v>
      </c>
      <c r="X755" s="147" t="s">
        <v>5072</v>
      </c>
      <c r="Y755" s="65" t="s">
        <v>312</v>
      </c>
      <c r="Z755" s="54"/>
      <c r="AA755" s="54"/>
      <c r="AB755" s="54">
        <v>1</v>
      </c>
      <c r="AC755" s="158"/>
      <c r="AD755" s="65" t="s">
        <v>158</v>
      </c>
      <c r="AE755" s="27"/>
      <c r="AF755" s="65" t="s">
        <v>65</v>
      </c>
      <c r="AG755" s="29">
        <v>41619</v>
      </c>
      <c r="AH755" s="65">
        <f t="shared" si="83"/>
        <v>12</v>
      </c>
      <c r="AK755" s="65" t="str">
        <f t="shared" si="81"/>
        <v/>
      </c>
      <c r="AL755" s="65" t="s">
        <v>2322</v>
      </c>
      <c r="AM755" s="76"/>
      <c r="AN755" s="162"/>
      <c r="AO755" s="162"/>
      <c r="AP755" s="162"/>
      <c r="AQ755" s="71"/>
      <c r="AR755" s="23"/>
      <c r="AS755" s="76"/>
      <c r="AT755" s="71"/>
      <c r="AU755" s="65">
        <f t="shared" si="82"/>
        <v>3</v>
      </c>
      <c r="AV755" s="76"/>
    </row>
    <row r="756" spans="1:48" s="65" customFormat="1" ht="12.75" hidden="1" x14ac:dyDescent="0.2">
      <c r="A756" s="87">
        <f t="shared" si="79"/>
        <v>20733</v>
      </c>
      <c r="B756" s="79" t="s">
        <v>1939</v>
      </c>
      <c r="C756" s="79" t="s">
        <v>50</v>
      </c>
      <c r="D756" s="79"/>
      <c r="E756" s="65" t="s">
        <v>51</v>
      </c>
      <c r="F756" s="29">
        <v>33023</v>
      </c>
      <c r="G756" s="65" t="s">
        <v>52</v>
      </c>
      <c r="H756" s="158"/>
      <c r="I756" s="147" t="s">
        <v>5073</v>
      </c>
      <c r="J756" s="29">
        <v>38191</v>
      </c>
      <c r="K756" s="65" t="s">
        <v>52</v>
      </c>
      <c r="L756" s="65" t="s">
        <v>123</v>
      </c>
      <c r="M756" s="65" t="s">
        <v>5074</v>
      </c>
      <c r="N756" s="65" t="s">
        <v>368</v>
      </c>
      <c r="P756" s="158" t="s">
        <v>5075</v>
      </c>
      <c r="Q756" s="123" t="s">
        <v>5076</v>
      </c>
      <c r="R756" s="124" t="s">
        <v>5077</v>
      </c>
      <c r="S756" s="65" t="s">
        <v>5078</v>
      </c>
      <c r="T756" s="158" t="s">
        <v>5079</v>
      </c>
      <c r="U756" s="76" t="s">
        <v>5079</v>
      </c>
      <c r="V756" s="166" t="s">
        <v>5080</v>
      </c>
      <c r="W756" s="65" t="s">
        <v>745</v>
      </c>
      <c r="X756" s="147" t="s">
        <v>5081</v>
      </c>
      <c r="Y756" s="65" t="s">
        <v>312</v>
      </c>
      <c r="Z756" s="54"/>
      <c r="AA756" s="54"/>
      <c r="AB756" s="54">
        <v>1</v>
      </c>
      <c r="AC756" s="158"/>
      <c r="AD756" s="65" t="s">
        <v>158</v>
      </c>
      <c r="AE756" s="27"/>
      <c r="AF756" s="65" t="s">
        <v>65</v>
      </c>
      <c r="AG756" s="29">
        <v>41626</v>
      </c>
      <c r="AH756" s="65">
        <f t="shared" si="83"/>
        <v>12</v>
      </c>
      <c r="AK756" s="65" t="str">
        <f t="shared" si="81"/>
        <v/>
      </c>
      <c r="AL756" s="65" t="s">
        <v>2322</v>
      </c>
      <c r="AM756" s="76"/>
      <c r="AN756" s="162"/>
      <c r="AO756" s="162"/>
      <c r="AP756" s="162"/>
      <c r="AQ756" s="71"/>
      <c r="AR756" s="23"/>
      <c r="AS756" s="76"/>
      <c r="AT756" s="71"/>
      <c r="AU756" s="65">
        <f t="shared" si="82"/>
        <v>5</v>
      </c>
      <c r="AV756" s="76"/>
    </row>
    <row r="757" spans="1:48" s="65" customFormat="1" ht="12.75" hidden="1" x14ac:dyDescent="0.2">
      <c r="A757" s="87">
        <f t="shared" si="79"/>
        <v>20734</v>
      </c>
      <c r="B757" s="79" t="s">
        <v>1074</v>
      </c>
      <c r="C757" s="79" t="s">
        <v>2003</v>
      </c>
      <c r="D757" s="79"/>
      <c r="E757" s="65" t="s">
        <v>51</v>
      </c>
      <c r="H757" s="158"/>
      <c r="I757" s="147"/>
      <c r="P757" s="158" t="s">
        <v>5082</v>
      </c>
      <c r="Q757" s="123"/>
      <c r="R757" s="124"/>
      <c r="T757" s="76"/>
      <c r="U757" s="71"/>
      <c r="X757" s="147"/>
      <c r="Y757" s="65" t="s">
        <v>312</v>
      </c>
      <c r="Z757" s="54"/>
      <c r="AA757" s="54"/>
      <c r="AB757" s="54">
        <v>1</v>
      </c>
      <c r="AC757" s="158"/>
      <c r="AD757" s="65" t="s">
        <v>158</v>
      </c>
      <c r="AE757" s="27"/>
      <c r="AF757" s="65" t="s">
        <v>65</v>
      </c>
      <c r="AG757" s="29">
        <v>41624</v>
      </c>
      <c r="AH757" s="65">
        <f t="shared" si="83"/>
        <v>12</v>
      </c>
      <c r="AJ757" s="29">
        <v>41682</v>
      </c>
      <c r="AK757" s="65">
        <f t="shared" si="81"/>
        <v>2</v>
      </c>
      <c r="AL757" s="65" t="s">
        <v>66</v>
      </c>
      <c r="AM757" s="76"/>
      <c r="AN757" s="162"/>
      <c r="AO757" s="162"/>
      <c r="AP757" s="162"/>
      <c r="AQ757" s="71"/>
      <c r="AR757" s="23"/>
      <c r="AS757" s="76"/>
      <c r="AT757" s="71"/>
      <c r="AU757" s="65" t="str">
        <f t="shared" si="82"/>
        <v/>
      </c>
      <c r="AV757" s="76"/>
    </row>
    <row r="758" spans="1:48" s="65" customFormat="1" ht="12.75" hidden="1" x14ac:dyDescent="0.2">
      <c r="A758" s="87">
        <f t="shared" si="79"/>
        <v>20735</v>
      </c>
      <c r="B758" s="79" t="s">
        <v>265</v>
      </c>
      <c r="C758" s="79" t="s">
        <v>396</v>
      </c>
      <c r="D758" s="79" t="s">
        <v>5083</v>
      </c>
      <c r="E758" s="65" t="s">
        <v>94</v>
      </c>
      <c r="F758" s="29">
        <v>32078</v>
      </c>
      <c r="G758" s="65" t="s">
        <v>132</v>
      </c>
      <c r="H758" s="158" t="s">
        <v>132</v>
      </c>
      <c r="I758" s="147" t="s">
        <v>5084</v>
      </c>
      <c r="J758" s="29">
        <v>37797</v>
      </c>
      <c r="K758" s="65" t="s">
        <v>132</v>
      </c>
      <c r="L758" s="65" t="s">
        <v>5085</v>
      </c>
      <c r="M758" s="65" t="s">
        <v>5086</v>
      </c>
      <c r="N758" s="65" t="s">
        <v>458</v>
      </c>
      <c r="O758" s="65">
        <v>2008</v>
      </c>
      <c r="P758" s="158" t="s">
        <v>5087</v>
      </c>
      <c r="Q758" s="123"/>
      <c r="R758" s="124" t="s">
        <v>5088</v>
      </c>
      <c r="T758" s="76" t="s">
        <v>5089</v>
      </c>
      <c r="U758" s="71" t="s">
        <v>5090</v>
      </c>
      <c r="V758" s="65" t="s">
        <v>5091</v>
      </c>
      <c r="W758" s="65" t="s">
        <v>5092</v>
      </c>
      <c r="X758" s="147" t="s">
        <v>5088</v>
      </c>
      <c r="Y758" s="65" t="s">
        <v>312</v>
      </c>
      <c r="Z758" s="54"/>
      <c r="AA758" s="54"/>
      <c r="AB758" s="54">
        <v>1</v>
      </c>
      <c r="AC758" s="158"/>
      <c r="AD758" s="65" t="s">
        <v>207</v>
      </c>
      <c r="AE758" s="27" t="s">
        <v>1136</v>
      </c>
      <c r="AF758" s="65" t="s">
        <v>65</v>
      </c>
      <c r="AG758" s="29">
        <v>41619</v>
      </c>
      <c r="AH758" s="65">
        <f t="shared" si="83"/>
        <v>12</v>
      </c>
      <c r="AJ758" s="29">
        <v>41681</v>
      </c>
      <c r="AK758" s="65">
        <f t="shared" si="81"/>
        <v>2</v>
      </c>
      <c r="AL758" s="65" t="s">
        <v>66</v>
      </c>
      <c r="AM758" s="76"/>
      <c r="AN758" s="162"/>
      <c r="AO758" s="162"/>
      <c r="AP758" s="162"/>
      <c r="AQ758" s="71"/>
      <c r="AR758" s="23"/>
      <c r="AS758" s="76"/>
      <c r="AT758" s="71"/>
      <c r="AU758" s="65">
        <f t="shared" si="82"/>
        <v>10</v>
      </c>
      <c r="AV758" s="76"/>
    </row>
    <row r="759" spans="1:48" s="65" customFormat="1" ht="12.75" x14ac:dyDescent="0.2">
      <c r="A759" s="87">
        <f t="shared" si="79"/>
        <v>20736</v>
      </c>
      <c r="B759" s="79" t="s">
        <v>848</v>
      </c>
      <c r="C759" s="79" t="s">
        <v>685</v>
      </c>
      <c r="D759" s="79"/>
      <c r="E759" s="65" t="s">
        <v>94</v>
      </c>
      <c r="F759" s="29">
        <v>31870</v>
      </c>
      <c r="G759" s="65" t="s">
        <v>303</v>
      </c>
      <c r="H759" s="158" t="s">
        <v>303</v>
      </c>
      <c r="I759" s="147" t="s">
        <v>5093</v>
      </c>
      <c r="J759" s="29">
        <v>40359</v>
      </c>
      <c r="K759" s="65" t="s">
        <v>303</v>
      </c>
      <c r="L759" s="65" t="s">
        <v>123</v>
      </c>
      <c r="M759" s="65" t="s">
        <v>5094</v>
      </c>
      <c r="N759" s="65" t="s">
        <v>5095</v>
      </c>
      <c r="P759" s="158" t="s">
        <v>5096</v>
      </c>
      <c r="Q759" s="123"/>
      <c r="R759" s="124" t="s">
        <v>5097</v>
      </c>
      <c r="T759" s="76" t="s">
        <v>5098</v>
      </c>
      <c r="U759" s="71" t="s">
        <v>5099</v>
      </c>
      <c r="X759" s="147"/>
      <c r="Y759" s="65" t="s">
        <v>972</v>
      </c>
      <c r="Z759" s="54"/>
      <c r="AA759" s="54"/>
      <c r="AB759" s="54">
        <v>1</v>
      </c>
      <c r="AC759" s="158"/>
      <c r="AD759" s="65" t="s">
        <v>512</v>
      </c>
      <c r="AE759" s="27" t="s">
        <v>973</v>
      </c>
      <c r="AF759" s="65" t="s">
        <v>65</v>
      </c>
      <c r="AG759" s="29">
        <v>41621</v>
      </c>
      <c r="AH759" s="65">
        <f t="shared" si="83"/>
        <v>12</v>
      </c>
      <c r="AK759" s="65" t="str">
        <f t="shared" si="81"/>
        <v/>
      </c>
      <c r="AL759" s="65" t="s">
        <v>2322</v>
      </c>
      <c r="AM759" s="76"/>
      <c r="AN759" s="162"/>
      <c r="AO759" s="162"/>
      <c r="AP759" s="162"/>
      <c r="AQ759" s="71"/>
      <c r="AR759" s="23"/>
      <c r="AS759" s="76"/>
      <c r="AT759" s="71"/>
      <c r="AU759" s="65">
        <f t="shared" si="82"/>
        <v>4</v>
      </c>
      <c r="AV759" s="76"/>
    </row>
    <row r="760" spans="1:48" s="65" customFormat="1" ht="12.75" hidden="1" x14ac:dyDescent="0.2">
      <c r="A760" s="87">
        <f t="shared" si="79"/>
        <v>20737</v>
      </c>
      <c r="B760" s="79" t="s">
        <v>982</v>
      </c>
      <c r="C760" s="79" t="s">
        <v>618</v>
      </c>
      <c r="D760" s="79"/>
      <c r="E760" s="65" t="s">
        <v>94</v>
      </c>
      <c r="H760" s="158"/>
      <c r="I760" s="147"/>
      <c r="P760" s="158"/>
      <c r="Q760" s="123"/>
      <c r="R760" s="124"/>
      <c r="T760" s="76"/>
      <c r="U760" s="71"/>
      <c r="X760" s="147"/>
      <c r="Y760" s="65" t="s">
        <v>312</v>
      </c>
      <c r="Z760" s="54"/>
      <c r="AA760" s="54"/>
      <c r="AB760" s="54">
        <v>1</v>
      </c>
      <c r="AC760" s="158"/>
      <c r="AD760" s="65" t="s">
        <v>207</v>
      </c>
      <c r="AE760" s="27" t="s">
        <v>1128</v>
      </c>
      <c r="AF760" s="65" t="s">
        <v>65</v>
      </c>
      <c r="AH760" s="65" t="str">
        <f t="shared" si="83"/>
        <v/>
      </c>
      <c r="AK760" s="65" t="str">
        <f t="shared" si="81"/>
        <v/>
      </c>
      <c r="AL760" s="65" t="s">
        <v>2322</v>
      </c>
      <c r="AM760" s="76"/>
      <c r="AN760" s="162"/>
      <c r="AO760" s="162"/>
      <c r="AP760" s="162"/>
      <c r="AQ760" s="71"/>
      <c r="AR760" s="23"/>
      <c r="AS760" s="76"/>
      <c r="AT760" s="71"/>
      <c r="AU760" s="65" t="str">
        <f t="shared" si="82"/>
        <v/>
      </c>
      <c r="AV760" s="76"/>
    </row>
    <row r="761" spans="1:48" s="65" customFormat="1" ht="12.75" hidden="1" x14ac:dyDescent="0.2">
      <c r="A761" s="87">
        <f t="shared" si="79"/>
        <v>20738</v>
      </c>
      <c r="B761" s="79" t="s">
        <v>265</v>
      </c>
      <c r="C761" s="79" t="s">
        <v>2825</v>
      </c>
      <c r="D761" s="79"/>
      <c r="E761" s="65" t="s">
        <v>94</v>
      </c>
      <c r="F761" s="29">
        <v>33417</v>
      </c>
      <c r="G761" s="65" t="s">
        <v>726</v>
      </c>
      <c r="H761" s="158" t="s">
        <v>726</v>
      </c>
      <c r="I761" s="147" t="s">
        <v>5100</v>
      </c>
      <c r="J761" s="29">
        <v>39422</v>
      </c>
      <c r="K761" s="65" t="s">
        <v>726</v>
      </c>
      <c r="L761" s="65" t="s">
        <v>123</v>
      </c>
      <c r="M761" s="65" t="s">
        <v>5101</v>
      </c>
      <c r="N761" s="65" t="s">
        <v>5102</v>
      </c>
      <c r="O761" s="65">
        <v>2015</v>
      </c>
      <c r="P761" s="158" t="s">
        <v>5103</v>
      </c>
      <c r="Q761" s="123"/>
      <c r="R761" s="124" t="s">
        <v>5104</v>
      </c>
      <c r="T761" s="76" t="s">
        <v>5105</v>
      </c>
      <c r="U761" s="71"/>
      <c r="V761" s="65" t="s">
        <v>5106</v>
      </c>
      <c r="W761" s="65" t="s">
        <v>283</v>
      </c>
      <c r="X761" s="147"/>
      <c r="Y761" s="65" t="s">
        <v>312</v>
      </c>
      <c r="Z761" s="54"/>
      <c r="AA761" s="54"/>
      <c r="AB761" s="54">
        <v>1</v>
      </c>
      <c r="AC761" s="158"/>
      <c r="AD761" s="123" t="s">
        <v>375</v>
      </c>
      <c r="AE761" s="27" t="s">
        <v>475</v>
      </c>
      <c r="AF761" s="23" t="s">
        <v>65</v>
      </c>
      <c r="AG761" s="29">
        <v>41641</v>
      </c>
      <c r="AH761" s="65">
        <f t="shared" si="83"/>
        <v>1</v>
      </c>
      <c r="AK761" s="65" t="str">
        <f t="shared" si="81"/>
        <v/>
      </c>
      <c r="AL761" s="199" t="s">
        <v>66</v>
      </c>
      <c r="AM761" s="76"/>
      <c r="AN761" s="162"/>
      <c r="AO761" s="162"/>
      <c r="AP761" s="162"/>
      <c r="AQ761" s="71"/>
      <c r="AR761" s="23"/>
      <c r="AS761" s="76"/>
      <c r="AT761" s="71"/>
      <c r="AU761" s="65">
        <f t="shared" si="82"/>
        <v>6</v>
      </c>
      <c r="AV761" s="76"/>
    </row>
    <row r="762" spans="1:48" ht="12.75" hidden="1" x14ac:dyDescent="0.2">
      <c r="A762" s="86">
        <f t="shared" si="79"/>
        <v>20739</v>
      </c>
      <c r="B762" s="47" t="s">
        <v>265</v>
      </c>
      <c r="C762" s="47" t="s">
        <v>946</v>
      </c>
      <c r="D762" s="47" t="s">
        <v>5107</v>
      </c>
      <c r="E762" s="134" t="s">
        <v>94</v>
      </c>
      <c r="F762" s="134"/>
      <c r="G762" s="134"/>
      <c r="H762" s="69"/>
      <c r="I762" s="52"/>
      <c r="J762" s="134"/>
      <c r="K762" s="134"/>
      <c r="L762" s="134"/>
      <c r="M762" s="134"/>
      <c r="N762" s="134"/>
      <c r="O762" s="134"/>
      <c r="P762" s="69"/>
      <c r="Q762" s="36"/>
      <c r="R762" s="169"/>
      <c r="S762" s="134"/>
      <c r="T762" s="196"/>
      <c r="U762" s="19"/>
      <c r="V762" s="134"/>
      <c r="W762" s="134"/>
      <c r="X762" s="52"/>
      <c r="Y762" s="134" t="s">
        <v>312</v>
      </c>
      <c r="Z762" s="81"/>
      <c r="AA762" s="81"/>
      <c r="AB762" s="81">
        <v>1</v>
      </c>
      <c r="AC762" s="69"/>
      <c r="AD762" s="134" t="s">
        <v>221</v>
      </c>
      <c r="AE762" s="2" t="s">
        <v>963</v>
      </c>
      <c r="AF762" s="134" t="s">
        <v>65</v>
      </c>
      <c r="AG762" s="118">
        <v>41641</v>
      </c>
      <c r="AH762" s="134">
        <f t="shared" si="83"/>
        <v>1</v>
      </c>
      <c r="AI762" s="134"/>
      <c r="AJ762" s="134"/>
      <c r="AK762" s="134" t="str">
        <f t="shared" si="81"/>
        <v/>
      </c>
      <c r="AL762" s="134" t="s">
        <v>82</v>
      </c>
      <c r="AM762" s="196"/>
      <c r="AN762" s="148"/>
      <c r="AO762" s="148"/>
      <c r="AP762" s="148"/>
      <c r="AQ762" s="19"/>
      <c r="AR762" s="116"/>
      <c r="AS762" s="196"/>
      <c r="AT762" s="19"/>
      <c r="AU762" s="65" t="str">
        <f t="shared" si="82"/>
        <v/>
      </c>
      <c r="AV762" s="196"/>
    </row>
    <row r="763" spans="1:48" ht="25.5" hidden="1" x14ac:dyDescent="0.2">
      <c r="A763" s="87">
        <f t="shared" si="79"/>
        <v>20740</v>
      </c>
      <c r="B763" s="79" t="s">
        <v>5108</v>
      </c>
      <c r="C763" s="79" t="s">
        <v>70</v>
      </c>
      <c r="D763" s="79"/>
      <c r="E763" s="65" t="s">
        <v>94</v>
      </c>
      <c r="F763" s="29">
        <v>28778</v>
      </c>
      <c r="G763" s="65" t="s">
        <v>161</v>
      </c>
      <c r="H763" s="194"/>
      <c r="I763" s="147" t="s">
        <v>5109</v>
      </c>
      <c r="J763" s="29">
        <v>38054</v>
      </c>
      <c r="K763" s="65" t="s">
        <v>52</v>
      </c>
      <c r="L763" s="65" t="s">
        <v>123</v>
      </c>
      <c r="M763" s="65" t="s">
        <v>5110</v>
      </c>
      <c r="N763" s="65" t="s">
        <v>5111</v>
      </c>
      <c r="P763" s="158" t="s">
        <v>5112</v>
      </c>
      <c r="Q763" s="123"/>
      <c r="R763" s="124" t="s">
        <v>5113</v>
      </c>
      <c r="S763" s="65" t="s">
        <v>5114</v>
      </c>
      <c r="T763" s="158" t="s">
        <v>5115</v>
      </c>
      <c r="U763" s="76" t="s">
        <v>5115</v>
      </c>
      <c r="V763" s="166" t="s">
        <v>5116</v>
      </c>
      <c r="W763" s="65" t="s">
        <v>4316</v>
      </c>
      <c r="X763" s="147" t="s">
        <v>5117</v>
      </c>
      <c r="Y763" s="65" t="s">
        <v>206</v>
      </c>
      <c r="Z763" s="54"/>
      <c r="AA763" s="54"/>
      <c r="AB763" s="54">
        <v>3</v>
      </c>
      <c r="AC763" s="158"/>
      <c r="AD763" s="65" t="s">
        <v>221</v>
      </c>
      <c r="AE763" s="27" t="s">
        <v>963</v>
      </c>
      <c r="AF763" s="65" t="s">
        <v>65</v>
      </c>
      <c r="AG763" s="29">
        <v>41641</v>
      </c>
      <c r="AH763" s="65">
        <f t="shared" si="83"/>
        <v>1</v>
      </c>
      <c r="AI763" s="65"/>
      <c r="AK763" s="65" t="str">
        <f t="shared" si="81"/>
        <v/>
      </c>
      <c r="AL763" s="65" t="s">
        <v>2322</v>
      </c>
      <c r="AM763" s="76"/>
      <c r="AN763" s="162"/>
      <c r="AO763" s="162"/>
      <c r="AP763" s="162"/>
      <c r="AQ763" s="71"/>
      <c r="AR763" s="23"/>
      <c r="AS763" s="76"/>
      <c r="AT763" s="71"/>
      <c r="AU763" s="65">
        <f t="shared" si="82"/>
        <v>10</v>
      </c>
      <c r="AV763" s="76"/>
    </row>
    <row r="764" spans="1:48" ht="28.5" hidden="1" x14ac:dyDescent="0.2">
      <c r="A764" s="87">
        <f t="shared" si="79"/>
        <v>20741</v>
      </c>
      <c r="B764" s="30" t="s">
        <v>5118</v>
      </c>
      <c r="C764" s="30" t="s">
        <v>256</v>
      </c>
      <c r="D764" s="79"/>
      <c r="E764" s="65" t="s">
        <v>94</v>
      </c>
      <c r="F764" s="29">
        <v>32841</v>
      </c>
      <c r="G764" s="65" t="s">
        <v>5119</v>
      </c>
      <c r="H764" s="65" t="s">
        <v>5120</v>
      </c>
      <c r="I764" s="147" t="s">
        <v>5121</v>
      </c>
      <c r="J764" s="29">
        <v>37862</v>
      </c>
      <c r="K764" s="65" t="s">
        <v>884</v>
      </c>
      <c r="L764" s="65" t="s">
        <v>123</v>
      </c>
      <c r="M764" s="65" t="s">
        <v>3571</v>
      </c>
      <c r="O764" s="65">
        <v>2011</v>
      </c>
      <c r="P764" s="158" t="s">
        <v>5122</v>
      </c>
      <c r="Q764" s="123"/>
      <c r="R764" s="124" t="s">
        <v>5123</v>
      </c>
      <c r="S764" s="65" t="s">
        <v>5124</v>
      </c>
      <c r="T764" s="76" t="s">
        <v>5125</v>
      </c>
      <c r="U764" s="71" t="s">
        <v>5126</v>
      </c>
      <c r="V764" s="65" t="s">
        <v>5127</v>
      </c>
      <c r="W764" s="65" t="s">
        <v>4316</v>
      </c>
      <c r="X764" s="147" t="s">
        <v>5128</v>
      </c>
      <c r="Y764" s="54" t="s">
        <v>865</v>
      </c>
      <c r="Z764" s="112"/>
      <c r="AA764" s="54"/>
      <c r="AB764" s="54">
        <v>1</v>
      </c>
      <c r="AC764" s="158"/>
      <c r="AD764" s="65" t="s">
        <v>866</v>
      </c>
      <c r="AE764" s="27" t="s">
        <v>867</v>
      </c>
      <c r="AF764" s="65" t="s">
        <v>231</v>
      </c>
      <c r="AG764" s="29">
        <v>41648</v>
      </c>
      <c r="AH764" s="65">
        <f t="shared" si="83"/>
        <v>1</v>
      </c>
      <c r="AI764" s="29">
        <v>41737</v>
      </c>
      <c r="AK764" s="65" t="str">
        <f t="shared" si="81"/>
        <v/>
      </c>
      <c r="AL764" s="65" t="s">
        <v>2322</v>
      </c>
      <c r="AM764" s="117"/>
      <c r="AN764" s="56"/>
      <c r="AO764" s="162"/>
      <c r="AP764" s="56"/>
      <c r="AQ764" s="71"/>
      <c r="AR764" s="23"/>
      <c r="AS764" s="76"/>
      <c r="AT764" s="71"/>
      <c r="AU764" s="65">
        <f t="shared" si="82"/>
        <v>11</v>
      </c>
      <c r="AV764" s="76"/>
    </row>
    <row r="765" spans="1:48" ht="25.5" hidden="1" x14ac:dyDescent="0.2">
      <c r="A765" s="87">
        <f t="shared" si="79"/>
        <v>20742</v>
      </c>
      <c r="B765" s="30" t="s">
        <v>1862</v>
      </c>
      <c r="C765" s="30" t="s">
        <v>685</v>
      </c>
      <c r="D765" s="79"/>
      <c r="E765" s="65" t="s">
        <v>94</v>
      </c>
      <c r="F765" s="29">
        <v>31997</v>
      </c>
      <c r="H765" s="184" t="s">
        <v>1045</v>
      </c>
      <c r="I765" s="147" t="s">
        <v>5129</v>
      </c>
      <c r="J765" s="29">
        <v>40263</v>
      </c>
      <c r="K765" s="65" t="s">
        <v>1105</v>
      </c>
      <c r="L765" s="65" t="s">
        <v>352</v>
      </c>
      <c r="M765" s="65" t="s">
        <v>5130</v>
      </c>
      <c r="N765" s="65" t="s">
        <v>5131</v>
      </c>
      <c r="O765" s="65">
        <v>2008</v>
      </c>
      <c r="P765" s="158" t="s">
        <v>5132</v>
      </c>
      <c r="Q765" s="123" t="s">
        <v>5133</v>
      </c>
      <c r="R765" s="123" t="s">
        <v>5133</v>
      </c>
      <c r="S765" s="65" t="s">
        <v>5134</v>
      </c>
      <c r="T765" s="76" t="s">
        <v>5135</v>
      </c>
      <c r="U765" s="71" t="s">
        <v>5136</v>
      </c>
      <c r="V765" s="65" t="s">
        <v>5137</v>
      </c>
      <c r="W765" s="65" t="s">
        <v>160</v>
      </c>
      <c r="X765" s="147" t="s">
        <v>5138</v>
      </c>
      <c r="Y765" s="54" t="s">
        <v>865</v>
      </c>
      <c r="Z765" s="72"/>
      <c r="AA765" s="54"/>
      <c r="AB765" s="54">
        <v>1</v>
      </c>
      <c r="AC765" s="158"/>
      <c r="AD765" s="65" t="s">
        <v>866</v>
      </c>
      <c r="AE765" s="27" t="s">
        <v>867</v>
      </c>
      <c r="AF765" s="65" t="s">
        <v>231</v>
      </c>
      <c r="AG765" s="29">
        <v>41648</v>
      </c>
      <c r="AH765" s="65">
        <f t="shared" si="83"/>
        <v>1</v>
      </c>
      <c r="AI765" s="29">
        <v>41737</v>
      </c>
      <c r="AK765" s="65" t="str">
        <f t="shared" si="81"/>
        <v/>
      </c>
      <c r="AL765" s="65" t="s">
        <v>2322</v>
      </c>
      <c r="AM765" s="138"/>
      <c r="AN765" s="138"/>
      <c r="AO765" s="158"/>
      <c r="AP765" s="136" t="str">
        <f t="shared" ref="AP765:AP772" si="84">IF((AO765=""),"",MONTH(AO765))</f>
        <v/>
      </c>
      <c r="AQ765" s="158"/>
      <c r="AR765" s="23"/>
      <c r="AS765" s="76"/>
      <c r="AT765" s="71"/>
      <c r="AU765" s="65">
        <f t="shared" si="82"/>
        <v>8</v>
      </c>
      <c r="AV765" s="76"/>
    </row>
    <row r="766" spans="1:48" ht="25.5" hidden="1" x14ac:dyDescent="0.2">
      <c r="A766" s="87">
        <f t="shared" si="79"/>
        <v>20743</v>
      </c>
      <c r="B766" s="30" t="s">
        <v>5139</v>
      </c>
      <c r="C766" s="30" t="s">
        <v>93</v>
      </c>
      <c r="D766" s="79"/>
      <c r="E766" s="65" t="s">
        <v>94</v>
      </c>
      <c r="F766" s="29">
        <v>33125</v>
      </c>
      <c r="H766" s="158" t="s">
        <v>365</v>
      </c>
      <c r="I766" s="147" t="s">
        <v>5140</v>
      </c>
      <c r="J766" s="29">
        <v>39231</v>
      </c>
      <c r="K766" s="65" t="s">
        <v>1105</v>
      </c>
      <c r="L766" s="65" t="s">
        <v>341</v>
      </c>
      <c r="M766" s="65" t="s">
        <v>2619</v>
      </c>
      <c r="N766" s="65" t="s">
        <v>5141</v>
      </c>
      <c r="O766" s="65">
        <v>2011</v>
      </c>
      <c r="P766" s="158" t="s">
        <v>5142</v>
      </c>
      <c r="Q766" s="123"/>
      <c r="R766" s="124" t="s">
        <v>5143</v>
      </c>
      <c r="S766" s="65" t="s">
        <v>5144</v>
      </c>
      <c r="T766" s="158" t="s">
        <v>5145</v>
      </c>
      <c r="U766" s="76" t="s">
        <v>5145</v>
      </c>
      <c r="V766" s="166" t="s">
        <v>5146</v>
      </c>
      <c r="W766" s="65" t="s">
        <v>283</v>
      </c>
      <c r="X766" s="147" t="s">
        <v>5147</v>
      </c>
      <c r="Y766" s="54" t="s">
        <v>865</v>
      </c>
      <c r="Z766" s="165"/>
      <c r="AA766" s="54"/>
      <c r="AB766" s="54">
        <v>1</v>
      </c>
      <c r="AC766" s="158"/>
      <c r="AD766" s="65" t="s">
        <v>866</v>
      </c>
      <c r="AE766" s="27" t="s">
        <v>867</v>
      </c>
      <c r="AF766" s="65" t="s">
        <v>231</v>
      </c>
      <c r="AG766" s="29">
        <v>41648</v>
      </c>
      <c r="AH766" s="65">
        <f t="shared" si="83"/>
        <v>1</v>
      </c>
      <c r="AI766" s="29">
        <v>41737</v>
      </c>
      <c r="AK766" s="65" t="str">
        <f t="shared" si="81"/>
        <v/>
      </c>
      <c r="AL766" s="65" t="s">
        <v>2322</v>
      </c>
      <c r="AM766" s="138"/>
      <c r="AN766" s="138"/>
      <c r="AO766" s="158"/>
      <c r="AP766" s="136" t="str">
        <f t="shared" si="84"/>
        <v/>
      </c>
      <c r="AQ766" s="158"/>
      <c r="AR766" s="23"/>
      <c r="AS766" s="76"/>
      <c r="AT766" s="71"/>
      <c r="AU766" s="65">
        <f t="shared" si="82"/>
        <v>9</v>
      </c>
      <c r="AV766" s="76"/>
    </row>
    <row r="767" spans="1:48" ht="12.75" hidden="1" x14ac:dyDescent="0.2">
      <c r="A767" s="87">
        <f t="shared" si="79"/>
        <v>20744</v>
      </c>
      <c r="B767" s="79" t="s">
        <v>5148</v>
      </c>
      <c r="C767" s="79" t="s">
        <v>1428</v>
      </c>
      <c r="D767" s="79"/>
      <c r="E767" s="65" t="s">
        <v>94</v>
      </c>
      <c r="F767" s="29">
        <v>33685</v>
      </c>
      <c r="G767" s="65" t="s">
        <v>52</v>
      </c>
      <c r="H767" s="158" t="s">
        <v>52</v>
      </c>
      <c r="I767" s="147" t="s">
        <v>5149</v>
      </c>
      <c r="J767" s="29">
        <v>40189</v>
      </c>
      <c r="K767" s="65" t="s">
        <v>52</v>
      </c>
      <c r="L767" s="65" t="s">
        <v>341</v>
      </c>
      <c r="M767" s="65" t="s">
        <v>5150</v>
      </c>
      <c r="N767" s="65" t="s">
        <v>3403</v>
      </c>
      <c r="O767" s="65">
        <v>2013</v>
      </c>
      <c r="P767" s="158" t="s">
        <v>5151</v>
      </c>
      <c r="Q767" s="123"/>
      <c r="R767" s="124" t="s">
        <v>5152</v>
      </c>
      <c r="S767" s="65" t="s">
        <v>5153</v>
      </c>
      <c r="T767" s="76" t="s">
        <v>5154</v>
      </c>
      <c r="U767" s="71" t="s">
        <v>5155</v>
      </c>
      <c r="V767" s="65" t="s">
        <v>5156</v>
      </c>
      <c r="W767" s="65" t="s">
        <v>283</v>
      </c>
      <c r="X767" s="147"/>
      <c r="Y767" s="65" t="s">
        <v>312</v>
      </c>
      <c r="Z767" s="54"/>
      <c r="AA767" s="54"/>
      <c r="AB767" s="54">
        <v>1</v>
      </c>
      <c r="AC767" s="158"/>
      <c r="AD767" s="65" t="s">
        <v>198</v>
      </c>
      <c r="AF767" s="65" t="s">
        <v>65</v>
      </c>
      <c r="AG767" s="29">
        <v>41648</v>
      </c>
      <c r="AH767" s="65">
        <f t="shared" si="83"/>
        <v>1</v>
      </c>
      <c r="AI767" s="29">
        <v>41678</v>
      </c>
      <c r="AK767" s="65" t="str">
        <f t="shared" si="81"/>
        <v/>
      </c>
      <c r="AL767" s="65" t="s">
        <v>2322</v>
      </c>
      <c r="AM767" s="138"/>
      <c r="AN767" s="138"/>
      <c r="AO767" s="158"/>
      <c r="AP767" s="136" t="str">
        <f t="shared" si="84"/>
        <v/>
      </c>
      <c r="AQ767" s="158"/>
      <c r="AR767" s="23"/>
      <c r="AS767" s="76"/>
      <c r="AT767" s="71"/>
      <c r="AU767" s="65">
        <f t="shared" si="82"/>
        <v>3</v>
      </c>
      <c r="AV767" s="76"/>
    </row>
    <row r="768" spans="1:48" ht="12.75" hidden="1" x14ac:dyDescent="0.2">
      <c r="A768" s="87">
        <f t="shared" si="79"/>
        <v>20745</v>
      </c>
      <c r="B768" s="79" t="s">
        <v>5157</v>
      </c>
      <c r="C768" s="79" t="s">
        <v>238</v>
      </c>
      <c r="D768" s="79"/>
      <c r="E768" s="65" t="s">
        <v>94</v>
      </c>
      <c r="F768" s="29">
        <v>33937</v>
      </c>
      <c r="G768" s="65" t="s">
        <v>52</v>
      </c>
      <c r="H768" s="158" t="s">
        <v>52</v>
      </c>
      <c r="I768" s="147" t="s">
        <v>5158</v>
      </c>
      <c r="J768" s="29">
        <v>40172</v>
      </c>
      <c r="K768" s="65" t="s">
        <v>52</v>
      </c>
      <c r="L768" s="65" t="s">
        <v>123</v>
      </c>
      <c r="M768" s="65" t="s">
        <v>3342</v>
      </c>
      <c r="N768" s="65" t="s">
        <v>368</v>
      </c>
      <c r="P768" s="158" t="s">
        <v>5159</v>
      </c>
      <c r="Q768" s="123" t="s">
        <v>5160</v>
      </c>
      <c r="R768" s="124" t="s">
        <v>5161</v>
      </c>
      <c r="S768" s="65" t="s">
        <v>5162</v>
      </c>
      <c r="T768" s="158" t="s">
        <v>5163</v>
      </c>
      <c r="U768" s="76" t="s">
        <v>5163</v>
      </c>
      <c r="V768" s="166" t="s">
        <v>5164</v>
      </c>
      <c r="W768" s="65" t="s">
        <v>283</v>
      </c>
      <c r="X768" s="147" t="s">
        <v>5165</v>
      </c>
      <c r="Y768" s="65" t="s">
        <v>312</v>
      </c>
      <c r="Z768" s="54"/>
      <c r="AA768" s="54"/>
      <c r="AB768" s="54">
        <v>1</v>
      </c>
      <c r="AC768" s="158"/>
      <c r="AD768" s="65" t="s">
        <v>375</v>
      </c>
      <c r="AE768" s="27" t="s">
        <v>475</v>
      </c>
      <c r="AF768" s="65" t="s">
        <v>65</v>
      </c>
      <c r="AG768" s="29">
        <v>41652</v>
      </c>
      <c r="AH768" s="65">
        <f t="shared" si="83"/>
        <v>1</v>
      </c>
      <c r="AI768" s="65"/>
      <c r="AK768" s="65" t="str">
        <f t="shared" si="81"/>
        <v/>
      </c>
      <c r="AL768" s="65" t="s">
        <v>2322</v>
      </c>
      <c r="AM768" s="138"/>
      <c r="AN768" s="138"/>
      <c r="AO768" s="158"/>
      <c r="AP768" s="136" t="str">
        <f t="shared" si="84"/>
        <v/>
      </c>
      <c r="AQ768" s="158"/>
      <c r="AR768" s="23"/>
      <c r="AS768" s="76"/>
      <c r="AT768" s="71"/>
      <c r="AU768" s="65">
        <f t="shared" si="82"/>
        <v>11</v>
      </c>
      <c r="AV768" s="76"/>
    </row>
    <row r="769" spans="1:48" ht="12.75" hidden="1" x14ac:dyDescent="0.2">
      <c r="A769" s="87">
        <f t="shared" si="79"/>
        <v>20746</v>
      </c>
      <c r="B769" s="79" t="s">
        <v>4234</v>
      </c>
      <c r="C769" s="79" t="s">
        <v>5166</v>
      </c>
      <c r="D769" s="79" t="s">
        <v>5167</v>
      </c>
      <c r="E769" s="65" t="s">
        <v>94</v>
      </c>
      <c r="F769" s="29">
        <v>33099</v>
      </c>
      <c r="G769" s="65" t="s">
        <v>120</v>
      </c>
      <c r="H769" s="158" t="s">
        <v>120</v>
      </c>
      <c r="I769" s="147" t="s">
        <v>5168</v>
      </c>
      <c r="J769" s="29">
        <v>38573</v>
      </c>
      <c r="K769" s="65" t="s">
        <v>120</v>
      </c>
      <c r="L769" s="65" t="s">
        <v>123</v>
      </c>
      <c r="M769" s="65" t="s">
        <v>5169</v>
      </c>
      <c r="N769" s="65" t="s">
        <v>2960</v>
      </c>
      <c r="O769" s="65">
        <v>2012</v>
      </c>
      <c r="P769" s="194" t="s">
        <v>5170</v>
      </c>
      <c r="Q769" s="123"/>
      <c r="R769" s="124" t="s">
        <v>5171</v>
      </c>
      <c r="S769" s="65" t="s">
        <v>5172</v>
      </c>
      <c r="T769" s="76" t="s">
        <v>5173</v>
      </c>
      <c r="U769" s="71" t="s">
        <v>5174</v>
      </c>
      <c r="V769" s="65" t="s">
        <v>5175</v>
      </c>
      <c r="W769" s="65" t="s">
        <v>5176</v>
      </c>
      <c r="X769" s="147"/>
      <c r="Y769" s="65" t="s">
        <v>312</v>
      </c>
      <c r="Z769" s="54"/>
      <c r="AA769" s="54"/>
      <c r="AB769" s="54">
        <v>1</v>
      </c>
      <c r="AC769" s="158"/>
      <c r="AD769" s="65" t="s">
        <v>5177</v>
      </c>
      <c r="AE769" s="27" t="s">
        <v>5178</v>
      </c>
      <c r="AF769" s="65" t="s">
        <v>65</v>
      </c>
      <c r="AG769" s="29">
        <v>41640</v>
      </c>
      <c r="AH769" s="65">
        <f t="shared" si="83"/>
        <v>1</v>
      </c>
      <c r="AI769" s="65"/>
      <c r="AK769" s="65" t="str">
        <f t="shared" si="81"/>
        <v/>
      </c>
      <c r="AL769" s="65" t="s">
        <v>2322</v>
      </c>
      <c r="AM769" s="138"/>
      <c r="AN769" s="138"/>
      <c r="AO769" s="158"/>
      <c r="AP769" s="136" t="str">
        <f t="shared" si="84"/>
        <v/>
      </c>
      <c r="AQ769" s="158"/>
      <c r="AR769" s="23"/>
      <c r="AS769" s="76"/>
      <c r="AT769" s="71"/>
      <c r="AU769" s="65">
        <f t="shared" si="82"/>
        <v>8</v>
      </c>
      <c r="AV769" s="76"/>
    </row>
    <row r="770" spans="1:48" ht="25.5" hidden="1" x14ac:dyDescent="0.2">
      <c r="A770" s="87">
        <f t="shared" si="79"/>
        <v>20747</v>
      </c>
      <c r="B770" s="79" t="s">
        <v>4347</v>
      </c>
      <c r="C770" s="79" t="s">
        <v>238</v>
      </c>
      <c r="D770" s="79" t="s">
        <v>5179</v>
      </c>
      <c r="E770" s="65" t="s">
        <v>94</v>
      </c>
      <c r="F770" s="29">
        <v>33181</v>
      </c>
      <c r="H770" s="158"/>
      <c r="I770" s="147" t="s">
        <v>5180</v>
      </c>
      <c r="J770" s="29">
        <v>38524</v>
      </c>
      <c r="K770" s="65" t="s">
        <v>161</v>
      </c>
      <c r="L770" s="65" t="s">
        <v>123</v>
      </c>
      <c r="M770" s="65" t="s">
        <v>5181</v>
      </c>
      <c r="N770" s="65" t="s">
        <v>5182</v>
      </c>
      <c r="P770" s="82" t="s">
        <v>5183</v>
      </c>
      <c r="Q770" s="123"/>
      <c r="R770" s="124" t="s">
        <v>5184</v>
      </c>
      <c r="S770" s="46" t="s">
        <v>5185</v>
      </c>
      <c r="T770" s="76"/>
      <c r="U770" s="71" t="s">
        <v>5186</v>
      </c>
      <c r="V770" s="65" t="s">
        <v>5187</v>
      </c>
      <c r="W770" s="65" t="s">
        <v>745</v>
      </c>
      <c r="X770" s="147" t="s">
        <v>5188</v>
      </c>
      <c r="Y770" s="65" t="s">
        <v>312</v>
      </c>
      <c r="Z770" s="54"/>
      <c r="AA770" s="54"/>
      <c r="AB770" s="54">
        <v>1</v>
      </c>
      <c r="AC770" s="158"/>
      <c r="AD770" s="65" t="s">
        <v>158</v>
      </c>
      <c r="AF770" s="65" t="s">
        <v>65</v>
      </c>
      <c r="AG770" s="29">
        <v>41648</v>
      </c>
      <c r="AH770" s="65">
        <f t="shared" si="83"/>
        <v>1</v>
      </c>
      <c r="AI770" s="65"/>
      <c r="AK770" s="65" t="str">
        <f t="shared" si="81"/>
        <v/>
      </c>
      <c r="AL770" s="65" t="s">
        <v>2322</v>
      </c>
      <c r="AM770" s="138"/>
      <c r="AN770" s="138"/>
      <c r="AO770" s="158"/>
      <c r="AP770" s="136" t="str">
        <f t="shared" si="84"/>
        <v/>
      </c>
      <c r="AQ770" s="158"/>
      <c r="AR770" s="23"/>
      <c r="AS770" s="76"/>
      <c r="AT770" s="71"/>
      <c r="AU770" s="65">
        <f t="shared" si="82"/>
        <v>11</v>
      </c>
      <c r="AV770" s="76"/>
    </row>
    <row r="771" spans="1:48" ht="12.75" hidden="1" x14ac:dyDescent="0.2">
      <c r="A771" s="87">
        <f t="shared" si="79"/>
        <v>20748</v>
      </c>
      <c r="B771" s="79" t="s">
        <v>2792</v>
      </c>
      <c r="C771" s="79" t="s">
        <v>2082</v>
      </c>
      <c r="D771" s="79" t="s">
        <v>5189</v>
      </c>
      <c r="E771" s="65" t="s">
        <v>51</v>
      </c>
      <c r="F771" s="29">
        <v>33348</v>
      </c>
      <c r="H771" s="158"/>
      <c r="I771" s="147" t="s">
        <v>5190</v>
      </c>
      <c r="J771" s="29">
        <v>39810</v>
      </c>
      <c r="K771" s="65" t="s">
        <v>365</v>
      </c>
      <c r="L771" s="65" t="s">
        <v>123</v>
      </c>
      <c r="P771" s="82" t="s">
        <v>5191</v>
      </c>
      <c r="Q771" s="123"/>
      <c r="R771" s="124" t="s">
        <v>5192</v>
      </c>
      <c r="S771" s="76" t="s">
        <v>5193</v>
      </c>
      <c r="T771" t="s">
        <v>5194</v>
      </c>
      <c r="U771" s="71" t="s">
        <v>5195</v>
      </c>
      <c r="V771" s="65" t="s">
        <v>5196</v>
      </c>
      <c r="W771" s="65" t="s">
        <v>283</v>
      </c>
      <c r="X771" s="147" t="s">
        <v>5197</v>
      </c>
      <c r="Y771" s="65" t="s">
        <v>312</v>
      </c>
      <c r="Z771" s="54"/>
      <c r="AA771" s="54"/>
      <c r="AB771" s="54">
        <v>1</v>
      </c>
      <c r="AC771" s="158"/>
      <c r="AD771" s="65" t="s">
        <v>158</v>
      </c>
      <c r="AF771" s="65" t="s">
        <v>65</v>
      </c>
      <c r="AG771" s="29">
        <v>41641</v>
      </c>
      <c r="AH771" s="65">
        <f t="shared" si="83"/>
        <v>1</v>
      </c>
      <c r="AI771" s="65"/>
      <c r="AK771" s="65" t="str">
        <f t="shared" si="81"/>
        <v/>
      </c>
      <c r="AL771" s="65" t="s">
        <v>2322</v>
      </c>
      <c r="AM771" s="138"/>
      <c r="AN771" s="138"/>
      <c r="AO771" s="158"/>
      <c r="AP771" s="136" t="str">
        <f t="shared" si="84"/>
        <v/>
      </c>
      <c r="AQ771" s="158"/>
      <c r="AR771" s="23"/>
      <c r="AS771" s="76"/>
      <c r="AT771" s="71"/>
      <c r="AU771" s="65">
        <f t="shared" si="82"/>
        <v>4</v>
      </c>
      <c r="AV771" s="76"/>
    </row>
    <row r="772" spans="1:48" ht="12.75" hidden="1" x14ac:dyDescent="0.2">
      <c r="A772" s="87">
        <f t="shared" si="79"/>
        <v>20749</v>
      </c>
      <c r="B772" s="79" t="s">
        <v>5198</v>
      </c>
      <c r="C772" s="79" t="s">
        <v>5199</v>
      </c>
      <c r="D772" s="79" t="s">
        <v>5200</v>
      </c>
      <c r="E772" s="65" t="s">
        <v>51</v>
      </c>
      <c r="F772" s="29">
        <v>31964</v>
      </c>
      <c r="H772" s="158"/>
      <c r="I772" s="147" t="s">
        <v>5201</v>
      </c>
      <c r="J772" s="29">
        <v>41517</v>
      </c>
      <c r="K772" s="65" t="s">
        <v>365</v>
      </c>
      <c r="L772" s="65" t="s">
        <v>123</v>
      </c>
      <c r="M772" s="65" t="s">
        <v>5202</v>
      </c>
      <c r="N772" s="65" t="s">
        <v>2126</v>
      </c>
      <c r="P772" s="82" t="s">
        <v>5203</v>
      </c>
      <c r="Q772" s="123"/>
      <c r="R772" s="124" t="s">
        <v>5204</v>
      </c>
      <c r="S772" s="66" t="s">
        <v>5205</v>
      </c>
      <c r="T772" s="76" t="s">
        <v>5206</v>
      </c>
      <c r="U772" s="71" t="s">
        <v>5207</v>
      </c>
      <c r="X772" s="147"/>
      <c r="Y772" s="65" t="s">
        <v>374</v>
      </c>
      <c r="Z772" s="54"/>
      <c r="AA772" s="54"/>
      <c r="AB772" s="54">
        <v>3</v>
      </c>
      <c r="AC772" s="158"/>
      <c r="AD772" s="65" t="s">
        <v>158</v>
      </c>
      <c r="AF772" s="65" t="s">
        <v>65</v>
      </c>
      <c r="AG772" s="29">
        <v>41641</v>
      </c>
      <c r="AH772" s="65">
        <f t="shared" si="83"/>
        <v>1</v>
      </c>
      <c r="AI772" s="65"/>
      <c r="AK772" s="65" t="str">
        <f t="shared" ref="AK772:AK800" si="85">IF((AJ772=""),"",MONTH(AJ772))</f>
        <v/>
      </c>
      <c r="AL772" s="65" t="s">
        <v>2322</v>
      </c>
      <c r="AM772" s="138"/>
      <c r="AN772" s="138"/>
      <c r="AO772" s="158"/>
      <c r="AP772" s="136" t="str">
        <f t="shared" si="84"/>
        <v/>
      </c>
      <c r="AQ772" s="158"/>
      <c r="AR772" s="23"/>
      <c r="AS772" s="76"/>
      <c r="AT772" s="71"/>
      <c r="AU772" s="65">
        <f t="shared" si="82"/>
        <v>7</v>
      </c>
      <c r="AV772" s="76"/>
    </row>
    <row r="773" spans="1:48" ht="12.75" hidden="1" x14ac:dyDescent="0.2">
      <c r="A773" s="87">
        <f t="shared" si="79"/>
        <v>20750</v>
      </c>
      <c r="B773" s="79" t="s">
        <v>5208</v>
      </c>
      <c r="C773" s="79" t="s">
        <v>5209</v>
      </c>
      <c r="D773" s="79" t="s">
        <v>5210</v>
      </c>
      <c r="E773" s="65" t="s">
        <v>51</v>
      </c>
      <c r="H773" s="158"/>
      <c r="I773" s="147"/>
      <c r="P773" s="82" t="s">
        <v>5211</v>
      </c>
      <c r="Q773" s="123"/>
      <c r="R773" s="124"/>
      <c r="T773" s="76"/>
      <c r="U773" s="71"/>
      <c r="X773" s="147"/>
      <c r="Y773" s="65" t="s">
        <v>206</v>
      </c>
      <c r="Z773" s="54"/>
      <c r="AA773" s="54"/>
      <c r="AB773" s="54">
        <v>3</v>
      </c>
      <c r="AC773" s="158"/>
      <c r="AD773" s="65" t="s">
        <v>158</v>
      </c>
      <c r="AF773" s="65" t="s">
        <v>65</v>
      </c>
      <c r="AG773" s="29">
        <v>41641</v>
      </c>
      <c r="AH773" s="65">
        <f t="shared" si="83"/>
        <v>1</v>
      </c>
      <c r="AI773" s="65"/>
      <c r="AK773" s="65" t="str">
        <f t="shared" si="85"/>
        <v/>
      </c>
      <c r="AL773" s="65" t="s">
        <v>2322</v>
      </c>
      <c r="AM773" s="138"/>
      <c r="AN773" s="138"/>
      <c r="AO773" s="158"/>
      <c r="AP773" s="136"/>
      <c r="AQ773" s="158"/>
      <c r="AR773" s="23"/>
      <c r="AS773" s="76"/>
      <c r="AT773" s="71"/>
      <c r="AU773" s="65" t="str">
        <f t="shared" si="82"/>
        <v/>
      </c>
      <c r="AV773" s="76"/>
    </row>
    <row r="774" spans="1:48" ht="12.75" hidden="1" x14ac:dyDescent="0.2">
      <c r="A774" s="87">
        <f t="shared" si="79"/>
        <v>20751</v>
      </c>
      <c r="B774" s="79" t="s">
        <v>5212</v>
      </c>
      <c r="C774" s="79" t="s">
        <v>5213</v>
      </c>
      <c r="D774" s="79" t="s">
        <v>5214</v>
      </c>
      <c r="E774" s="65" t="s">
        <v>51</v>
      </c>
      <c r="F774" s="29">
        <v>33275</v>
      </c>
      <c r="H774" s="158"/>
      <c r="I774" s="147" t="s">
        <v>5215</v>
      </c>
      <c r="K774" s="65" t="s">
        <v>52</v>
      </c>
      <c r="L774" s="65" t="s">
        <v>341</v>
      </c>
      <c r="M774" s="65" t="s">
        <v>5216</v>
      </c>
      <c r="N774" s="65" t="s">
        <v>5217</v>
      </c>
      <c r="P774" s="82" t="s">
        <v>5218</v>
      </c>
      <c r="Q774" s="123"/>
      <c r="R774" s="124" t="s">
        <v>5219</v>
      </c>
      <c r="S774" s="65" t="s">
        <v>5220</v>
      </c>
      <c r="T774" s="158" t="s">
        <v>5221</v>
      </c>
      <c r="U774" s="76" t="s">
        <v>5221</v>
      </c>
      <c r="V774" s="166" t="s">
        <v>4654</v>
      </c>
      <c r="W774" s="65" t="s">
        <v>745</v>
      </c>
      <c r="X774" s="147" t="s">
        <v>5222</v>
      </c>
      <c r="Y774" s="65" t="s">
        <v>312</v>
      </c>
      <c r="Z774" s="54"/>
      <c r="AA774" s="54"/>
      <c r="AB774" s="54">
        <v>1</v>
      </c>
      <c r="AC774" s="158"/>
      <c r="AD774" s="65" t="s">
        <v>158</v>
      </c>
      <c r="AF774" s="65" t="s">
        <v>65</v>
      </c>
      <c r="AG774" s="29">
        <v>41647</v>
      </c>
      <c r="AH774" s="65">
        <f t="shared" si="83"/>
        <v>1</v>
      </c>
      <c r="AI774" s="65"/>
      <c r="AK774" s="65" t="str">
        <f t="shared" si="85"/>
        <v/>
      </c>
      <c r="AL774" s="65" t="s">
        <v>2322</v>
      </c>
      <c r="AM774" s="138"/>
      <c r="AN774" s="138"/>
      <c r="AO774" s="158"/>
      <c r="AP774" s="136" t="str">
        <f t="shared" ref="AP774:AP781" si="86">IF((AO774=""),"",MONTH(AO774))</f>
        <v/>
      </c>
      <c r="AQ774" s="158"/>
      <c r="AR774" s="23"/>
      <c r="AS774" s="76"/>
      <c r="AT774" s="71"/>
      <c r="AU774" s="65">
        <f t="shared" si="82"/>
        <v>2</v>
      </c>
      <c r="AV774" s="76"/>
    </row>
    <row r="775" spans="1:48" ht="12.75" hidden="1" x14ac:dyDescent="0.2">
      <c r="A775" s="87">
        <f t="shared" si="79"/>
        <v>20752</v>
      </c>
      <c r="B775" s="79" t="s">
        <v>5223</v>
      </c>
      <c r="C775" s="79" t="s">
        <v>4022</v>
      </c>
      <c r="D775" s="79" t="s">
        <v>5224</v>
      </c>
      <c r="E775" s="65" t="s">
        <v>51</v>
      </c>
      <c r="F775" s="29">
        <v>33013</v>
      </c>
      <c r="H775" s="158"/>
      <c r="I775" s="147" t="s">
        <v>5225</v>
      </c>
      <c r="J775" s="29">
        <v>38074</v>
      </c>
      <c r="K775" s="65" t="s">
        <v>52</v>
      </c>
      <c r="L775" s="65" t="s">
        <v>123</v>
      </c>
      <c r="M775" s="65" t="s">
        <v>5226</v>
      </c>
      <c r="N775" s="65" t="s">
        <v>2126</v>
      </c>
      <c r="P775" s="82" t="s">
        <v>5227</v>
      </c>
      <c r="Q775" s="123"/>
      <c r="R775" s="124" t="s">
        <v>5228</v>
      </c>
      <c r="T775" s="158" t="s">
        <v>5229</v>
      </c>
      <c r="U775" s="76" t="s">
        <v>5229</v>
      </c>
      <c r="V775" s="166" t="s">
        <v>5230</v>
      </c>
      <c r="W775" s="65" t="s">
        <v>745</v>
      </c>
      <c r="X775" s="147" t="s">
        <v>5231</v>
      </c>
      <c r="Y775" s="65" t="s">
        <v>312</v>
      </c>
      <c r="Z775" s="54"/>
      <c r="AA775" s="54"/>
      <c r="AB775" s="54">
        <v>1</v>
      </c>
      <c r="AC775" s="158"/>
      <c r="AD775" s="65" t="s">
        <v>158</v>
      </c>
      <c r="AF775" s="65" t="s">
        <v>65</v>
      </c>
      <c r="AG775" s="29">
        <v>41641</v>
      </c>
      <c r="AH775" s="65">
        <f t="shared" si="83"/>
        <v>1</v>
      </c>
      <c r="AI775" s="65"/>
      <c r="AK775" s="65" t="str">
        <f t="shared" si="85"/>
        <v/>
      </c>
      <c r="AL775" s="65" t="s">
        <v>2322</v>
      </c>
      <c r="AM775" s="138"/>
      <c r="AN775" s="138"/>
      <c r="AO775" s="158"/>
      <c r="AP775" s="136" t="str">
        <f t="shared" si="86"/>
        <v/>
      </c>
      <c r="AQ775" s="158"/>
      <c r="AR775" s="23"/>
      <c r="AS775" s="76"/>
      <c r="AT775" s="71"/>
      <c r="AU775" s="65">
        <f t="shared" si="82"/>
        <v>5</v>
      </c>
      <c r="AV775" s="76"/>
    </row>
    <row r="776" spans="1:48" ht="12.75" hidden="1" x14ac:dyDescent="0.2">
      <c r="A776" s="87">
        <f t="shared" si="79"/>
        <v>20753</v>
      </c>
      <c r="B776" s="79" t="s">
        <v>5232</v>
      </c>
      <c r="C776" s="79" t="s">
        <v>685</v>
      </c>
      <c r="D776" s="79" t="s">
        <v>5233</v>
      </c>
      <c r="E776" s="65" t="s">
        <v>94</v>
      </c>
      <c r="F776" s="29">
        <v>33243</v>
      </c>
      <c r="H776" s="158"/>
      <c r="I776" s="147" t="s">
        <v>5234</v>
      </c>
      <c r="J776" s="29">
        <v>38449</v>
      </c>
      <c r="K776" s="65" t="s">
        <v>52</v>
      </c>
      <c r="L776" s="65" t="s">
        <v>123</v>
      </c>
      <c r="M776" s="65" t="s">
        <v>3855</v>
      </c>
      <c r="N776" s="65" t="s">
        <v>458</v>
      </c>
      <c r="P776" s="82" t="s">
        <v>5235</v>
      </c>
      <c r="Q776" s="123"/>
      <c r="R776" s="124" t="s">
        <v>5236</v>
      </c>
      <c r="S776" s="65" t="s">
        <v>5237</v>
      </c>
      <c r="T776" s="76" t="s">
        <v>5238</v>
      </c>
      <c r="U776" s="71" t="s">
        <v>5239</v>
      </c>
      <c r="V776" s="65" t="s">
        <v>5240</v>
      </c>
      <c r="W776" s="65" t="s">
        <v>4626</v>
      </c>
      <c r="X776" s="147" t="s">
        <v>5241</v>
      </c>
      <c r="Y776" s="65" t="s">
        <v>312</v>
      </c>
      <c r="Z776" s="54"/>
      <c r="AA776" s="54"/>
      <c r="AB776" s="54">
        <v>1</v>
      </c>
      <c r="AC776" s="158"/>
      <c r="AD776" s="65" t="s">
        <v>5242</v>
      </c>
      <c r="AF776" s="65" t="s">
        <v>65</v>
      </c>
      <c r="AG776" s="29">
        <v>41648</v>
      </c>
      <c r="AH776" s="65">
        <f t="shared" si="83"/>
        <v>1</v>
      </c>
      <c r="AI776" s="65"/>
      <c r="AJ776" s="29">
        <v>41679</v>
      </c>
      <c r="AK776" s="65">
        <f t="shared" si="85"/>
        <v>2</v>
      </c>
      <c r="AL776" s="65" t="s">
        <v>66</v>
      </c>
      <c r="AM776" s="138"/>
      <c r="AN776" s="138"/>
      <c r="AO776" s="158"/>
      <c r="AP776" s="136" t="str">
        <f t="shared" si="86"/>
        <v/>
      </c>
      <c r="AQ776" s="158"/>
      <c r="AR776" s="23"/>
      <c r="AS776" s="76"/>
      <c r="AT776" s="71"/>
      <c r="AU776" s="65">
        <f t="shared" si="82"/>
        <v>1</v>
      </c>
      <c r="AV776" s="76"/>
    </row>
    <row r="777" spans="1:48" ht="25.5" hidden="1" x14ac:dyDescent="0.2">
      <c r="A777" s="87">
        <f t="shared" si="79"/>
        <v>20754</v>
      </c>
      <c r="B777" s="79" t="s">
        <v>5243</v>
      </c>
      <c r="C777" s="79" t="s">
        <v>685</v>
      </c>
      <c r="D777" s="79" t="s">
        <v>5244</v>
      </c>
      <c r="E777" s="65" t="s">
        <v>94</v>
      </c>
      <c r="F777" s="29">
        <v>33479</v>
      </c>
      <c r="G777" s="65" t="s">
        <v>5245</v>
      </c>
      <c r="H777" s="158" t="s">
        <v>5245</v>
      </c>
      <c r="I777" s="147" t="s">
        <v>5246</v>
      </c>
      <c r="J777" s="29">
        <v>40886</v>
      </c>
      <c r="K777" s="65" t="s">
        <v>5245</v>
      </c>
      <c r="L777" s="65" t="s">
        <v>123</v>
      </c>
      <c r="M777" s="65" t="s">
        <v>4528</v>
      </c>
      <c r="N777" s="65" t="s">
        <v>2456</v>
      </c>
      <c r="P777" s="82" t="s">
        <v>5247</v>
      </c>
      <c r="Q777" s="123" t="s">
        <v>5248</v>
      </c>
      <c r="R777" s="124" t="s">
        <v>5249</v>
      </c>
      <c r="S777" s="65" t="s">
        <v>5250</v>
      </c>
      <c r="T777" s="76" t="s">
        <v>5251</v>
      </c>
      <c r="U777" s="71" t="s">
        <v>5252</v>
      </c>
      <c r="V777" s="65" t="s">
        <v>5253</v>
      </c>
      <c r="W777" s="65" t="s">
        <v>745</v>
      </c>
      <c r="X777" s="147" t="s">
        <v>5254</v>
      </c>
      <c r="Y777" s="65" t="s">
        <v>312</v>
      </c>
      <c r="Z777" s="54"/>
      <c r="AA777" s="54"/>
      <c r="AB777" s="54">
        <v>1</v>
      </c>
      <c r="AC777" s="158"/>
      <c r="AD777" s="65" t="s">
        <v>5242</v>
      </c>
      <c r="AF777" s="65" t="s">
        <v>65</v>
      </c>
      <c r="AG777" s="29">
        <v>41648</v>
      </c>
      <c r="AH777" s="65">
        <f t="shared" si="83"/>
        <v>1</v>
      </c>
      <c r="AI777" s="65"/>
      <c r="AJ777" s="29">
        <v>41679</v>
      </c>
      <c r="AK777" s="65">
        <f t="shared" si="85"/>
        <v>2</v>
      </c>
      <c r="AL777" s="65" t="s">
        <v>66</v>
      </c>
      <c r="AM777" s="138"/>
      <c r="AN777" s="138"/>
      <c r="AO777" s="158"/>
      <c r="AP777" s="136" t="str">
        <f t="shared" si="86"/>
        <v/>
      </c>
      <c r="AQ777" s="158"/>
      <c r="AR777" s="23"/>
      <c r="AS777" s="76"/>
      <c r="AT777" s="71"/>
      <c r="AU777" s="65">
        <f t="shared" si="82"/>
        <v>8</v>
      </c>
      <c r="AV777" s="76"/>
    </row>
    <row r="778" spans="1:48" ht="25.5" hidden="1" x14ac:dyDescent="0.2">
      <c r="A778" s="87">
        <f t="shared" si="79"/>
        <v>20755</v>
      </c>
      <c r="B778" s="79" t="s">
        <v>255</v>
      </c>
      <c r="C778" s="79" t="s">
        <v>685</v>
      </c>
      <c r="D778" s="79"/>
      <c r="E778" s="65" t="s">
        <v>94</v>
      </c>
      <c r="F778" s="29">
        <v>32454</v>
      </c>
      <c r="G778" s="65" t="s">
        <v>120</v>
      </c>
      <c r="H778" s="158" t="s">
        <v>120</v>
      </c>
      <c r="I778" s="147" t="s">
        <v>5255</v>
      </c>
      <c r="J778" s="29">
        <v>37729</v>
      </c>
      <c r="K778" s="65" t="s">
        <v>120</v>
      </c>
      <c r="L778" s="65" t="s">
        <v>123</v>
      </c>
      <c r="M778" s="65" t="s">
        <v>5256</v>
      </c>
      <c r="N778" s="65" t="s">
        <v>5257</v>
      </c>
      <c r="P778" s="184" t="s">
        <v>5258</v>
      </c>
      <c r="Q778" s="123"/>
      <c r="R778" s="124" t="s">
        <v>5259</v>
      </c>
      <c r="T778" s="158" t="s">
        <v>5260</v>
      </c>
      <c r="U778" s="76" t="s">
        <v>5260</v>
      </c>
      <c r="V778" s="166" t="s">
        <v>5261</v>
      </c>
      <c r="W778" s="65" t="s">
        <v>2989</v>
      </c>
      <c r="X778" s="147" t="s">
        <v>5262</v>
      </c>
      <c r="Y778" s="65" t="s">
        <v>865</v>
      </c>
      <c r="Z778" s="54"/>
      <c r="AA778" s="54"/>
      <c r="AB778" s="54">
        <v>1</v>
      </c>
      <c r="AC778" s="158"/>
      <c r="AD778" s="65" t="s">
        <v>207</v>
      </c>
      <c r="AE778" s="27" t="s">
        <v>585</v>
      </c>
      <c r="AF778" s="65" t="s">
        <v>65</v>
      </c>
      <c r="AG778" s="29">
        <v>41652</v>
      </c>
      <c r="AH778" s="65">
        <f t="shared" si="83"/>
        <v>1</v>
      </c>
      <c r="AI778" s="65"/>
      <c r="AK778" s="65" t="str">
        <f t="shared" si="85"/>
        <v/>
      </c>
      <c r="AL778" s="65" t="s">
        <v>2322</v>
      </c>
      <c r="AM778" s="138"/>
      <c r="AN778" s="138"/>
      <c r="AO778" s="158"/>
      <c r="AP778" s="136" t="str">
        <f t="shared" si="86"/>
        <v/>
      </c>
      <c r="AQ778" s="158"/>
      <c r="AR778" s="23"/>
      <c r="AS778" s="76"/>
      <c r="AT778" s="71"/>
      <c r="AU778" s="65">
        <f t="shared" si="82"/>
        <v>11</v>
      </c>
      <c r="AV778" s="76"/>
    </row>
    <row r="779" spans="1:48" ht="25.5" hidden="1" x14ac:dyDescent="0.2">
      <c r="A779" s="87">
        <f t="shared" si="79"/>
        <v>20756</v>
      </c>
      <c r="B779" s="79" t="s">
        <v>572</v>
      </c>
      <c r="C779" s="79" t="s">
        <v>191</v>
      </c>
      <c r="D779" s="79"/>
      <c r="E779" s="65" t="s">
        <v>94</v>
      </c>
      <c r="F779" s="29">
        <v>32758</v>
      </c>
      <c r="G779" s="65" t="s">
        <v>52</v>
      </c>
      <c r="H779" s="158" t="s">
        <v>412</v>
      </c>
      <c r="I779" s="147" t="s">
        <v>5263</v>
      </c>
      <c r="J779" s="29">
        <v>41113</v>
      </c>
      <c r="K779" s="65" t="s">
        <v>52</v>
      </c>
      <c r="L779" s="65" t="s">
        <v>123</v>
      </c>
      <c r="M779" s="65" t="s">
        <v>1501</v>
      </c>
      <c r="N779" s="65" t="s">
        <v>307</v>
      </c>
      <c r="P779" s="158" t="s">
        <v>5264</v>
      </c>
      <c r="Q779" s="123"/>
      <c r="R779" s="124" t="s">
        <v>5265</v>
      </c>
      <c r="T779" s="158" t="s">
        <v>5266</v>
      </c>
      <c r="U779" s="76" t="s">
        <v>5266</v>
      </c>
      <c r="V779" s="166" t="s">
        <v>5267</v>
      </c>
      <c r="W779" s="65" t="s">
        <v>745</v>
      </c>
      <c r="X779" s="147" t="s">
        <v>5268</v>
      </c>
      <c r="Y779" s="65" t="s">
        <v>865</v>
      </c>
      <c r="Z779" s="54"/>
      <c r="AA779" s="54"/>
      <c r="AB779" s="54">
        <v>1</v>
      </c>
      <c r="AC779" s="158"/>
      <c r="AD779" s="65" t="s">
        <v>207</v>
      </c>
      <c r="AE779" s="27" t="s">
        <v>585</v>
      </c>
      <c r="AF779" s="65" t="s">
        <v>65</v>
      </c>
      <c r="AG779" s="29">
        <v>41652</v>
      </c>
      <c r="AH779" s="65">
        <f t="shared" si="83"/>
        <v>1</v>
      </c>
      <c r="AI779" s="65"/>
      <c r="AK779" s="65" t="str">
        <f t="shared" si="85"/>
        <v/>
      </c>
      <c r="AL779" s="65" t="s">
        <v>2322</v>
      </c>
      <c r="AM779" s="138"/>
      <c r="AN779" s="138"/>
      <c r="AO779" s="158"/>
      <c r="AP779" s="136" t="str">
        <f t="shared" si="86"/>
        <v/>
      </c>
      <c r="AQ779" s="158"/>
      <c r="AR779" s="23"/>
      <c r="AS779" s="76"/>
      <c r="AT779" s="71"/>
      <c r="AU779" s="65">
        <f t="shared" si="82"/>
        <v>9</v>
      </c>
      <c r="AV779" s="76"/>
    </row>
    <row r="780" spans="1:48" ht="12.75" hidden="1" x14ac:dyDescent="0.2">
      <c r="A780" s="87">
        <f t="shared" si="79"/>
        <v>20757</v>
      </c>
      <c r="B780" s="79" t="s">
        <v>5269</v>
      </c>
      <c r="C780" s="79" t="s">
        <v>920</v>
      </c>
      <c r="D780" s="79"/>
      <c r="E780" s="65" t="s">
        <v>94</v>
      </c>
      <c r="F780" s="29">
        <v>33342</v>
      </c>
      <c r="G780" s="65" t="s">
        <v>954</v>
      </c>
      <c r="H780" s="158" t="s">
        <v>954</v>
      </c>
      <c r="I780" s="147" t="s">
        <v>5270</v>
      </c>
      <c r="J780" s="29">
        <v>39802</v>
      </c>
      <c r="K780" s="65" t="s">
        <v>954</v>
      </c>
      <c r="L780" s="65" t="s">
        <v>123</v>
      </c>
      <c r="M780" s="65" t="s">
        <v>5271</v>
      </c>
      <c r="N780" s="65" t="s">
        <v>3219</v>
      </c>
      <c r="O780" s="65">
        <v>2013</v>
      </c>
      <c r="P780" s="158" t="s">
        <v>5272</v>
      </c>
      <c r="Q780" s="123"/>
      <c r="R780" s="124" t="s">
        <v>5273</v>
      </c>
      <c r="S780" s="65" t="s">
        <v>5274</v>
      </c>
      <c r="T780" s="76" t="s">
        <v>5275</v>
      </c>
      <c r="U780" s="71" t="s">
        <v>5276</v>
      </c>
      <c r="V780" s="65" t="s">
        <v>5277</v>
      </c>
      <c r="W780" s="65" t="s">
        <v>4165</v>
      </c>
      <c r="X780" s="147" t="s">
        <v>5278</v>
      </c>
      <c r="Y780" s="65" t="s">
        <v>865</v>
      </c>
      <c r="Z780" s="54"/>
      <c r="AA780" s="54"/>
      <c r="AB780" s="54">
        <v>1</v>
      </c>
      <c r="AC780" s="158"/>
      <c r="AD780" s="65" t="s">
        <v>207</v>
      </c>
      <c r="AE780" s="27" t="s">
        <v>585</v>
      </c>
      <c r="AF780" s="65" t="s">
        <v>65</v>
      </c>
      <c r="AG780" s="29">
        <v>41646</v>
      </c>
      <c r="AH780" s="65">
        <f t="shared" si="83"/>
        <v>1</v>
      </c>
      <c r="AI780" s="65"/>
      <c r="AK780" s="65" t="str">
        <f t="shared" si="85"/>
        <v/>
      </c>
      <c r="AL780" s="65" t="s">
        <v>2322</v>
      </c>
      <c r="AM780" s="138"/>
      <c r="AN780" s="138"/>
      <c r="AO780" s="158"/>
      <c r="AP780" s="136" t="str">
        <f t="shared" si="86"/>
        <v/>
      </c>
      <c r="AQ780" s="158"/>
      <c r="AR780" s="23"/>
      <c r="AS780" s="76"/>
      <c r="AT780" s="71"/>
      <c r="AU780" s="65">
        <f t="shared" si="82"/>
        <v>4</v>
      </c>
      <c r="AV780" s="76"/>
    </row>
    <row r="781" spans="1:48" ht="12.75" hidden="1" x14ac:dyDescent="0.2">
      <c r="A781" s="87">
        <f t="shared" si="79"/>
        <v>20758</v>
      </c>
      <c r="B781" s="79" t="s">
        <v>5279</v>
      </c>
      <c r="C781" s="79" t="s">
        <v>1094</v>
      </c>
      <c r="D781" s="79"/>
      <c r="E781" s="65" t="s">
        <v>94</v>
      </c>
      <c r="F781" s="29">
        <v>33560</v>
      </c>
      <c r="G781" s="65" t="s">
        <v>4277</v>
      </c>
      <c r="H781" s="158" t="s">
        <v>4277</v>
      </c>
      <c r="I781" s="147" t="s">
        <v>5280</v>
      </c>
      <c r="J781" s="29">
        <v>39883</v>
      </c>
      <c r="K781" s="65" t="s">
        <v>4277</v>
      </c>
      <c r="L781" s="65" t="s">
        <v>123</v>
      </c>
      <c r="M781" s="65" t="s">
        <v>5281</v>
      </c>
      <c r="N781" s="65" t="s">
        <v>5282</v>
      </c>
      <c r="O781" s="65">
        <v>2013</v>
      </c>
      <c r="P781" s="158" t="s">
        <v>5283</v>
      </c>
      <c r="Q781" s="123"/>
      <c r="R781" s="124" t="s">
        <v>5284</v>
      </c>
      <c r="T781" s="76" t="s">
        <v>5285</v>
      </c>
      <c r="U781" s="71" t="s">
        <v>5286</v>
      </c>
      <c r="V781" s="65" t="s">
        <v>5287</v>
      </c>
      <c r="W781" s="65" t="s">
        <v>4165</v>
      </c>
      <c r="X781" s="147" t="s">
        <v>5288</v>
      </c>
      <c r="Y781" s="65" t="s">
        <v>865</v>
      </c>
      <c r="Z781" s="54"/>
      <c r="AA781" s="54"/>
      <c r="AB781" s="54">
        <v>1</v>
      </c>
      <c r="AC781" s="158"/>
      <c r="AD781" s="65" t="s">
        <v>207</v>
      </c>
      <c r="AE781" s="27" t="s">
        <v>585</v>
      </c>
      <c r="AF781" s="65" t="s">
        <v>65</v>
      </c>
      <c r="AG781" s="29">
        <v>41646</v>
      </c>
      <c r="AH781" s="65">
        <f t="shared" si="83"/>
        <v>1</v>
      </c>
      <c r="AI781" s="65"/>
      <c r="AK781" s="65" t="str">
        <f t="shared" si="85"/>
        <v/>
      </c>
      <c r="AL781" s="65" t="s">
        <v>2322</v>
      </c>
      <c r="AM781" s="138"/>
      <c r="AN781" s="138"/>
      <c r="AO781" s="158"/>
      <c r="AP781" s="136" t="str">
        <f t="shared" si="86"/>
        <v/>
      </c>
      <c r="AQ781" s="158"/>
      <c r="AR781" s="23"/>
      <c r="AS781" s="76"/>
      <c r="AT781" s="71"/>
      <c r="AU781" s="65">
        <f t="shared" si="82"/>
        <v>11</v>
      </c>
      <c r="AV781" s="76"/>
    </row>
    <row r="782" spans="1:48" ht="12.75" hidden="1" x14ac:dyDescent="0.2">
      <c r="A782" s="87">
        <f t="shared" si="79"/>
        <v>20759</v>
      </c>
      <c r="B782" s="79" t="s">
        <v>5289</v>
      </c>
      <c r="C782" s="79" t="s">
        <v>349</v>
      </c>
      <c r="D782" s="79"/>
      <c r="E782" s="65" t="s">
        <v>94</v>
      </c>
      <c r="F782" s="29">
        <v>32367</v>
      </c>
      <c r="G782" s="65" t="s">
        <v>120</v>
      </c>
      <c r="H782" s="158" t="s">
        <v>120</v>
      </c>
      <c r="I782" s="147" t="s">
        <v>5290</v>
      </c>
      <c r="J782" s="29">
        <v>39135</v>
      </c>
      <c r="K782" s="65" t="s">
        <v>120</v>
      </c>
      <c r="L782" s="65" t="s">
        <v>123</v>
      </c>
      <c r="M782" s="65" t="s">
        <v>4528</v>
      </c>
      <c r="N782" s="65" t="s">
        <v>3877</v>
      </c>
      <c r="O782" s="65">
        <v>2010</v>
      </c>
      <c r="P782" s="158" t="s">
        <v>5291</v>
      </c>
      <c r="Q782" s="123"/>
      <c r="R782" s="124" t="s">
        <v>5292</v>
      </c>
      <c r="S782" s="65" t="s">
        <v>5293</v>
      </c>
      <c r="T782" s="158" t="s">
        <v>5294</v>
      </c>
      <c r="U782" s="76" t="s">
        <v>5294</v>
      </c>
      <c r="V782" s="166" t="s">
        <v>5295</v>
      </c>
      <c r="W782" s="65" t="s">
        <v>745</v>
      </c>
      <c r="X782" s="147" t="s">
        <v>5296</v>
      </c>
      <c r="Y782" s="65" t="s">
        <v>180</v>
      </c>
      <c r="Z782" s="54"/>
      <c r="AA782" s="54"/>
      <c r="AB782" s="54">
        <v>4</v>
      </c>
      <c r="AC782" s="158"/>
      <c r="AD782" s="65" t="s">
        <v>5297</v>
      </c>
      <c r="AF782" s="65" t="s">
        <v>65</v>
      </c>
      <c r="AH782" s="65" t="str">
        <f t="shared" si="83"/>
        <v/>
      </c>
      <c r="AI782" s="65"/>
      <c r="AJ782" s="29">
        <v>41653</v>
      </c>
      <c r="AK782" s="65">
        <f t="shared" si="85"/>
        <v>1</v>
      </c>
      <c r="AL782" s="65" t="s">
        <v>66</v>
      </c>
      <c r="AM782" s="138"/>
      <c r="AN782" s="138"/>
      <c r="AO782" s="158"/>
      <c r="AP782" s="136"/>
      <c r="AQ782" s="158"/>
      <c r="AR782" s="23"/>
      <c r="AS782" s="76"/>
      <c r="AT782" s="71"/>
      <c r="AU782" s="65">
        <f t="shared" ref="AU782:AU800" si="87">IF((F782=""),"",MONTH(F782))</f>
        <v>8</v>
      </c>
      <c r="AV782" s="76"/>
    </row>
    <row r="783" spans="1:48" ht="12.75" hidden="1" x14ac:dyDescent="0.2">
      <c r="A783" s="87">
        <f t="shared" si="79"/>
        <v>20760</v>
      </c>
      <c r="B783" s="79" t="s">
        <v>691</v>
      </c>
      <c r="C783" s="79" t="s">
        <v>5298</v>
      </c>
      <c r="D783" s="79" t="s">
        <v>5299</v>
      </c>
      <c r="E783" s="65" t="s">
        <v>94</v>
      </c>
      <c r="F783" s="29">
        <v>33568</v>
      </c>
      <c r="G783" s="65" t="s">
        <v>132</v>
      </c>
      <c r="H783" s="158" t="s">
        <v>132</v>
      </c>
      <c r="I783" s="147" t="s">
        <v>5300</v>
      </c>
      <c r="J783" s="29">
        <v>38823</v>
      </c>
      <c r="K783" s="65" t="s">
        <v>5301</v>
      </c>
      <c r="L783" s="65" t="s">
        <v>123</v>
      </c>
      <c r="M783" s="65" t="s">
        <v>3108</v>
      </c>
      <c r="N783" s="65" t="s">
        <v>458</v>
      </c>
      <c r="P783" s="158" t="s">
        <v>5302</v>
      </c>
      <c r="Q783" s="123"/>
      <c r="R783" s="124" t="s">
        <v>5303</v>
      </c>
      <c r="T783" s="76" t="s">
        <v>5304</v>
      </c>
      <c r="U783" s="71" t="s">
        <v>5305</v>
      </c>
      <c r="V783" s="65" t="s">
        <v>5306</v>
      </c>
      <c r="W783" s="65">
        <v>1645694426</v>
      </c>
      <c r="X783" s="147"/>
      <c r="Y783" s="65" t="s">
        <v>312</v>
      </c>
      <c r="Z783" s="54"/>
      <c r="AA783" s="54"/>
      <c r="AB783" s="54">
        <v>1</v>
      </c>
      <c r="AC783" s="158"/>
      <c r="AD783" s="65" t="s">
        <v>207</v>
      </c>
      <c r="AE783" s="27" t="s">
        <v>1136</v>
      </c>
      <c r="AF783" s="65" t="s">
        <v>65</v>
      </c>
      <c r="AG783" s="29">
        <v>41654</v>
      </c>
      <c r="AH783" s="65">
        <f t="shared" si="83"/>
        <v>1</v>
      </c>
      <c r="AI783" s="65"/>
      <c r="AJ783" s="29">
        <v>41685</v>
      </c>
      <c r="AK783" s="65">
        <f t="shared" si="85"/>
        <v>2</v>
      </c>
      <c r="AL783" s="65" t="s">
        <v>66</v>
      </c>
      <c r="AM783" s="138"/>
      <c r="AN783" s="138"/>
      <c r="AO783" s="158"/>
      <c r="AP783" s="136"/>
      <c r="AQ783" s="158"/>
      <c r="AR783" s="23"/>
      <c r="AS783" s="76"/>
      <c r="AT783" s="71"/>
      <c r="AU783" s="65">
        <f t="shared" si="87"/>
        <v>11</v>
      </c>
      <c r="AV783" s="76"/>
    </row>
    <row r="784" spans="1:48" ht="25.5" hidden="1" x14ac:dyDescent="0.2">
      <c r="A784" s="87">
        <f t="shared" si="79"/>
        <v>20761</v>
      </c>
      <c r="B784" s="79" t="s">
        <v>5307</v>
      </c>
      <c r="C784" s="79" t="s">
        <v>2965</v>
      </c>
      <c r="D784" s="79"/>
      <c r="E784" s="65" t="s">
        <v>94</v>
      </c>
      <c r="F784" s="29">
        <v>29612</v>
      </c>
      <c r="H784" s="158"/>
      <c r="I784" s="147" t="s">
        <v>5308</v>
      </c>
      <c r="J784" s="29">
        <v>34783</v>
      </c>
      <c r="K784" s="65" t="s">
        <v>1495</v>
      </c>
      <c r="L784" s="65" t="s">
        <v>123</v>
      </c>
      <c r="M784" s="65" t="s">
        <v>4454</v>
      </c>
      <c r="N784" s="65" t="s">
        <v>3244</v>
      </c>
      <c r="P784" s="158" t="s">
        <v>5309</v>
      </c>
      <c r="Q784" s="123"/>
      <c r="R784" s="124" t="s">
        <v>5310</v>
      </c>
      <c r="T784" s="76" t="s">
        <v>5311</v>
      </c>
      <c r="U784" s="71" t="s">
        <v>5312</v>
      </c>
      <c r="V784" s="65" t="s">
        <v>5313</v>
      </c>
      <c r="W784" s="65" t="s">
        <v>2989</v>
      </c>
      <c r="X784" s="147" t="s">
        <v>5314</v>
      </c>
      <c r="Y784" s="65" t="s">
        <v>374</v>
      </c>
      <c r="Z784" s="54"/>
      <c r="AA784" s="54"/>
      <c r="AB784" s="54">
        <v>3</v>
      </c>
      <c r="AC784" s="158"/>
      <c r="AD784" s="65" t="s">
        <v>207</v>
      </c>
      <c r="AE784" s="27" t="s">
        <v>585</v>
      </c>
      <c r="AF784" s="65" t="s">
        <v>65</v>
      </c>
      <c r="AG784" s="29">
        <v>41654</v>
      </c>
      <c r="AH784" s="65">
        <f t="shared" si="83"/>
        <v>1</v>
      </c>
      <c r="AI784" s="65"/>
      <c r="AK784" s="65" t="str">
        <f t="shared" si="85"/>
        <v/>
      </c>
      <c r="AL784" s="65" t="s">
        <v>2322</v>
      </c>
      <c r="AM784" s="138"/>
      <c r="AN784" s="138"/>
      <c r="AO784" s="158"/>
      <c r="AP784" s="136"/>
      <c r="AQ784" s="158"/>
      <c r="AR784" s="23"/>
      <c r="AS784" s="76"/>
      <c r="AT784" s="71"/>
      <c r="AU784" s="65">
        <f t="shared" si="87"/>
        <v>1</v>
      </c>
      <c r="AV784" s="76"/>
    </row>
    <row r="785" spans="1:48" ht="12.75" hidden="1" x14ac:dyDescent="0.2">
      <c r="A785" s="87">
        <f t="shared" si="79"/>
        <v>20762</v>
      </c>
      <c r="B785" s="79" t="s">
        <v>5315</v>
      </c>
      <c r="C785" s="79" t="s">
        <v>2266</v>
      </c>
      <c r="D785" s="79"/>
      <c r="E785" s="65" t="s">
        <v>94</v>
      </c>
      <c r="F785" s="140">
        <v>33794</v>
      </c>
      <c r="H785" s="158"/>
      <c r="I785" s="147" t="s">
        <v>5316</v>
      </c>
      <c r="J785" s="29">
        <v>39822</v>
      </c>
      <c r="K785" s="65" t="s">
        <v>5317</v>
      </c>
      <c r="L785" s="65" t="s">
        <v>123</v>
      </c>
      <c r="M785" s="65" t="s">
        <v>4528</v>
      </c>
      <c r="N785" s="65" t="s">
        <v>368</v>
      </c>
      <c r="P785" s="158" t="s">
        <v>5318</v>
      </c>
      <c r="Q785" s="123"/>
      <c r="R785" s="124" t="s">
        <v>5319</v>
      </c>
      <c r="S785" s="65" t="s">
        <v>5320</v>
      </c>
      <c r="T785" s="76" t="s">
        <v>5321</v>
      </c>
      <c r="U785" s="71" t="s">
        <v>5322</v>
      </c>
      <c r="X785" s="147"/>
      <c r="Y785" s="65" t="s">
        <v>312</v>
      </c>
      <c r="Z785" s="54"/>
      <c r="AA785" s="54"/>
      <c r="AB785" s="54"/>
      <c r="AC785" s="158"/>
      <c r="AD785" s="65" t="s">
        <v>207</v>
      </c>
      <c r="AE785" s="27" t="s">
        <v>1128</v>
      </c>
      <c r="AF785" s="65" t="s">
        <v>65</v>
      </c>
      <c r="AH785" s="65" t="str">
        <f t="shared" si="83"/>
        <v/>
      </c>
      <c r="AI785" s="65"/>
      <c r="AK785" s="65" t="str">
        <f t="shared" si="85"/>
        <v/>
      </c>
      <c r="AL785" s="65" t="s">
        <v>2322</v>
      </c>
      <c r="AM785" s="138"/>
      <c r="AN785" s="138"/>
      <c r="AO785" s="158"/>
      <c r="AP785" s="136"/>
      <c r="AQ785" s="158"/>
      <c r="AR785" s="23"/>
      <c r="AS785" s="76"/>
      <c r="AT785" s="71"/>
      <c r="AU785" s="65">
        <f t="shared" si="87"/>
        <v>7</v>
      </c>
      <c r="AV785" s="76"/>
    </row>
    <row r="786" spans="1:48" ht="12.75" hidden="1" x14ac:dyDescent="0.2">
      <c r="A786" s="87">
        <f t="shared" si="79"/>
        <v>20763</v>
      </c>
      <c r="B786" s="79" t="s">
        <v>5323</v>
      </c>
      <c r="C786" s="79" t="s">
        <v>823</v>
      </c>
      <c r="D786" s="79"/>
      <c r="E786" s="65" t="s">
        <v>94</v>
      </c>
      <c r="F786" s="29">
        <v>32793</v>
      </c>
      <c r="G786" s="65" t="s">
        <v>52</v>
      </c>
      <c r="H786" s="158" t="s">
        <v>52</v>
      </c>
      <c r="I786" s="147" t="s">
        <v>5324</v>
      </c>
      <c r="J786" s="29">
        <v>40773</v>
      </c>
      <c r="K786" s="65" t="s">
        <v>52</v>
      </c>
      <c r="L786" s="65" t="s">
        <v>123</v>
      </c>
      <c r="M786" s="65" t="s">
        <v>5325</v>
      </c>
      <c r="N786" s="65" t="s">
        <v>5326</v>
      </c>
      <c r="P786" s="158" t="s">
        <v>5327</v>
      </c>
      <c r="Q786" s="123" t="s">
        <v>5328</v>
      </c>
      <c r="R786" s="124" t="s">
        <v>5329</v>
      </c>
      <c r="S786" s="65" t="s">
        <v>5330</v>
      </c>
      <c r="T786" s="158" t="s">
        <v>5331</v>
      </c>
      <c r="U786" s="76" t="s">
        <v>5332</v>
      </c>
      <c r="V786" s="166" t="s">
        <v>5333</v>
      </c>
      <c r="W786" s="65" t="s">
        <v>745</v>
      </c>
      <c r="X786" s="147" t="s">
        <v>5334</v>
      </c>
      <c r="Y786" s="65" t="s">
        <v>312</v>
      </c>
      <c r="Z786" s="54"/>
      <c r="AA786" s="54"/>
      <c r="AB786" s="54">
        <v>1</v>
      </c>
      <c r="AC786" s="158"/>
      <c r="AD786" s="65" t="s">
        <v>207</v>
      </c>
      <c r="AE786" s="27" t="s">
        <v>1128</v>
      </c>
      <c r="AF786" s="65" t="s">
        <v>65</v>
      </c>
      <c r="AG786" s="29">
        <v>41652</v>
      </c>
      <c r="AH786" s="65">
        <f t="shared" si="83"/>
        <v>1</v>
      </c>
      <c r="AI786" s="65"/>
      <c r="AK786" s="65" t="str">
        <f t="shared" si="85"/>
        <v/>
      </c>
      <c r="AL786" s="65" t="s">
        <v>2322</v>
      </c>
      <c r="AM786" s="138"/>
      <c r="AN786" s="138"/>
      <c r="AO786" s="158"/>
      <c r="AP786" s="136"/>
      <c r="AQ786" s="158"/>
      <c r="AR786" s="23"/>
      <c r="AS786" s="76"/>
      <c r="AT786" s="71"/>
      <c r="AU786" s="65">
        <f t="shared" si="87"/>
        <v>10</v>
      </c>
      <c r="AV786" s="76"/>
    </row>
    <row r="787" spans="1:48" ht="12.75" hidden="1" x14ac:dyDescent="0.2">
      <c r="A787" s="87">
        <f t="shared" si="79"/>
        <v>20764</v>
      </c>
      <c r="B787" s="79" t="s">
        <v>5335</v>
      </c>
      <c r="C787" s="79" t="s">
        <v>607</v>
      </c>
      <c r="D787" s="79" t="s">
        <v>5336</v>
      </c>
      <c r="E787" s="65" t="s">
        <v>94</v>
      </c>
      <c r="F787" s="29">
        <v>32171</v>
      </c>
      <c r="H787" s="158"/>
      <c r="I787" s="147" t="s">
        <v>5337</v>
      </c>
      <c r="J787" s="29">
        <v>38046</v>
      </c>
      <c r="K787" s="65" t="s">
        <v>52</v>
      </c>
      <c r="L787" s="65" t="s">
        <v>123</v>
      </c>
      <c r="M787" s="65" t="s">
        <v>5338</v>
      </c>
      <c r="N787" s="65" t="s">
        <v>5339</v>
      </c>
      <c r="P787" s="158" t="s">
        <v>5340</v>
      </c>
      <c r="Q787" s="123" t="s">
        <v>5341</v>
      </c>
      <c r="R787" s="123" t="s">
        <v>5341</v>
      </c>
      <c r="T787" s="158" t="s">
        <v>5342</v>
      </c>
      <c r="U787" s="76" t="s">
        <v>5342</v>
      </c>
      <c r="V787" s="166"/>
      <c r="X787" s="147"/>
      <c r="Y787" s="65" t="s">
        <v>312</v>
      </c>
      <c r="Z787" s="54"/>
      <c r="AA787" s="54"/>
      <c r="AB787" s="54">
        <v>1</v>
      </c>
      <c r="AC787" s="158"/>
      <c r="AD787" s="65" t="s">
        <v>158</v>
      </c>
      <c r="AF787" s="65" t="s">
        <v>65</v>
      </c>
      <c r="AI787" s="65"/>
      <c r="AJ787" s="29">
        <v>41642</v>
      </c>
      <c r="AK787" s="65">
        <f t="shared" si="85"/>
        <v>1</v>
      </c>
      <c r="AL787" s="65" t="s">
        <v>66</v>
      </c>
      <c r="AM787" s="138"/>
      <c r="AN787" s="138"/>
      <c r="AO787" s="158"/>
      <c r="AP787" s="136"/>
      <c r="AQ787" s="158"/>
      <c r="AR787" s="23"/>
      <c r="AS787" s="76"/>
      <c r="AT787" s="71"/>
      <c r="AU787" s="65">
        <f t="shared" si="87"/>
        <v>1</v>
      </c>
      <c r="AV787" s="76"/>
    </row>
    <row r="788" spans="1:48" ht="12.75" hidden="1" x14ac:dyDescent="0.2">
      <c r="A788" s="87">
        <f t="shared" ref="A788:A820" si="88">A787+1</f>
        <v>20765</v>
      </c>
      <c r="B788" s="79" t="s">
        <v>1813</v>
      </c>
      <c r="C788" s="79" t="s">
        <v>170</v>
      </c>
      <c r="D788" s="79" t="s">
        <v>5343</v>
      </c>
      <c r="E788" s="65" t="s">
        <v>51</v>
      </c>
      <c r="F788" s="29">
        <v>32789</v>
      </c>
      <c r="H788" s="158"/>
      <c r="I788" s="147" t="s">
        <v>5344</v>
      </c>
      <c r="K788" s="65" t="s">
        <v>365</v>
      </c>
      <c r="L788" s="65" t="s">
        <v>123</v>
      </c>
      <c r="M788" s="65" t="s">
        <v>124</v>
      </c>
      <c r="N788" s="65" t="s">
        <v>3139</v>
      </c>
      <c r="P788" s="158" t="s">
        <v>5345</v>
      </c>
      <c r="Q788" s="123"/>
      <c r="R788" s="124" t="s">
        <v>5346</v>
      </c>
      <c r="S788" s="65" t="s">
        <v>5347</v>
      </c>
      <c r="T788" s="76" t="s">
        <v>5348</v>
      </c>
      <c r="U788" s="71"/>
      <c r="V788" s="65" t="s">
        <v>5349</v>
      </c>
      <c r="W788" s="65" t="s">
        <v>283</v>
      </c>
      <c r="X788" s="147" t="s">
        <v>5346</v>
      </c>
      <c r="Y788" s="65" t="s">
        <v>312</v>
      </c>
      <c r="Z788" s="54"/>
      <c r="AA788" s="54"/>
      <c r="AB788" s="54">
        <v>1</v>
      </c>
      <c r="AC788" s="158"/>
      <c r="AD788" s="65" t="s">
        <v>158</v>
      </c>
      <c r="AF788" s="65" t="s">
        <v>65</v>
      </c>
      <c r="AG788" s="29">
        <v>41632</v>
      </c>
      <c r="AH788" s="65">
        <f t="shared" ref="AH788:AH823" si="89">IF((AG788=""),"",MONTH(AG788))</f>
        <v>12</v>
      </c>
      <c r="AI788" s="65"/>
      <c r="AK788" s="65" t="str">
        <f t="shared" si="85"/>
        <v/>
      </c>
      <c r="AL788" s="65" t="s">
        <v>2322</v>
      </c>
      <c r="AM788" s="138"/>
      <c r="AN788" s="138"/>
      <c r="AO788" s="158"/>
      <c r="AP788" s="136"/>
      <c r="AQ788" s="158"/>
      <c r="AR788" s="23"/>
      <c r="AS788" s="76"/>
      <c r="AT788" s="71"/>
      <c r="AU788" s="65">
        <f t="shared" si="87"/>
        <v>10</v>
      </c>
      <c r="AV788" s="76"/>
    </row>
    <row r="789" spans="1:48" s="216" customFormat="1" ht="12.75" hidden="1" x14ac:dyDescent="0.2">
      <c r="A789" s="200">
        <f t="shared" si="88"/>
        <v>20766</v>
      </c>
      <c r="B789" s="201" t="s">
        <v>169</v>
      </c>
      <c r="C789" s="201" t="s">
        <v>573</v>
      </c>
      <c r="D789" s="201" t="s">
        <v>5350</v>
      </c>
      <c r="E789" s="202" t="s">
        <v>51</v>
      </c>
      <c r="F789" s="202"/>
      <c r="G789" s="202"/>
      <c r="H789" s="203"/>
      <c r="I789" s="204" t="s">
        <v>5351</v>
      </c>
      <c r="J789" s="205">
        <v>41422</v>
      </c>
      <c r="K789" s="202" t="s">
        <v>52</v>
      </c>
      <c r="L789" s="202" t="s">
        <v>123</v>
      </c>
      <c r="M789" s="202" t="s">
        <v>5352</v>
      </c>
      <c r="N789" s="202" t="s">
        <v>3139</v>
      </c>
      <c r="O789" s="202"/>
      <c r="P789" s="203" t="s">
        <v>5353</v>
      </c>
      <c r="Q789" s="206"/>
      <c r="R789" s="207" t="s">
        <v>5354</v>
      </c>
      <c r="S789" s="202"/>
      <c r="T789" s="208" t="s">
        <v>5355</v>
      </c>
      <c r="U789" s="209" t="s">
        <v>5356</v>
      </c>
      <c r="V789" s="202"/>
      <c r="W789" s="202"/>
      <c r="X789" s="204"/>
      <c r="Y789" s="202" t="s">
        <v>312</v>
      </c>
      <c r="Z789" s="210"/>
      <c r="AA789" s="210"/>
      <c r="AB789" s="210">
        <v>1</v>
      </c>
      <c r="AC789" s="203"/>
      <c r="AD789" s="202" t="s">
        <v>375</v>
      </c>
      <c r="AE789" s="211" t="s">
        <v>475</v>
      </c>
      <c r="AF789" s="202" t="s">
        <v>65</v>
      </c>
      <c r="AG789" s="205">
        <v>41656</v>
      </c>
      <c r="AH789" s="202">
        <f t="shared" si="89"/>
        <v>1</v>
      </c>
      <c r="AI789" s="205">
        <v>41714</v>
      </c>
      <c r="AJ789" s="202"/>
      <c r="AK789" s="202" t="str">
        <f t="shared" si="85"/>
        <v/>
      </c>
      <c r="AL789" s="202" t="s">
        <v>82</v>
      </c>
      <c r="AM789" s="212"/>
      <c r="AN789" s="212"/>
      <c r="AO789" s="213"/>
      <c r="AP789" s="214"/>
      <c r="AQ789" s="203"/>
      <c r="AR789" s="215"/>
      <c r="AS789" s="208"/>
      <c r="AT789" s="209"/>
      <c r="AU789" s="202" t="str">
        <f t="shared" si="87"/>
        <v/>
      </c>
      <c r="AV789" s="208"/>
    </row>
    <row r="790" spans="1:48" ht="12.75" hidden="1" x14ac:dyDescent="0.2">
      <c r="A790" s="87">
        <f t="shared" si="88"/>
        <v>20767</v>
      </c>
      <c r="B790" s="79" t="s">
        <v>1634</v>
      </c>
      <c r="C790" s="79" t="s">
        <v>607</v>
      </c>
      <c r="D790" s="47" t="s">
        <v>5107</v>
      </c>
      <c r="E790" s="65" t="s">
        <v>94</v>
      </c>
      <c r="F790" s="29">
        <v>32086</v>
      </c>
      <c r="H790" s="158"/>
      <c r="I790" s="147" t="s">
        <v>5357</v>
      </c>
      <c r="J790" s="29">
        <v>37939</v>
      </c>
      <c r="K790" s="65" t="s">
        <v>52</v>
      </c>
      <c r="L790" s="65" t="s">
        <v>341</v>
      </c>
      <c r="M790" s="65" t="s">
        <v>5358</v>
      </c>
      <c r="N790" s="65" t="s">
        <v>4621</v>
      </c>
      <c r="P790" s="158" t="s">
        <v>5359</v>
      </c>
      <c r="Q790" s="123" t="s">
        <v>5360</v>
      </c>
      <c r="R790" s="124" t="s">
        <v>5361</v>
      </c>
      <c r="T790" s="76" t="s">
        <v>5362</v>
      </c>
      <c r="U790" s="71" t="s">
        <v>5363</v>
      </c>
      <c r="V790" s="65" t="s">
        <v>5364</v>
      </c>
      <c r="W790" s="65" t="s">
        <v>745</v>
      </c>
      <c r="X790" s="147" t="s">
        <v>5365</v>
      </c>
      <c r="Y790" s="65" t="s">
        <v>312</v>
      </c>
      <c r="Z790" s="54"/>
      <c r="AA790" s="54"/>
      <c r="AB790" s="54">
        <v>1</v>
      </c>
      <c r="AC790" s="158"/>
      <c r="AD790" s="65" t="s">
        <v>221</v>
      </c>
      <c r="AE790" s="27" t="s">
        <v>963</v>
      </c>
      <c r="AF790" s="65" t="s">
        <v>65</v>
      </c>
      <c r="AG790" s="29">
        <v>41656</v>
      </c>
      <c r="AH790" s="65">
        <f t="shared" si="89"/>
        <v>1</v>
      </c>
      <c r="AI790" s="65"/>
      <c r="AK790" s="65" t="str">
        <f t="shared" si="85"/>
        <v/>
      </c>
      <c r="AL790" s="199" t="s">
        <v>82</v>
      </c>
      <c r="AM790" s="138"/>
      <c r="AN790" s="138"/>
      <c r="AO790" s="190">
        <v>41699</v>
      </c>
      <c r="AP790" s="134">
        <f t="shared" ref="AP790:AP800" si="90">IF((AO790=""),"",MONTH(AO790))</f>
        <v>3</v>
      </c>
      <c r="AQ790" s="158"/>
      <c r="AR790" s="23"/>
      <c r="AS790" s="76"/>
      <c r="AT790" s="71"/>
      <c r="AU790" s="65">
        <f t="shared" si="87"/>
        <v>11</v>
      </c>
      <c r="AV790" s="76"/>
    </row>
    <row r="791" spans="1:48" ht="12.75" hidden="1" x14ac:dyDescent="0.2">
      <c r="A791" s="87">
        <f t="shared" si="88"/>
        <v>20768</v>
      </c>
      <c r="B791" s="79" t="s">
        <v>1037</v>
      </c>
      <c r="C791" s="79" t="s">
        <v>618</v>
      </c>
      <c r="D791" s="79" t="s">
        <v>5366</v>
      </c>
      <c r="E791" s="65" t="s">
        <v>94</v>
      </c>
      <c r="F791" s="29">
        <v>31508</v>
      </c>
      <c r="G791" s="65" t="s">
        <v>52</v>
      </c>
      <c r="H791" s="158"/>
      <c r="I791" s="147" t="s">
        <v>5367</v>
      </c>
      <c r="J791" s="29">
        <v>36771</v>
      </c>
      <c r="K791" s="65" t="s">
        <v>52</v>
      </c>
      <c r="L791" s="65" t="s">
        <v>123</v>
      </c>
      <c r="M791" s="65" t="s">
        <v>5368</v>
      </c>
      <c r="N791" s="65" t="s">
        <v>3376</v>
      </c>
      <c r="P791" s="158" t="s">
        <v>5369</v>
      </c>
      <c r="Q791" s="123" t="s">
        <v>5370</v>
      </c>
      <c r="R791" s="124" t="s">
        <v>5371</v>
      </c>
      <c r="S791" s="65" t="s">
        <v>5372</v>
      </c>
      <c r="T791" s="158" t="s">
        <v>5373</v>
      </c>
      <c r="U791" s="76" t="s">
        <v>5373</v>
      </c>
      <c r="V791" s="166" t="s">
        <v>5374</v>
      </c>
      <c r="W791" s="65" t="s">
        <v>745</v>
      </c>
      <c r="X791" s="147" t="s">
        <v>5370</v>
      </c>
      <c r="Y791" s="65" t="s">
        <v>206</v>
      </c>
      <c r="Z791" s="54"/>
      <c r="AA791" s="54"/>
      <c r="AB791" s="54">
        <v>3</v>
      </c>
      <c r="AC791" s="158"/>
      <c r="AD791" s="65" t="s">
        <v>5297</v>
      </c>
      <c r="AF791" s="65" t="s">
        <v>65</v>
      </c>
      <c r="AG791" s="29">
        <v>41683</v>
      </c>
      <c r="AH791" s="65">
        <f t="shared" si="89"/>
        <v>2</v>
      </c>
      <c r="AI791" s="65"/>
      <c r="AJ791" s="29">
        <v>41683</v>
      </c>
      <c r="AK791" s="65">
        <f t="shared" si="85"/>
        <v>2</v>
      </c>
      <c r="AL791" s="65" t="s">
        <v>66</v>
      </c>
      <c r="AM791" s="138"/>
      <c r="AN791" s="138"/>
      <c r="AO791" s="190"/>
      <c r="AP791" s="134" t="str">
        <f t="shared" si="90"/>
        <v/>
      </c>
      <c r="AQ791" s="158"/>
      <c r="AR791" s="23"/>
      <c r="AS791" s="76"/>
      <c r="AT791" s="71"/>
      <c r="AU791" s="65">
        <f t="shared" si="87"/>
        <v>4</v>
      </c>
      <c r="AV791" s="76"/>
    </row>
    <row r="792" spans="1:48" ht="12.75" hidden="1" x14ac:dyDescent="0.2">
      <c r="A792" s="87">
        <f t="shared" si="88"/>
        <v>20769</v>
      </c>
      <c r="B792" s="79" t="s">
        <v>5375</v>
      </c>
      <c r="C792" s="79" t="s">
        <v>160</v>
      </c>
      <c r="D792" s="79" t="s">
        <v>5376</v>
      </c>
      <c r="E792" s="65" t="s">
        <v>94</v>
      </c>
      <c r="H792" s="158"/>
      <c r="I792" s="147"/>
      <c r="P792" s="158" t="s">
        <v>5377</v>
      </c>
      <c r="Q792" s="123"/>
      <c r="R792" s="124"/>
      <c r="T792" s="76"/>
      <c r="U792" s="71"/>
      <c r="X792" s="147"/>
      <c r="Y792" s="65" t="s">
        <v>312</v>
      </c>
      <c r="Z792" s="54"/>
      <c r="AA792" s="54"/>
      <c r="AB792" s="54"/>
      <c r="AC792" s="158"/>
      <c r="AD792" s="65" t="s">
        <v>5378</v>
      </c>
      <c r="AF792" s="65" t="s">
        <v>65</v>
      </c>
      <c r="AG792" s="29">
        <v>41676</v>
      </c>
      <c r="AH792" s="65">
        <f t="shared" si="89"/>
        <v>2</v>
      </c>
      <c r="AI792" s="29">
        <v>41703</v>
      </c>
      <c r="AK792" s="65" t="str">
        <f t="shared" si="85"/>
        <v/>
      </c>
      <c r="AL792" s="65" t="s">
        <v>2322</v>
      </c>
      <c r="AM792" s="138"/>
      <c r="AN792" s="138"/>
      <c r="AO792" s="190"/>
      <c r="AP792" s="134" t="str">
        <f t="shared" si="90"/>
        <v/>
      </c>
      <c r="AQ792" s="158"/>
      <c r="AR792" s="23"/>
      <c r="AS792" s="76"/>
      <c r="AT792" s="71"/>
      <c r="AU792" s="65" t="str">
        <f t="shared" si="87"/>
        <v/>
      </c>
      <c r="AV792" s="76"/>
    </row>
    <row r="793" spans="1:48" ht="12.75" hidden="1" x14ac:dyDescent="0.2">
      <c r="A793" s="87">
        <f t="shared" si="88"/>
        <v>20770</v>
      </c>
      <c r="B793" s="79" t="s">
        <v>5379</v>
      </c>
      <c r="C793" s="79" t="s">
        <v>5380</v>
      </c>
      <c r="D793" s="79" t="s">
        <v>5381</v>
      </c>
      <c r="E793" s="65" t="s">
        <v>51</v>
      </c>
      <c r="H793" s="158"/>
      <c r="I793" s="147"/>
      <c r="P793" s="158" t="s">
        <v>5382</v>
      </c>
      <c r="Q793" s="123"/>
      <c r="R793" s="124"/>
      <c r="T793" s="76"/>
      <c r="U793" s="71"/>
      <c r="X793" s="147"/>
      <c r="Y793" s="65" t="s">
        <v>312</v>
      </c>
      <c r="Z793" s="54"/>
      <c r="AA793" s="54"/>
      <c r="AB793" s="54"/>
      <c r="AC793" s="158"/>
      <c r="AD793" s="65" t="s">
        <v>5378</v>
      </c>
      <c r="AF793" s="65" t="s">
        <v>65</v>
      </c>
      <c r="AG793" s="29">
        <v>41677</v>
      </c>
      <c r="AH793" s="65">
        <f t="shared" si="89"/>
        <v>2</v>
      </c>
      <c r="AI793" s="29">
        <v>41704</v>
      </c>
      <c r="AK793" s="65" t="str">
        <f t="shared" si="85"/>
        <v/>
      </c>
      <c r="AL793" s="65" t="s">
        <v>2322</v>
      </c>
      <c r="AM793" s="138"/>
      <c r="AN793" s="138"/>
      <c r="AO793" s="190"/>
      <c r="AP793" s="134" t="str">
        <f t="shared" si="90"/>
        <v/>
      </c>
      <c r="AQ793" s="158"/>
      <c r="AR793" s="23"/>
      <c r="AS793" s="76"/>
      <c r="AT793" s="71"/>
      <c r="AU793" s="65" t="str">
        <f t="shared" si="87"/>
        <v/>
      </c>
      <c r="AV793" s="76"/>
    </row>
    <row r="794" spans="1:48" ht="12.75" hidden="1" x14ac:dyDescent="0.2">
      <c r="A794" s="87">
        <f t="shared" si="88"/>
        <v>20771</v>
      </c>
      <c r="B794" s="79" t="s">
        <v>5383</v>
      </c>
      <c r="C794" s="79" t="s">
        <v>5384</v>
      </c>
      <c r="D794" s="79" t="s">
        <v>5385</v>
      </c>
      <c r="E794" s="65" t="s">
        <v>51</v>
      </c>
      <c r="H794" s="158"/>
      <c r="I794" s="147"/>
      <c r="P794" s="158" t="s">
        <v>5386</v>
      </c>
      <c r="Q794" s="123"/>
      <c r="R794" s="124"/>
      <c r="T794" s="76"/>
      <c r="U794" s="71"/>
      <c r="X794" s="147"/>
      <c r="Y794" s="65" t="s">
        <v>312</v>
      </c>
      <c r="Z794" s="54"/>
      <c r="AA794" s="54"/>
      <c r="AB794" s="54"/>
      <c r="AC794" s="158"/>
      <c r="AD794" s="65" t="s">
        <v>5378</v>
      </c>
      <c r="AF794" s="65" t="s">
        <v>65</v>
      </c>
      <c r="AG794" s="29">
        <v>41680</v>
      </c>
      <c r="AH794" s="65">
        <f t="shared" si="89"/>
        <v>2</v>
      </c>
      <c r="AI794" s="29">
        <v>41707</v>
      </c>
      <c r="AK794" s="65" t="str">
        <f t="shared" si="85"/>
        <v/>
      </c>
      <c r="AL794" s="65" t="s">
        <v>2322</v>
      </c>
      <c r="AM794" s="138"/>
      <c r="AN794" s="138"/>
      <c r="AO794" s="190"/>
      <c r="AP794" s="134" t="str">
        <f t="shared" si="90"/>
        <v/>
      </c>
      <c r="AQ794" s="158"/>
      <c r="AR794" s="23"/>
      <c r="AS794" s="76"/>
      <c r="AT794" s="71"/>
      <c r="AU794" s="65" t="str">
        <f t="shared" si="87"/>
        <v/>
      </c>
      <c r="AV794" s="76"/>
    </row>
    <row r="795" spans="1:48" ht="12.75" hidden="1" x14ac:dyDescent="0.2">
      <c r="A795" s="87">
        <f t="shared" si="88"/>
        <v>20772</v>
      </c>
      <c r="B795" s="79" t="s">
        <v>3425</v>
      </c>
      <c r="C795" s="79" t="s">
        <v>5387</v>
      </c>
      <c r="D795" s="79" t="s">
        <v>5388</v>
      </c>
      <c r="E795" s="65" t="s">
        <v>51</v>
      </c>
      <c r="H795" s="158"/>
      <c r="I795" s="147"/>
      <c r="P795" s="158" t="s">
        <v>5389</v>
      </c>
      <c r="Q795" s="123"/>
      <c r="R795" s="124"/>
      <c r="T795" s="76"/>
      <c r="U795" s="71"/>
      <c r="X795" s="147"/>
      <c r="Y795" s="65" t="s">
        <v>312</v>
      </c>
      <c r="Z795" s="54"/>
      <c r="AA795" s="54"/>
      <c r="AB795" s="54"/>
      <c r="AC795" s="158"/>
      <c r="AD795" s="65" t="s">
        <v>5378</v>
      </c>
      <c r="AF795" s="65" t="s">
        <v>65</v>
      </c>
      <c r="AG795" s="29">
        <v>41676</v>
      </c>
      <c r="AH795" s="65">
        <f t="shared" si="89"/>
        <v>2</v>
      </c>
      <c r="AI795" s="29">
        <v>41703</v>
      </c>
      <c r="AK795" s="65" t="str">
        <f t="shared" si="85"/>
        <v/>
      </c>
      <c r="AL795" s="65" t="s">
        <v>2322</v>
      </c>
      <c r="AM795" s="138"/>
      <c r="AN795" s="138"/>
      <c r="AO795" s="190"/>
      <c r="AP795" s="134" t="str">
        <f t="shared" si="90"/>
        <v/>
      </c>
      <c r="AQ795" s="158"/>
      <c r="AR795" s="23"/>
      <c r="AS795" s="76"/>
      <c r="AT795" s="71"/>
      <c r="AU795" s="65" t="str">
        <f t="shared" si="87"/>
        <v/>
      </c>
      <c r="AV795" s="76"/>
    </row>
    <row r="796" spans="1:48" ht="12.75" hidden="1" x14ac:dyDescent="0.2">
      <c r="A796" s="87">
        <f t="shared" si="88"/>
        <v>20773</v>
      </c>
      <c r="B796" s="79" t="s">
        <v>5390</v>
      </c>
      <c r="C796" s="79" t="s">
        <v>466</v>
      </c>
      <c r="D796" s="79" t="s">
        <v>5391</v>
      </c>
      <c r="E796" s="65" t="s">
        <v>94</v>
      </c>
      <c r="H796" s="158"/>
      <c r="I796" s="147"/>
      <c r="P796" s="158" t="s">
        <v>5392</v>
      </c>
      <c r="Q796" s="123"/>
      <c r="R796" s="124"/>
      <c r="T796" s="76"/>
      <c r="U796" s="71"/>
      <c r="X796" s="147"/>
      <c r="Y796" s="65" t="s">
        <v>312</v>
      </c>
      <c r="Z796" s="54"/>
      <c r="AA796" s="54"/>
      <c r="AB796" s="54"/>
      <c r="AC796" s="158"/>
      <c r="AD796" s="65" t="s">
        <v>5378</v>
      </c>
      <c r="AF796" s="65" t="s">
        <v>65</v>
      </c>
      <c r="AG796" s="29">
        <v>41676</v>
      </c>
      <c r="AH796" s="65">
        <f t="shared" si="89"/>
        <v>2</v>
      </c>
      <c r="AI796" s="29">
        <v>41703</v>
      </c>
      <c r="AK796" s="65" t="str">
        <f t="shared" si="85"/>
        <v/>
      </c>
      <c r="AL796" s="65" t="s">
        <v>2322</v>
      </c>
      <c r="AM796" s="138"/>
      <c r="AN796" s="138"/>
      <c r="AO796" s="190"/>
      <c r="AP796" s="134" t="str">
        <f t="shared" si="90"/>
        <v/>
      </c>
      <c r="AQ796" s="158"/>
      <c r="AR796" s="23"/>
      <c r="AS796" s="76"/>
      <c r="AT796" s="71"/>
      <c r="AU796" s="65" t="str">
        <f t="shared" si="87"/>
        <v/>
      </c>
      <c r="AV796" s="76"/>
    </row>
    <row r="797" spans="1:48" ht="12.75" hidden="1" x14ac:dyDescent="0.2">
      <c r="A797" s="87">
        <f t="shared" si="88"/>
        <v>20774</v>
      </c>
      <c r="B797" s="79" t="s">
        <v>265</v>
      </c>
      <c r="C797" s="79" t="s">
        <v>685</v>
      </c>
      <c r="D797" s="79"/>
      <c r="E797" s="65" t="s">
        <v>94</v>
      </c>
      <c r="H797" s="158"/>
      <c r="I797" s="147"/>
      <c r="P797" s="158" t="s">
        <v>5393</v>
      </c>
      <c r="Q797" s="123"/>
      <c r="R797" s="124"/>
      <c r="T797" s="76"/>
      <c r="U797" s="71"/>
      <c r="X797" s="147"/>
      <c r="Y797" s="65" t="s">
        <v>312</v>
      </c>
      <c r="Z797" s="54"/>
      <c r="AA797" s="54"/>
      <c r="AB797" s="54"/>
      <c r="AC797" s="158"/>
      <c r="AD797" s="65" t="s">
        <v>5242</v>
      </c>
      <c r="AF797" s="65" t="s">
        <v>65</v>
      </c>
      <c r="AG797" s="29">
        <v>41691</v>
      </c>
      <c r="AH797" s="65">
        <f t="shared" si="89"/>
        <v>2</v>
      </c>
      <c r="AI797" s="29">
        <v>41718</v>
      </c>
      <c r="AK797" s="65" t="str">
        <f t="shared" si="85"/>
        <v/>
      </c>
      <c r="AL797" s="65" t="s">
        <v>2322</v>
      </c>
      <c r="AM797" s="138"/>
      <c r="AN797" s="138"/>
      <c r="AO797" s="190"/>
      <c r="AP797" s="134" t="str">
        <f t="shared" si="90"/>
        <v/>
      </c>
      <c r="AQ797" s="158"/>
      <c r="AR797" s="23"/>
      <c r="AS797" s="76"/>
      <c r="AT797" s="71"/>
      <c r="AU797" s="65" t="str">
        <f t="shared" si="87"/>
        <v/>
      </c>
      <c r="AV797" s="76"/>
    </row>
    <row r="798" spans="1:48" ht="12.75" hidden="1" x14ac:dyDescent="0.2">
      <c r="A798" s="87">
        <f t="shared" si="88"/>
        <v>20775</v>
      </c>
      <c r="B798" s="79" t="s">
        <v>5394</v>
      </c>
      <c r="C798" s="79" t="s">
        <v>160</v>
      </c>
      <c r="D798" s="79" t="s">
        <v>5395</v>
      </c>
      <c r="E798" s="65" t="s">
        <v>51</v>
      </c>
      <c r="H798" s="158"/>
      <c r="I798" s="147"/>
      <c r="P798" s="158" t="s">
        <v>5396</v>
      </c>
      <c r="Q798" s="123"/>
      <c r="R798" s="124"/>
      <c r="T798" s="76"/>
      <c r="U798" s="71"/>
      <c r="X798" s="147"/>
      <c r="Y798" s="65" t="s">
        <v>312</v>
      </c>
      <c r="Z798" s="54"/>
      <c r="AA798" s="54"/>
      <c r="AB798" s="54"/>
      <c r="AC798" s="158"/>
      <c r="AD798" s="65" t="s">
        <v>5242</v>
      </c>
      <c r="AF798" s="65" t="s">
        <v>65</v>
      </c>
      <c r="AG798" s="29">
        <v>41677</v>
      </c>
      <c r="AH798" s="65">
        <f t="shared" si="89"/>
        <v>2</v>
      </c>
      <c r="AI798" s="29">
        <v>41704</v>
      </c>
      <c r="AK798" s="65" t="str">
        <f t="shared" si="85"/>
        <v/>
      </c>
      <c r="AL798" s="65" t="s">
        <v>2322</v>
      </c>
      <c r="AM798" s="138"/>
      <c r="AN798" s="138"/>
      <c r="AO798" s="190"/>
      <c r="AP798" s="134" t="str">
        <f t="shared" si="90"/>
        <v/>
      </c>
      <c r="AQ798" s="158"/>
      <c r="AR798" s="23"/>
      <c r="AS798" s="76"/>
      <c r="AT798" s="71"/>
      <c r="AU798" s="65" t="str">
        <f t="shared" si="87"/>
        <v/>
      </c>
      <c r="AV798" s="76"/>
    </row>
    <row r="799" spans="1:48" ht="12.75" hidden="1" x14ac:dyDescent="0.2">
      <c r="A799" s="87">
        <f t="shared" si="88"/>
        <v>20776</v>
      </c>
      <c r="B799" s="79" t="s">
        <v>5383</v>
      </c>
      <c r="C799" s="79" t="s">
        <v>607</v>
      </c>
      <c r="D799" s="79" t="s">
        <v>5397</v>
      </c>
      <c r="E799" s="65" t="s">
        <v>94</v>
      </c>
      <c r="H799" s="158"/>
      <c r="I799" s="147"/>
      <c r="P799" s="158" t="s">
        <v>5398</v>
      </c>
      <c r="Q799" s="123"/>
      <c r="R799" s="124"/>
      <c r="T799" s="76"/>
      <c r="U799" s="71"/>
      <c r="X799" s="147"/>
      <c r="Y799" s="65" t="s">
        <v>206</v>
      </c>
      <c r="Z799" s="54"/>
      <c r="AA799" s="54"/>
      <c r="AB799" s="54"/>
      <c r="AC799" s="158"/>
      <c r="AD799" s="65" t="s">
        <v>5378</v>
      </c>
      <c r="AF799" s="65" t="s">
        <v>65</v>
      </c>
      <c r="AH799" s="65" t="str">
        <f t="shared" si="89"/>
        <v/>
      </c>
      <c r="AI799" s="65"/>
      <c r="AJ799" s="29">
        <v>41676</v>
      </c>
      <c r="AK799" s="65">
        <f t="shared" si="85"/>
        <v>2</v>
      </c>
      <c r="AL799" s="65" t="s">
        <v>66</v>
      </c>
      <c r="AM799" s="138"/>
      <c r="AN799" s="138"/>
      <c r="AO799" s="190"/>
      <c r="AP799" s="134" t="str">
        <f t="shared" si="90"/>
        <v/>
      </c>
      <c r="AQ799" s="158"/>
      <c r="AR799" s="23"/>
      <c r="AS799" s="76"/>
      <c r="AT799" s="71"/>
      <c r="AU799" s="65" t="str">
        <f t="shared" si="87"/>
        <v/>
      </c>
      <c r="AV799" s="76"/>
    </row>
    <row r="800" spans="1:48" ht="12.75" hidden="1" x14ac:dyDescent="0.2">
      <c r="A800" s="87">
        <f t="shared" si="88"/>
        <v>20777</v>
      </c>
      <c r="B800" s="79" t="s">
        <v>5399</v>
      </c>
      <c r="C800" s="79" t="s">
        <v>920</v>
      </c>
      <c r="D800" s="79" t="s">
        <v>5400</v>
      </c>
      <c r="E800" s="65" t="s">
        <v>94</v>
      </c>
      <c r="H800" s="158"/>
      <c r="I800" s="147"/>
      <c r="P800" s="158" t="s">
        <v>5401</v>
      </c>
      <c r="Q800" s="123"/>
      <c r="R800" s="124"/>
      <c r="T800" s="76"/>
      <c r="U800" s="71"/>
      <c r="X800" s="147"/>
      <c r="Y800" s="65" t="s">
        <v>206</v>
      </c>
      <c r="Z800" s="54"/>
      <c r="AA800" s="54"/>
      <c r="AB800" s="54"/>
      <c r="AC800" s="158"/>
      <c r="AD800" s="65" t="s">
        <v>158</v>
      </c>
      <c r="AF800" s="65" t="s">
        <v>65</v>
      </c>
      <c r="AG800" s="29">
        <v>41676</v>
      </c>
      <c r="AH800" s="65">
        <f t="shared" si="89"/>
        <v>2</v>
      </c>
      <c r="AI800" s="65"/>
      <c r="AJ800" s="29">
        <v>41676</v>
      </c>
      <c r="AK800" s="65">
        <f t="shared" si="85"/>
        <v>2</v>
      </c>
      <c r="AL800" s="65" t="s">
        <v>66</v>
      </c>
      <c r="AM800" s="138"/>
      <c r="AN800" s="138"/>
      <c r="AO800" s="190"/>
      <c r="AP800" s="134" t="str">
        <f t="shared" si="90"/>
        <v/>
      </c>
      <c r="AQ800" s="158"/>
      <c r="AR800" s="23"/>
      <c r="AS800" s="76"/>
      <c r="AT800" s="71"/>
      <c r="AU800" s="65" t="str">
        <f t="shared" si="87"/>
        <v/>
      </c>
      <c r="AV800" s="76"/>
    </row>
    <row r="801" spans="1:48" ht="12.75" hidden="1" x14ac:dyDescent="0.2">
      <c r="A801" s="87">
        <f t="shared" si="88"/>
        <v>20778</v>
      </c>
      <c r="B801" s="79" t="s">
        <v>4146</v>
      </c>
      <c r="C801" s="79" t="s">
        <v>2069</v>
      </c>
      <c r="D801" s="79"/>
      <c r="E801" s="65" t="s">
        <v>94</v>
      </c>
      <c r="F801" s="21">
        <v>41878</v>
      </c>
      <c r="G801" s="174" t="s">
        <v>1139</v>
      </c>
      <c r="H801" s="145" t="s">
        <v>52</v>
      </c>
      <c r="I801" s="174" t="s">
        <v>5402</v>
      </c>
      <c r="J801" s="119">
        <v>39341</v>
      </c>
      <c r="K801" s="65" t="s">
        <v>52</v>
      </c>
      <c r="L801" s="6" t="s">
        <v>123</v>
      </c>
      <c r="M801" s="174" t="s">
        <v>5403</v>
      </c>
      <c r="N801" s="92" t="s">
        <v>3403</v>
      </c>
      <c r="P801" s="158" t="s">
        <v>5404</v>
      </c>
      <c r="Q801" s="123"/>
      <c r="R801" s="124" t="s">
        <v>5405</v>
      </c>
      <c r="S801" s="65" t="s">
        <v>5406</v>
      </c>
      <c r="T801" s="158" t="s">
        <v>5407</v>
      </c>
      <c r="U801" s="76" t="s">
        <v>5407</v>
      </c>
      <c r="V801" s="166" t="s">
        <v>5408</v>
      </c>
      <c r="W801" s="65" t="s">
        <v>283</v>
      </c>
      <c r="X801" s="147" t="s">
        <v>5409</v>
      </c>
      <c r="Y801" s="65" t="s">
        <v>865</v>
      </c>
      <c r="Z801" s="54"/>
      <c r="AA801" s="54"/>
      <c r="AB801" s="54"/>
      <c r="AC801" s="158"/>
      <c r="AD801" s="65" t="s">
        <v>207</v>
      </c>
      <c r="AE801" s="27" t="s">
        <v>585</v>
      </c>
      <c r="AF801" s="65" t="s">
        <v>65</v>
      </c>
      <c r="AG801" s="29">
        <v>41689</v>
      </c>
      <c r="AH801" s="65">
        <f t="shared" si="89"/>
        <v>2</v>
      </c>
      <c r="AI801" s="65"/>
      <c r="AL801" s="65" t="s">
        <v>2322</v>
      </c>
      <c r="AM801" s="138"/>
      <c r="AN801" s="138"/>
      <c r="AO801" s="190"/>
      <c r="AP801" s="134"/>
      <c r="AQ801" s="158"/>
      <c r="AR801" s="23"/>
      <c r="AS801" s="76"/>
      <c r="AT801" s="71"/>
      <c r="AU801" s="65">
        <f>IF((F803=""),"",MONTH(F803))</f>
        <v>9</v>
      </c>
      <c r="AV801" s="76"/>
    </row>
    <row r="802" spans="1:48" ht="25.5" hidden="1" x14ac:dyDescent="0.2">
      <c r="A802" s="87">
        <f t="shared" si="88"/>
        <v>20779</v>
      </c>
      <c r="B802" s="79" t="s">
        <v>5410</v>
      </c>
      <c r="C802" s="79" t="s">
        <v>607</v>
      </c>
      <c r="D802" s="79"/>
      <c r="E802" s="65" t="s">
        <v>94</v>
      </c>
      <c r="F802" s="29">
        <v>31622</v>
      </c>
      <c r="G802" s="1"/>
      <c r="H802" s="65" t="s">
        <v>338</v>
      </c>
      <c r="I802" s="147" t="s">
        <v>5411</v>
      </c>
      <c r="J802" s="29">
        <v>41373</v>
      </c>
      <c r="K802" s="65" t="s">
        <v>52</v>
      </c>
      <c r="L802" s="65" t="s">
        <v>5085</v>
      </c>
      <c r="M802" s="65" t="s">
        <v>5412</v>
      </c>
      <c r="N802" s="65" t="s">
        <v>5413</v>
      </c>
      <c r="P802" s="158" t="s">
        <v>5414</v>
      </c>
      <c r="Q802" s="123" t="s">
        <v>5415</v>
      </c>
      <c r="R802" s="124" t="s">
        <v>5416</v>
      </c>
      <c r="T802" s="158" t="s">
        <v>5417</v>
      </c>
      <c r="U802" s="76" t="s">
        <v>5417</v>
      </c>
      <c r="V802" s="166"/>
      <c r="X802" s="147"/>
      <c r="Y802" s="65" t="s">
        <v>865</v>
      </c>
      <c r="Z802" s="54"/>
      <c r="AA802" s="54"/>
      <c r="AB802" s="54"/>
      <c r="AC802" s="158"/>
      <c r="AD802" s="65" t="s">
        <v>207</v>
      </c>
      <c r="AE802" s="27" t="s">
        <v>585</v>
      </c>
      <c r="AF802" s="65" t="s">
        <v>65</v>
      </c>
      <c r="AG802" s="29">
        <v>41689</v>
      </c>
      <c r="AH802" s="65">
        <f t="shared" si="89"/>
        <v>2</v>
      </c>
      <c r="AI802" s="65"/>
      <c r="AL802" s="65" t="s">
        <v>2322</v>
      </c>
      <c r="AM802" s="138"/>
      <c r="AN802" s="138"/>
      <c r="AO802" s="190"/>
      <c r="AP802" s="134"/>
      <c r="AQ802" s="158"/>
      <c r="AR802" s="23"/>
      <c r="AS802" s="76"/>
      <c r="AT802" s="71"/>
      <c r="AU802" s="65">
        <f>IF((F802=""),"",MONTH(F802))</f>
        <v>7</v>
      </c>
      <c r="AV802" s="76"/>
    </row>
    <row r="803" spans="1:48" ht="12.75" hidden="1" x14ac:dyDescent="0.2">
      <c r="A803" s="87">
        <f t="shared" si="88"/>
        <v>20780</v>
      </c>
      <c r="B803" s="79" t="s">
        <v>5418</v>
      </c>
      <c r="C803" s="79" t="s">
        <v>424</v>
      </c>
      <c r="D803" s="79"/>
      <c r="E803" s="65" t="s">
        <v>94</v>
      </c>
      <c r="F803" s="29">
        <v>32761</v>
      </c>
      <c r="G803" s="65" t="s">
        <v>726</v>
      </c>
      <c r="H803" s="184" t="s">
        <v>726</v>
      </c>
      <c r="I803" s="147" t="s">
        <v>5419</v>
      </c>
      <c r="J803" s="29">
        <v>41365</v>
      </c>
      <c r="K803" s="65" t="s">
        <v>5420</v>
      </c>
      <c r="L803" s="65" t="s">
        <v>123</v>
      </c>
      <c r="M803" s="65" t="s">
        <v>382</v>
      </c>
      <c r="N803" s="65" t="s">
        <v>368</v>
      </c>
      <c r="P803" s="158" t="s">
        <v>5421</v>
      </c>
      <c r="Q803" s="123"/>
      <c r="R803" s="124" t="s">
        <v>5422</v>
      </c>
      <c r="S803" s="65" t="s">
        <v>5423</v>
      </c>
      <c r="T803" s="76" t="s">
        <v>5424</v>
      </c>
      <c r="U803" s="71" t="s">
        <v>5425</v>
      </c>
      <c r="X803" s="147"/>
      <c r="Y803" s="65" t="s">
        <v>865</v>
      </c>
      <c r="Z803" s="54"/>
      <c r="AA803" s="54"/>
      <c r="AB803" s="54"/>
      <c r="AC803" s="158"/>
      <c r="AD803" s="65" t="s">
        <v>207</v>
      </c>
      <c r="AE803" s="27" t="s">
        <v>585</v>
      </c>
      <c r="AF803" s="65" t="s">
        <v>65</v>
      </c>
      <c r="AG803" s="29">
        <v>41689</v>
      </c>
      <c r="AH803" s="65">
        <f t="shared" si="89"/>
        <v>2</v>
      </c>
      <c r="AI803" s="65"/>
      <c r="AK803" s="65" t="str">
        <f>IF((AJ803=""),"",MONTH(AJ803))</f>
        <v/>
      </c>
      <c r="AL803" s="65" t="s">
        <v>2322</v>
      </c>
      <c r="AM803" s="138"/>
      <c r="AN803" s="138"/>
      <c r="AO803" s="190"/>
      <c r="AP803" s="134" t="str">
        <f>IF((AO803=""),"",MONTH(AO803))</f>
        <v/>
      </c>
      <c r="AQ803" s="158"/>
      <c r="AR803" s="23"/>
      <c r="AS803" s="76"/>
      <c r="AT803" s="162"/>
      <c r="AU803" s="28"/>
      <c r="AV803" s="162"/>
    </row>
    <row r="804" spans="1:48" ht="12.75" hidden="1" x14ac:dyDescent="0.2">
      <c r="A804" s="87">
        <f t="shared" si="88"/>
        <v>20781</v>
      </c>
      <c r="B804" s="79" t="s">
        <v>5426</v>
      </c>
      <c r="C804" s="79" t="s">
        <v>200</v>
      </c>
      <c r="D804" s="79"/>
      <c r="E804" s="65" t="s">
        <v>94</v>
      </c>
      <c r="H804" s="158"/>
      <c r="I804" s="147"/>
      <c r="P804" s="158" t="s">
        <v>5427</v>
      </c>
      <c r="Q804" s="123"/>
      <c r="R804" s="124"/>
      <c r="T804" s="76"/>
      <c r="U804" s="71"/>
      <c r="X804" s="147"/>
      <c r="Z804" s="54"/>
      <c r="AA804" s="54"/>
      <c r="AB804" s="54"/>
      <c r="AC804" s="158"/>
      <c r="AD804" s="65" t="s">
        <v>158</v>
      </c>
      <c r="AF804" s="65" t="s">
        <v>65</v>
      </c>
      <c r="AH804" s="65" t="str">
        <f t="shared" si="89"/>
        <v/>
      </c>
      <c r="AI804" s="65"/>
      <c r="AL804" s="65" t="s">
        <v>2322</v>
      </c>
      <c r="AM804" s="138"/>
      <c r="AN804" s="138"/>
      <c r="AO804" s="190"/>
      <c r="AP804" s="134"/>
      <c r="AQ804" s="158"/>
      <c r="AR804" s="23"/>
      <c r="AS804" s="76"/>
      <c r="AT804" s="162"/>
      <c r="AU804" s="162"/>
      <c r="AV804" s="162"/>
    </row>
    <row r="805" spans="1:48" ht="12.75" hidden="1" x14ac:dyDescent="0.2">
      <c r="A805" s="87">
        <f t="shared" si="88"/>
        <v>20782</v>
      </c>
      <c r="B805" s="79" t="s">
        <v>5428</v>
      </c>
      <c r="C805" s="79" t="s">
        <v>160</v>
      </c>
      <c r="D805" s="79" t="s">
        <v>5429</v>
      </c>
      <c r="E805" s="65" t="s">
        <v>94</v>
      </c>
      <c r="H805" s="158"/>
      <c r="I805" s="147"/>
      <c r="P805" s="158" t="s">
        <v>5430</v>
      </c>
      <c r="Q805" s="123"/>
      <c r="R805" s="124"/>
      <c r="T805" s="76"/>
      <c r="U805" s="71"/>
      <c r="X805" s="147"/>
      <c r="Y805" s="65" t="s">
        <v>312</v>
      </c>
      <c r="Z805" s="54"/>
      <c r="AA805" s="54"/>
      <c r="AB805" s="54"/>
      <c r="AC805" s="158"/>
      <c r="AD805" s="65" t="s">
        <v>5378</v>
      </c>
      <c r="AE805" s="27" t="s">
        <v>5431</v>
      </c>
      <c r="AF805" s="65" t="s">
        <v>65</v>
      </c>
      <c r="AG805" s="29">
        <v>41689</v>
      </c>
      <c r="AH805" s="65">
        <f t="shared" si="89"/>
        <v>2</v>
      </c>
      <c r="AI805" s="29">
        <v>41747</v>
      </c>
      <c r="AL805" s="65" t="s">
        <v>2322</v>
      </c>
      <c r="AM805" s="138"/>
      <c r="AN805" s="138"/>
      <c r="AO805" s="190"/>
      <c r="AP805" s="134"/>
      <c r="AQ805" s="158"/>
      <c r="AR805" s="23"/>
      <c r="AS805" s="76"/>
      <c r="AT805" s="162"/>
      <c r="AU805" s="162"/>
      <c r="AV805" s="162"/>
    </row>
    <row r="806" spans="1:48" ht="12.75" hidden="1" x14ac:dyDescent="0.2">
      <c r="A806" s="87">
        <f t="shared" si="88"/>
        <v>20783</v>
      </c>
      <c r="B806" s="79" t="s">
        <v>5432</v>
      </c>
      <c r="C806" s="79" t="s">
        <v>2367</v>
      </c>
      <c r="D806" s="79" t="s">
        <v>5433</v>
      </c>
      <c r="E806" s="65" t="s">
        <v>94</v>
      </c>
      <c r="H806" s="158"/>
      <c r="I806" s="147"/>
      <c r="P806" s="158" t="s">
        <v>5434</v>
      </c>
      <c r="Q806" s="123"/>
      <c r="R806" s="124"/>
      <c r="T806" s="76"/>
      <c r="U806" s="71"/>
      <c r="X806" s="147"/>
      <c r="Y806" s="65" t="s">
        <v>865</v>
      </c>
      <c r="Z806" s="54"/>
      <c r="AA806" s="54"/>
      <c r="AB806" s="54"/>
      <c r="AC806" s="158"/>
      <c r="AD806" s="65" t="s">
        <v>5378</v>
      </c>
      <c r="AE806" s="27" t="s">
        <v>5431</v>
      </c>
      <c r="AF806" s="65" t="s">
        <v>65</v>
      </c>
      <c r="AG806" s="29">
        <v>41689</v>
      </c>
      <c r="AH806" s="65">
        <f t="shared" si="89"/>
        <v>2</v>
      </c>
      <c r="AI806" s="29">
        <v>41747</v>
      </c>
      <c r="AL806" s="65" t="s">
        <v>2322</v>
      </c>
      <c r="AM806" s="138"/>
      <c r="AN806" s="138"/>
      <c r="AO806" s="190"/>
      <c r="AP806" s="134"/>
      <c r="AQ806" s="158"/>
      <c r="AR806" s="23"/>
      <c r="AS806" s="76"/>
      <c r="AT806" s="162"/>
      <c r="AU806" s="162"/>
      <c r="AV806" s="162"/>
    </row>
    <row r="807" spans="1:48" ht="12.75" hidden="1" x14ac:dyDescent="0.2">
      <c r="A807" s="87">
        <f t="shared" si="88"/>
        <v>20784</v>
      </c>
      <c r="B807" s="79" t="s">
        <v>606</v>
      </c>
      <c r="C807" s="79" t="s">
        <v>160</v>
      </c>
      <c r="D807" s="79" t="s">
        <v>5435</v>
      </c>
      <c r="E807" s="65" t="s">
        <v>94</v>
      </c>
      <c r="H807" s="158"/>
      <c r="I807" s="147"/>
      <c r="P807" s="158" t="s">
        <v>5436</v>
      </c>
      <c r="Q807" s="123"/>
      <c r="R807" s="124"/>
      <c r="T807" s="76"/>
      <c r="U807" s="71"/>
      <c r="X807" s="147"/>
      <c r="Y807" s="65" t="s">
        <v>312</v>
      </c>
      <c r="Z807" s="54"/>
      <c r="AA807" s="54"/>
      <c r="AB807" s="54"/>
      <c r="AC807" s="158"/>
      <c r="AD807" s="65" t="s">
        <v>5242</v>
      </c>
      <c r="AF807" s="65" t="s">
        <v>65</v>
      </c>
      <c r="AG807" s="29">
        <v>41688</v>
      </c>
      <c r="AH807" s="65">
        <f t="shared" si="89"/>
        <v>2</v>
      </c>
      <c r="AI807" s="29">
        <v>41746</v>
      </c>
      <c r="AL807" s="65" t="s">
        <v>2322</v>
      </c>
      <c r="AM807" s="138"/>
      <c r="AN807" s="138"/>
      <c r="AO807" s="190"/>
      <c r="AP807" s="134"/>
      <c r="AQ807" s="158"/>
      <c r="AR807" s="23"/>
      <c r="AS807" s="76"/>
      <c r="AT807" s="162"/>
      <c r="AU807" s="162"/>
      <c r="AV807" s="162"/>
    </row>
    <row r="808" spans="1:48" ht="12.75" hidden="1" x14ac:dyDescent="0.2">
      <c r="A808" s="87">
        <f t="shared" si="88"/>
        <v>20785</v>
      </c>
      <c r="B808" s="79" t="s">
        <v>5437</v>
      </c>
      <c r="C808" s="79" t="s">
        <v>250</v>
      </c>
      <c r="D808" s="79" t="s">
        <v>5438</v>
      </c>
      <c r="E808" s="65" t="s">
        <v>94</v>
      </c>
      <c r="H808" s="158"/>
      <c r="I808" s="147"/>
      <c r="P808" s="158" t="s">
        <v>5439</v>
      </c>
      <c r="Q808" s="123"/>
      <c r="R808" s="124"/>
      <c r="T808" s="76"/>
      <c r="U808" s="71"/>
      <c r="X808" s="147"/>
      <c r="Y808" s="65" t="s">
        <v>312</v>
      </c>
      <c r="Z808" s="54"/>
      <c r="AA808" s="54"/>
      <c r="AB808" s="54"/>
      <c r="AC808" s="158"/>
      <c r="AD808" s="65" t="s">
        <v>5242</v>
      </c>
      <c r="AF808" s="65" t="s">
        <v>65</v>
      </c>
      <c r="AG808" s="29">
        <v>41677</v>
      </c>
      <c r="AH808" s="65">
        <f t="shared" si="89"/>
        <v>2</v>
      </c>
      <c r="AI808" s="29">
        <v>41704</v>
      </c>
      <c r="AL808" s="65" t="s">
        <v>2322</v>
      </c>
      <c r="AM808" s="138"/>
      <c r="AN808" s="138"/>
      <c r="AO808" s="190"/>
      <c r="AP808" s="134"/>
      <c r="AQ808" s="158"/>
      <c r="AR808" s="23"/>
      <c r="AS808" s="76"/>
      <c r="AT808" s="162"/>
      <c r="AU808" s="162"/>
      <c r="AV808" s="162"/>
    </row>
    <row r="809" spans="1:48" ht="12.75" hidden="1" x14ac:dyDescent="0.2">
      <c r="A809" s="87">
        <f t="shared" si="88"/>
        <v>20786</v>
      </c>
      <c r="B809" s="79" t="s">
        <v>5440</v>
      </c>
      <c r="C809" s="79" t="s">
        <v>5441</v>
      </c>
      <c r="D809" s="79" t="s">
        <v>5442</v>
      </c>
      <c r="E809" s="65" t="s">
        <v>51</v>
      </c>
      <c r="H809" s="158"/>
      <c r="I809" s="147"/>
      <c r="P809" s="158" t="s">
        <v>5443</v>
      </c>
      <c r="Q809" s="123"/>
      <c r="R809" s="124"/>
      <c r="T809" s="76"/>
      <c r="U809" s="71"/>
      <c r="X809" s="147"/>
      <c r="Y809" s="65" t="s">
        <v>2281</v>
      </c>
      <c r="Z809" s="54"/>
      <c r="AA809" s="54"/>
      <c r="AB809" s="54"/>
      <c r="AC809" s="158"/>
      <c r="AD809" s="65" t="s">
        <v>5242</v>
      </c>
      <c r="AF809" s="65" t="s">
        <v>65</v>
      </c>
      <c r="AG809" s="29">
        <v>41688</v>
      </c>
      <c r="AH809" s="65">
        <f t="shared" si="89"/>
        <v>2</v>
      </c>
      <c r="AI809" s="29">
        <v>41715</v>
      </c>
      <c r="AL809" s="65" t="s">
        <v>2322</v>
      </c>
      <c r="AM809" s="138"/>
      <c r="AN809" s="138"/>
      <c r="AO809" s="190"/>
      <c r="AP809" s="134"/>
      <c r="AQ809" s="158"/>
      <c r="AR809" s="23"/>
      <c r="AS809" s="76"/>
      <c r="AT809" s="162"/>
      <c r="AU809" s="162"/>
      <c r="AV809" s="162"/>
    </row>
    <row r="810" spans="1:48" ht="12.75" hidden="1" x14ac:dyDescent="0.2">
      <c r="A810" s="87">
        <f t="shared" si="88"/>
        <v>20787</v>
      </c>
      <c r="B810" s="79" t="s">
        <v>757</v>
      </c>
      <c r="C810" s="79" t="s">
        <v>160</v>
      </c>
      <c r="D810" s="79" t="s">
        <v>5444</v>
      </c>
      <c r="E810" s="65" t="s">
        <v>94</v>
      </c>
      <c r="H810" s="158"/>
      <c r="I810" s="147"/>
      <c r="P810" s="158" t="s">
        <v>5445</v>
      </c>
      <c r="Q810" s="123"/>
      <c r="R810" s="124"/>
      <c r="T810" s="76"/>
      <c r="U810" s="71"/>
      <c r="X810" s="147"/>
      <c r="Y810" s="65" t="s">
        <v>865</v>
      </c>
      <c r="Z810" s="54"/>
      <c r="AA810" s="54"/>
      <c r="AB810" s="54"/>
      <c r="AC810" s="158"/>
      <c r="AD810" s="65" t="s">
        <v>5378</v>
      </c>
      <c r="AE810" s="27" t="s">
        <v>5431</v>
      </c>
      <c r="AF810" s="65" t="s">
        <v>65</v>
      </c>
      <c r="AG810" s="29">
        <v>41689</v>
      </c>
      <c r="AH810" s="65">
        <f t="shared" si="89"/>
        <v>2</v>
      </c>
      <c r="AI810" s="29">
        <v>41747</v>
      </c>
      <c r="AL810" s="65" t="s">
        <v>2322</v>
      </c>
      <c r="AM810" s="138"/>
      <c r="AN810" s="138"/>
      <c r="AO810" s="190"/>
      <c r="AP810" s="134"/>
      <c r="AQ810" s="158"/>
      <c r="AR810" s="23"/>
      <c r="AS810" s="76"/>
      <c r="AT810" s="162"/>
      <c r="AU810" s="162"/>
      <c r="AV810" s="162"/>
    </row>
    <row r="811" spans="1:48" ht="12.75" hidden="1" x14ac:dyDescent="0.2">
      <c r="A811" s="87">
        <f t="shared" si="88"/>
        <v>20788</v>
      </c>
      <c r="B811" s="79" t="s">
        <v>5446</v>
      </c>
      <c r="C811" s="79" t="s">
        <v>287</v>
      </c>
      <c r="D811" s="79" t="s">
        <v>5447</v>
      </c>
      <c r="E811" s="65" t="s">
        <v>94</v>
      </c>
      <c r="H811" s="158"/>
      <c r="I811" s="147"/>
      <c r="P811" s="158" t="s">
        <v>5448</v>
      </c>
      <c r="Q811" s="123"/>
      <c r="R811" s="124"/>
      <c r="T811" s="76"/>
      <c r="U811" s="71"/>
      <c r="X811" s="147"/>
      <c r="Y811" s="65" t="s">
        <v>312</v>
      </c>
      <c r="Z811" s="54"/>
      <c r="AA811" s="54"/>
      <c r="AB811" s="54"/>
      <c r="AC811" s="158"/>
      <c r="AD811" s="65" t="s">
        <v>5242</v>
      </c>
      <c r="AF811" s="65" t="s">
        <v>65</v>
      </c>
      <c r="AG811" s="29">
        <v>41691</v>
      </c>
      <c r="AH811" s="65">
        <f t="shared" si="89"/>
        <v>2</v>
      </c>
      <c r="AI811" s="29">
        <v>41718</v>
      </c>
      <c r="AL811" s="65" t="s">
        <v>2322</v>
      </c>
      <c r="AM811" s="138"/>
      <c r="AN811" s="138"/>
      <c r="AO811" s="190"/>
      <c r="AP811" s="134"/>
      <c r="AQ811" s="158"/>
      <c r="AR811" s="23"/>
      <c r="AS811" s="76"/>
      <c r="AT811" s="162"/>
      <c r="AU811" s="162"/>
      <c r="AV811" s="162"/>
    </row>
    <row r="812" spans="1:48" ht="12.75" hidden="1" x14ac:dyDescent="0.2">
      <c r="A812" s="87">
        <f t="shared" si="88"/>
        <v>20789</v>
      </c>
      <c r="B812" s="79" t="s">
        <v>1900</v>
      </c>
      <c r="C812" s="79" t="s">
        <v>920</v>
      </c>
      <c r="D812" s="79" t="s">
        <v>5449</v>
      </c>
      <c r="E812" s="65" t="s">
        <v>94</v>
      </c>
      <c r="H812" s="158"/>
      <c r="I812" s="147"/>
      <c r="P812" s="158"/>
      <c r="Q812" s="123"/>
      <c r="R812" s="124"/>
      <c r="T812" s="76"/>
      <c r="U812" s="71"/>
      <c r="X812" s="147"/>
      <c r="Y812" s="65" t="s">
        <v>312</v>
      </c>
      <c r="Z812" s="54"/>
      <c r="AA812" s="54"/>
      <c r="AB812" s="54"/>
      <c r="AC812" s="158"/>
      <c r="AD812" s="65" t="s">
        <v>5242</v>
      </c>
      <c r="AF812" s="65" t="s">
        <v>65</v>
      </c>
      <c r="AG812" s="29">
        <v>41699</v>
      </c>
      <c r="AH812" s="65">
        <f t="shared" si="89"/>
        <v>3</v>
      </c>
      <c r="AI812" s="29">
        <v>41759</v>
      </c>
      <c r="AL812" s="65" t="s">
        <v>2322</v>
      </c>
      <c r="AM812" s="138"/>
      <c r="AN812" s="138"/>
      <c r="AO812" s="190"/>
      <c r="AP812" s="134"/>
      <c r="AQ812" s="158"/>
      <c r="AR812" s="23"/>
      <c r="AS812" s="76"/>
      <c r="AT812" s="162"/>
      <c r="AU812" s="162"/>
      <c r="AV812" s="162"/>
    </row>
    <row r="813" spans="1:48" ht="25.5" hidden="1" x14ac:dyDescent="0.2">
      <c r="A813" s="87">
        <f t="shared" si="88"/>
        <v>20790</v>
      </c>
      <c r="B813" s="79" t="s">
        <v>5450</v>
      </c>
      <c r="C813" s="79" t="s">
        <v>160</v>
      </c>
      <c r="D813" s="79" t="s">
        <v>5451</v>
      </c>
      <c r="E813" s="65" t="s">
        <v>51</v>
      </c>
      <c r="F813" s="29">
        <v>31241</v>
      </c>
      <c r="H813" s="158"/>
      <c r="I813" s="147" t="s">
        <v>5452</v>
      </c>
      <c r="J813" s="29">
        <v>36746</v>
      </c>
      <c r="K813" s="65" t="s">
        <v>52</v>
      </c>
      <c r="L813" s="65" t="s">
        <v>123</v>
      </c>
      <c r="M813" s="65" t="s">
        <v>3578</v>
      </c>
      <c r="N813" s="65" t="s">
        <v>2126</v>
      </c>
      <c r="P813" s="158" t="s">
        <v>5067</v>
      </c>
      <c r="Q813" s="123"/>
      <c r="R813" s="124" t="s">
        <v>5453</v>
      </c>
      <c r="S813" s="65" t="s">
        <v>5454</v>
      </c>
      <c r="T813" s="158" t="s">
        <v>5455</v>
      </c>
      <c r="U813" s="76" t="s">
        <v>5455</v>
      </c>
      <c r="V813" s="166" t="s">
        <v>5456</v>
      </c>
      <c r="W813" s="65" t="s">
        <v>3595</v>
      </c>
      <c r="X813" s="147" t="s">
        <v>5457</v>
      </c>
      <c r="Y813" s="65" t="s">
        <v>312</v>
      </c>
      <c r="Z813" s="54"/>
      <c r="AA813" s="54"/>
      <c r="AB813" s="54"/>
      <c r="AC813" s="158"/>
      <c r="AD813" s="65" t="s">
        <v>207</v>
      </c>
      <c r="AE813" s="27" t="s">
        <v>585</v>
      </c>
      <c r="AF813" s="65" t="s">
        <v>65</v>
      </c>
      <c r="AG813" s="29">
        <v>41691</v>
      </c>
      <c r="AH813" s="65">
        <f t="shared" si="89"/>
        <v>2</v>
      </c>
      <c r="AI813" s="29">
        <v>41749</v>
      </c>
      <c r="AL813" s="65" t="s">
        <v>2322</v>
      </c>
      <c r="AM813" s="138"/>
      <c r="AN813" s="138"/>
      <c r="AO813" s="190"/>
      <c r="AP813" s="134"/>
      <c r="AQ813" s="158"/>
      <c r="AR813" s="23"/>
      <c r="AS813" s="76"/>
      <c r="AT813" s="162"/>
      <c r="AU813" s="162"/>
      <c r="AV813" s="162"/>
    </row>
    <row r="814" spans="1:48" ht="12.75" hidden="1" x14ac:dyDescent="0.2">
      <c r="A814" s="87">
        <f t="shared" si="88"/>
        <v>20791</v>
      </c>
      <c r="B814" s="79" t="s">
        <v>5458</v>
      </c>
      <c r="C814" s="79" t="s">
        <v>1272</v>
      </c>
      <c r="D814" s="79" t="s">
        <v>5049</v>
      </c>
      <c r="E814" s="65" t="s">
        <v>94</v>
      </c>
      <c r="H814" s="158"/>
      <c r="I814" s="147"/>
      <c r="P814" s="158"/>
      <c r="Q814" s="123"/>
      <c r="R814" s="124"/>
      <c r="T814" s="76"/>
      <c r="U814" s="71"/>
      <c r="X814" s="147"/>
      <c r="Y814" s="65" t="s">
        <v>312</v>
      </c>
      <c r="Z814" s="54"/>
      <c r="AA814" s="54"/>
      <c r="AB814" s="54"/>
      <c r="AC814" s="158"/>
      <c r="AD814" s="65" t="s">
        <v>375</v>
      </c>
      <c r="AE814" s="27" t="s">
        <v>376</v>
      </c>
      <c r="AF814" s="65" t="s">
        <v>65</v>
      </c>
      <c r="AG814" s="29">
        <v>41701</v>
      </c>
      <c r="AH814" s="65">
        <f t="shared" si="89"/>
        <v>3</v>
      </c>
      <c r="AI814" s="29">
        <v>41761</v>
      </c>
      <c r="AL814" s="65" t="s">
        <v>2322</v>
      </c>
      <c r="AM814" s="138"/>
      <c r="AN814" s="138"/>
      <c r="AO814" s="190"/>
      <c r="AP814" s="134"/>
      <c r="AQ814" s="158"/>
      <c r="AR814" s="23"/>
      <c r="AS814" s="76"/>
      <c r="AT814" s="162"/>
      <c r="AU814" s="162"/>
      <c r="AV814" s="162"/>
    </row>
    <row r="815" spans="1:48" ht="12.75" hidden="1" x14ac:dyDescent="0.2">
      <c r="A815" s="87">
        <f t="shared" si="88"/>
        <v>20792</v>
      </c>
      <c r="B815" s="79" t="s">
        <v>560</v>
      </c>
      <c r="C815" s="79" t="s">
        <v>685</v>
      </c>
      <c r="D815" s="79"/>
      <c r="E815" s="65" t="s">
        <v>94</v>
      </c>
      <c r="F815" s="29">
        <v>32504</v>
      </c>
      <c r="G815" s="65" t="s">
        <v>120</v>
      </c>
      <c r="H815" s="158" t="s">
        <v>120</v>
      </c>
      <c r="I815" s="147" t="s">
        <v>5459</v>
      </c>
      <c r="J815" s="29">
        <v>38251</v>
      </c>
      <c r="K815" s="65" t="s">
        <v>120</v>
      </c>
      <c r="L815" s="65" t="s">
        <v>123</v>
      </c>
      <c r="M815" s="65" t="s">
        <v>3108</v>
      </c>
      <c r="N815" s="65" t="s">
        <v>1582</v>
      </c>
      <c r="O815" s="65">
        <v>2010</v>
      </c>
      <c r="P815" s="158"/>
      <c r="Q815" s="123"/>
      <c r="R815" s="124" t="s">
        <v>5460</v>
      </c>
      <c r="T815" s="76" t="s">
        <v>5461</v>
      </c>
      <c r="U815" s="71" t="s">
        <v>5462</v>
      </c>
      <c r="V815" s="65" t="s">
        <v>5463</v>
      </c>
      <c r="X815" s="147"/>
      <c r="Y815" s="65" t="s">
        <v>865</v>
      </c>
      <c r="Z815" s="54"/>
      <c r="AA815" s="54"/>
      <c r="AB815" s="54"/>
      <c r="AC815" s="158"/>
      <c r="AD815" s="65" t="s">
        <v>207</v>
      </c>
      <c r="AE815" s="27" t="s">
        <v>585</v>
      </c>
      <c r="AF815" s="65" t="s">
        <v>65</v>
      </c>
      <c r="AG815" s="29">
        <v>41701</v>
      </c>
      <c r="AH815" s="65">
        <f t="shared" si="89"/>
        <v>3</v>
      </c>
      <c r="AI815" s="29">
        <v>41761</v>
      </c>
      <c r="AL815" s="65" t="s">
        <v>2322</v>
      </c>
      <c r="AM815" s="138"/>
      <c r="AN815" s="138"/>
      <c r="AO815" s="190"/>
      <c r="AP815" s="134"/>
      <c r="AQ815" s="158"/>
      <c r="AR815" s="23"/>
      <c r="AS815" s="76"/>
      <c r="AT815" s="162"/>
      <c r="AU815" s="162"/>
      <c r="AV815" s="162"/>
    </row>
    <row r="816" spans="1:48" ht="12.75" hidden="1" x14ac:dyDescent="0.2">
      <c r="A816" s="87">
        <f t="shared" si="88"/>
        <v>20793</v>
      </c>
      <c r="B816" s="79" t="s">
        <v>684</v>
      </c>
      <c r="C816" s="79" t="s">
        <v>250</v>
      </c>
      <c r="D816" s="79"/>
      <c r="E816" s="65" t="s">
        <v>94</v>
      </c>
      <c r="H816" s="158"/>
      <c r="I816" s="147"/>
      <c r="P816" s="158"/>
      <c r="Q816" s="123"/>
      <c r="R816" s="124"/>
      <c r="T816" s="76"/>
      <c r="U816" s="71"/>
      <c r="X816" s="147"/>
      <c r="Y816" s="65" t="s">
        <v>865</v>
      </c>
      <c r="Z816" s="54"/>
      <c r="AA816" s="54"/>
      <c r="AB816" s="54"/>
      <c r="AC816" s="158"/>
      <c r="AD816" s="65" t="s">
        <v>207</v>
      </c>
      <c r="AE816" s="27" t="s">
        <v>585</v>
      </c>
      <c r="AF816" s="65" t="s">
        <v>65</v>
      </c>
      <c r="AG816" s="29">
        <v>41701</v>
      </c>
      <c r="AH816" s="65">
        <f t="shared" si="89"/>
        <v>3</v>
      </c>
      <c r="AI816" s="29">
        <v>41761</v>
      </c>
      <c r="AL816" s="65" t="s">
        <v>2322</v>
      </c>
      <c r="AM816" s="138"/>
      <c r="AN816" s="138"/>
      <c r="AO816" s="190"/>
      <c r="AP816" s="134"/>
      <c r="AQ816" s="158"/>
      <c r="AR816" s="23"/>
      <c r="AS816" s="76"/>
      <c r="AT816" s="162"/>
      <c r="AU816" s="162"/>
      <c r="AV816" s="162"/>
    </row>
    <row r="817" spans="1:48" ht="12.75" hidden="1" x14ac:dyDescent="0.2">
      <c r="A817" s="87">
        <f t="shared" si="88"/>
        <v>20794</v>
      </c>
      <c r="B817" s="79" t="s">
        <v>5464</v>
      </c>
      <c r="C817" s="79" t="s">
        <v>70</v>
      </c>
      <c r="D817" s="79"/>
      <c r="E817" s="65" t="s">
        <v>94</v>
      </c>
      <c r="H817" s="158"/>
      <c r="I817" s="147"/>
      <c r="P817" s="158"/>
      <c r="Q817" s="123"/>
      <c r="R817" s="124"/>
      <c r="T817" s="76"/>
      <c r="U817" s="71"/>
      <c r="X817" s="147"/>
      <c r="Y817" s="65" t="s">
        <v>865</v>
      </c>
      <c r="Z817" s="54"/>
      <c r="AA817" s="54"/>
      <c r="AB817" s="54"/>
      <c r="AC817" s="158"/>
      <c r="AD817" s="65" t="s">
        <v>207</v>
      </c>
      <c r="AE817" s="27" t="s">
        <v>585</v>
      </c>
      <c r="AF817" s="65" t="s">
        <v>65</v>
      </c>
      <c r="AG817" s="29">
        <v>41701</v>
      </c>
      <c r="AH817" s="65">
        <f t="shared" si="89"/>
        <v>3</v>
      </c>
      <c r="AI817" s="29">
        <v>41761</v>
      </c>
      <c r="AL817" s="65" t="s">
        <v>2322</v>
      </c>
      <c r="AM817" s="138"/>
      <c r="AN817" s="138"/>
      <c r="AO817" s="190"/>
      <c r="AP817" s="134"/>
      <c r="AQ817" s="158"/>
      <c r="AR817" s="23"/>
      <c r="AS817" s="76"/>
      <c r="AT817" s="162"/>
      <c r="AU817" s="162"/>
      <c r="AV817" s="162"/>
    </row>
    <row r="818" spans="1:48" ht="12.75" hidden="1" x14ac:dyDescent="0.2">
      <c r="A818" s="87">
        <f t="shared" si="88"/>
        <v>20795</v>
      </c>
      <c r="B818" s="79" t="s">
        <v>622</v>
      </c>
      <c r="C818" s="79" t="s">
        <v>2543</v>
      </c>
      <c r="D818" s="79" t="s">
        <v>5465</v>
      </c>
      <c r="E818" s="65" t="s">
        <v>51</v>
      </c>
      <c r="H818" s="158"/>
      <c r="I818" s="147"/>
      <c r="P818" s="158"/>
      <c r="Q818" s="123"/>
      <c r="R818" s="124"/>
      <c r="T818" s="76"/>
      <c r="U818" s="71"/>
      <c r="X818" s="147"/>
      <c r="Y818" s="65" t="s">
        <v>312</v>
      </c>
      <c r="Z818" s="54"/>
      <c r="AA818" s="54"/>
      <c r="AB818" s="54"/>
      <c r="AC818" s="158"/>
      <c r="AD818" s="65" t="s">
        <v>207</v>
      </c>
      <c r="AE818" s="27" t="s">
        <v>585</v>
      </c>
      <c r="AF818" s="65" t="s">
        <v>65</v>
      </c>
      <c r="AH818" s="65" t="str">
        <f t="shared" si="89"/>
        <v/>
      </c>
      <c r="AI818" s="65"/>
      <c r="AJ818" s="29">
        <v>41701</v>
      </c>
      <c r="AL818" s="65" t="s">
        <v>66</v>
      </c>
      <c r="AM818" s="138"/>
      <c r="AN818" s="138"/>
      <c r="AO818" s="190"/>
      <c r="AP818" s="134"/>
      <c r="AQ818" s="158"/>
      <c r="AR818" s="23"/>
      <c r="AS818" s="76"/>
      <c r="AT818" s="162"/>
      <c r="AU818" s="162"/>
      <c r="AV818" s="162"/>
    </row>
    <row r="819" spans="1:48" ht="12.75" hidden="1" x14ac:dyDescent="0.2">
      <c r="A819" s="87">
        <f t="shared" si="88"/>
        <v>20796</v>
      </c>
      <c r="D819" s="79"/>
      <c r="H819" s="158"/>
      <c r="I819" s="147"/>
      <c r="P819" s="158"/>
      <c r="Q819" s="123"/>
      <c r="R819" s="124"/>
      <c r="T819" s="76"/>
      <c r="U819" s="71"/>
      <c r="X819" s="147"/>
      <c r="Z819" s="54"/>
      <c r="AA819" s="54"/>
      <c r="AB819" s="54"/>
      <c r="AC819" s="158"/>
      <c r="AH819" s="65" t="str">
        <f t="shared" si="89"/>
        <v/>
      </c>
      <c r="AI819" s="65"/>
      <c r="AM819" s="138"/>
      <c r="AN819" s="138"/>
      <c r="AO819" s="190"/>
      <c r="AP819" s="134"/>
      <c r="AQ819" s="158"/>
      <c r="AR819" s="23"/>
      <c r="AS819" s="76"/>
      <c r="AT819" s="162"/>
      <c r="AU819" s="162"/>
      <c r="AV819" s="162"/>
    </row>
    <row r="820" spans="1:48" ht="12.75" hidden="1" x14ac:dyDescent="0.2">
      <c r="A820" s="87">
        <f t="shared" si="88"/>
        <v>20797</v>
      </c>
      <c r="D820" s="79"/>
      <c r="H820" s="158"/>
      <c r="I820" s="147"/>
      <c r="P820" s="158"/>
      <c r="Q820" s="123"/>
      <c r="R820" s="124"/>
      <c r="T820" s="76"/>
      <c r="U820" s="71"/>
      <c r="X820" s="147"/>
      <c r="Z820" s="54"/>
      <c r="AA820" s="54"/>
      <c r="AB820" s="54"/>
      <c r="AC820" s="158"/>
      <c r="AH820" s="65" t="str">
        <f t="shared" si="89"/>
        <v/>
      </c>
      <c r="AI820" s="65"/>
      <c r="AM820" s="138"/>
      <c r="AN820" s="138"/>
      <c r="AO820" s="190"/>
      <c r="AP820" s="134"/>
      <c r="AQ820" s="158"/>
      <c r="AR820" s="23"/>
      <c r="AS820" s="76"/>
      <c r="AT820" s="162"/>
      <c r="AU820" s="162"/>
      <c r="AV820" s="162"/>
    </row>
    <row r="821" spans="1:48" ht="12.75" hidden="1" x14ac:dyDescent="0.2">
      <c r="A821" s="87"/>
      <c r="D821" s="79"/>
      <c r="H821" s="158"/>
      <c r="I821" s="147"/>
      <c r="P821" s="158"/>
      <c r="Q821" s="123"/>
      <c r="R821" s="124"/>
      <c r="T821" s="76"/>
      <c r="U821" s="71"/>
      <c r="X821" s="147"/>
      <c r="Z821" s="54"/>
      <c r="AA821" s="54"/>
      <c r="AB821" s="54"/>
      <c r="AC821" s="158"/>
      <c r="AH821" s="65" t="str">
        <f t="shared" si="89"/>
        <v/>
      </c>
      <c r="AI821" s="65"/>
      <c r="AK821" s="134" t="str">
        <f>IF((AJ821=""),"",MONTH(AJ821))</f>
        <v/>
      </c>
      <c r="AM821" s="138"/>
      <c r="AN821" s="138"/>
      <c r="AO821" s="190"/>
      <c r="AP821" s="134"/>
      <c r="AQ821" s="158"/>
      <c r="AR821" s="23"/>
      <c r="AS821" s="76"/>
      <c r="AT821" s="162"/>
      <c r="AU821" s="162"/>
      <c r="AV821" s="162"/>
    </row>
    <row r="822" spans="1:48" ht="12.75" hidden="1" x14ac:dyDescent="0.2">
      <c r="A822" s="87"/>
      <c r="D822" s="79"/>
      <c r="H822" s="158"/>
      <c r="I822" s="147"/>
      <c r="P822" s="158"/>
      <c r="Q822" s="123"/>
      <c r="R822" s="124"/>
      <c r="T822" s="76"/>
      <c r="U822" s="71"/>
      <c r="X822" s="147"/>
      <c r="Z822" s="54"/>
      <c r="AA822" s="54"/>
      <c r="AB822" s="54"/>
      <c r="AC822" s="158"/>
      <c r="AH822" s="65" t="str">
        <f t="shared" si="89"/>
        <v/>
      </c>
      <c r="AI822" s="65"/>
      <c r="AK822" s="134" t="str">
        <f>IF((AJ822=""),"",MONTH(AJ822))</f>
        <v/>
      </c>
      <c r="AM822" s="138"/>
      <c r="AN822" s="138"/>
      <c r="AO822" s="190"/>
      <c r="AP822" s="134"/>
      <c r="AQ822" s="158"/>
      <c r="AR822" s="23"/>
      <c r="AS822" s="76"/>
      <c r="AT822" s="162"/>
      <c r="AU822" s="162"/>
      <c r="AV822" s="162"/>
    </row>
    <row r="823" spans="1:48" ht="12.75" hidden="1" x14ac:dyDescent="0.2">
      <c r="A823" s="87"/>
      <c r="D823" s="79"/>
      <c r="H823" s="158"/>
      <c r="I823" s="147"/>
      <c r="P823" s="158"/>
      <c r="Q823" s="123"/>
      <c r="R823" s="124"/>
      <c r="T823" s="76"/>
      <c r="U823" s="71"/>
      <c r="X823" s="147"/>
      <c r="Z823" s="54"/>
      <c r="AA823" s="54"/>
      <c r="AB823" s="54"/>
      <c r="AC823" s="158"/>
      <c r="AH823" s="65" t="str">
        <f t="shared" si="89"/>
        <v/>
      </c>
      <c r="AI823" s="65"/>
      <c r="AK823" s="134" t="str">
        <f>IF((AJ823=""),"",MONTH(AJ823))</f>
        <v/>
      </c>
      <c r="AM823" s="138"/>
      <c r="AN823" s="138"/>
      <c r="AO823" s="190"/>
      <c r="AP823" s="134"/>
      <c r="AQ823" s="158"/>
      <c r="AR823" s="23"/>
      <c r="AS823" s="76"/>
      <c r="AT823" s="162"/>
      <c r="AU823" s="162"/>
      <c r="AV823" s="162"/>
    </row>
  </sheetData>
  <autoFilter ref="A2:AV823">
    <filterColumn colId="24">
      <filters>
        <filter val="NXC"/>
        <filter val="OXC"/>
      </filters>
    </filterColumn>
    <filterColumn colId="37">
      <filters>
        <filter val="Chính thức"/>
        <filter val="Nghỉ khác"/>
        <filter val="Thử việc"/>
      </filters>
    </filterColumn>
  </autoFilter>
  <conditionalFormatting sqref="AL2 AM2 AN2 AS2 AU2 AV2 AL3 AM3 AN3 AS3 AU3 AV3 AL4 AM4 AN4 AS4 AU4 AV4 AL5 AM5 AN5 AS5 AU5 AV5 AL6 AM6 AN6 AS6 AU6 AV6 AL7 AM7 AN7 AS7 AU7 AV7 AL8 AM8 AN8 AS8 AU8 AV8 AL9 AM9 AN9 AS9 AU9 AV9 AL10 AM10 AN10 AS10 AU10 AV10 AL11 AN11 AS11 AU11 AV11 AL12 AM12 AN12 AS12 AU12 AV12 AL13 AM13 AN13 AS13 AU13 AV13 AL14 AM14 AN14 AS14 AU14 AV14 AL15 AM15 AN15 AS15 AU15 AV15 AL16 AM16 AN16 AS16 AU16 AV16 AL17 AM17 AN17 AS17 AU17 AV17 AL18 AM18 AN18 AS18 AU18 AV18 AL19 AM19 AN19 AS19 AU19 AV19 AL20 AM20 AN20 AS20 AU20 AV20 AL21 AM21 AN21 AS21 AU21 AV21 AL22 AM22 AN22 AS22 AU22 AV22 AL23 AM23 AN23 AS23 AU23 AV23 AL24 AM24 AN24 AS24 AU24 AV24 AL25 AM25 AN25 AS25 AU25 AV25 AL26 AM26 AN26 AS26 AU26 AV26 AL27 AM27 AN27 AS27 AU27 AV27 AL28 AM28 AN28 AS28 AU28 AV28 AL29 AM29 AN29 AS29 AU29 AV29 AL30 AM30 AN30 AS30 AU30 AV30 AL31 AM31 AN31 AS31 AU31 AV31 AL32 AM32 AN32 AS32 AU32 AV32 AL33 AM33 AN33 AS33 AU33 AV33 AL34 AM34 AN34 AS34 AU34 AV34 AL35 AM35 AN35 AS35 AU35 AV35 AL36 AM36 AN36 AS36 AU36 AV36 AL37 AM37 AN37 AS37 AU37 AV37 AL38 AM38 AN38 AS38 AU38 AV38 AL39 AM39 AN39 AS39 AU39 AV39 AL40 AM40 AN40 AS40 AU40 AV40 AL41 AM41 AN41 AS41 AU41 AV41 AL42 AM42 AN42 AS42 AU42 AV42 AL43 AM43 AN43 AS43 AU43 AV43 AL44 AM44 AN44 AS44 AU44 AV44 AL45 AM45 AN45 AS45 AU45 AV45 AL46 AM46 AN46 AS46 AU46 AV46 AL47 AM47 AN47 AS47 AU47 AV47 AL48 AM48 AN48 AS48 AU48 AV48 AL49 AM49 AN49 AS49 AU49 AV49 AL50 AM50 AN50 AS50 AU50 AV50 AL51 AM51 AN51 AS51 AU51 AV51 AL52 AM52 AN52 AS52 AU52 AV52 AL53 AM53 AN53 AS53 AU53 AV53 AL54 AM54 AN54 AS54 AU54 AV54 AL55 AM55 AN55 AS55 AU55 AV55 AL56 AM56 AN56 AS56 AU56 AV56 AL57 AM57 AN57 AS57 AU57 AV57 AL58 AM58 AN58 AS58 AU58 AV58 AL59 AM59 AN59 AS59 AU59 AV59 AL60 AM60 AN60 AS60 AU60 AV60 AL61 AM61 AN61 AS61 AU61 AV61 AL62 AM62 AN62 AS62 AU62 AV62 AL63 AM63 AN63 AS63 AU63 AV63 AL64 AM64 AN64 AS64 AU64 AV64 AL65 AM65 AN65 AS65 AU65 AV65 AL66 AM66 AN66 AS66 AU66 AV66 AL67 AM67 AN67 AS67 AU67 AV67 AL68 AM68 AN68 AS68 AU68 AV68 AL69 AM69 AN69 AS69 AU69 AV69 AL70 AM70 AN70 AS70 AU70 AV70 AL71 AM71 AN71 AS71 AU71 AV71 AL72 AM72 AN72 AS72 AU72 AV72 AL73 AM73 AN73 AS73 AU73 AV73 AL74 AM74 AN74 AS74 AU74 AV74 AL75 AM75 AN75 AS75 AU75 AV75 AL76 AM76 AN76 AS76 AU76 AV76 AL77 AM77 AN77 AS77 AU77 AV77 AL78 AM78 AN78 AS78 AU78 AV78 AL79 AM79 AN79 AS79 AU79 AV79 AL80 AM80 AN80 AS80 AU80 AV80 AL81 AM81 AN81 AS81 AU81 AV81 AL82 AM82 AN82 AS82 AU82 AV82 AL83 AM83 AN83 AS83 AU83 AV83 AL84 AM84 AN84 AS84 AU84 AV84 AL85 AM85 AN85 AS85 AU85 AV85 AL86 AM86 AN86 AS86 AU86 AV86 AL87 AM87 AN87 AS87 AU87 AV87 AL88 AM88 AN88 AS88 AU88 AV88 AL89 AM89 AN89 AS89 AU89 AV89 AL90 AM90 AN90 AS90 AU90 AV90 AL91 AM91 AN91 AS91 AU91 AV91 AL92 AM92 AN92 AS92 AU92 AV92 AL93 AM93 AN93 AS93 AU93 AV93 AL94 AM94 AN94 AS94 AU94 AV94 AL95 AM95 AN95 AS95 AU95 AV95 AL96 AM96 AN96 AS96 AU96 AV96 AL97 AM97 AN97 AS97 AU97 AV97 AL98 AM98 AN98 AS98 AU98 AV98 AL99 AM99 AN99 AS99 AU99 AV99 AL100 AM100 AN100 AS100 AU100 AV100 AL101 AM101 AN101 AS101 AU101 AV101 AL102 AM102 AN102 AS102 AU102 AV102 AL103 AM103 AN103 AS103 AU103 AV103 AL104 AM104 AN104 AS104 AU104 AV104 AL105 AM105 AN105 AS105 AU105 AV105 AL106 AM106 AN106 AS106 AU106 AV106 AL107 AM107 AN107 AS107 AU107 AV107 AL108 AM108 AN108 AS108 AU108 AV108 AL109 AM109 AN109 AS109 AU109 AV109 AL110 AM110 AN110 AS110 AU110 AV110 AL111 AM111 AN111 AS111 AU111 AV111 AL112 AM112 AN112 AS112 AU112 AV112 AL113 AM113 AN113 AS113 AU113 AV113 AL114 AM114 AN114 AS114 AU114 AV114 AL115 AM115 AN115 AS115 AU115 AV115 AL116 AM116 AN116 AS116 AU116 AV116 AL117 AM117 AN117 AS117 AU117 AV117 AL118 AM118 AN118 AS118 AU118 AV118 AL119 AM119 AN119 AS119 AU119 AV119 AL120 AM120 AN120 AS120 AU120 AV120 AL121 AM121 AN121 AS121 AU121 AV121 AL122 AM122 AN122 AS122 AU122 AV122 AL123 AM123 AN123 AS123 AU123 AV123 AL124 AM124 AN124 AS124 AU124 AV124 AL125 AM125 AN125 AS125 AU125 AV125 AL126 AM126 AN126 AS126 AU126 AV126 AL127 AM127 AN127 AS127 AU127 AV127 AL128 AM128 AN128 AS128 AU128 AV128 AL129 AM129 AN129 AS129 AU129 AV129 AL130 AM130 AN130 AS130 AU130 AV130 AL131 AM131 AN131 AS131 AU131 AV131 AL132 AM132 AN132 AS132 AU132 AV132 AL133 AM133 AN133 AS133 AU133 AV133 AL134 AM134 AN134 AS134 AU134 AV134 AL135 AM135 AN135 AS135 AU135 AV135 AL136 AM136 AN136 AS136 AU136 AV136 AL137 AM137 AN137 AS137 AU137 AV137 AL138 AM138 AN138 AS138 AU138 AV138 AL139 AM139 AN139 AS139 AU139 AV139 AL140 AM140 AN140 AS140 AU140 AV140 AL141 AM141 AN141 AS141 AU141 AV141 AL142 AM142 AN142 AS142 AU142 AV142 AL143 AM143 AN143 AS143 AU143 AV143 AL144 AM144 AN144 AS144 AU144 AV144 AL145 AM145 AN145 AS145 AU145 AV145 AL146 AM146 AN146 AS146 AU146 AV146 AL147 AM147 AN147 AS147 AU147 AV147 AL148 AM148 AN148 AS148 AU148 AV148 AL149 AM149 AN149 AS149 AU149 AV149 AL150 AM150 AN150 AS150 AU150 AV150 AL151 AM151 AN151 AS151 AU151 AV151 AL152 AM152 AN152 AS152 AU152 AV152 AL153 AM153 AN153 AS153 AU153 AV153 AL154 AM154 AN154 AS154 AU154 AV154 AL155 AM155 AN155 AS155 AU155 AV155 AL156 AM156 AN156 AS156 AU156 AV156 AL157 AM157 AN157 AS157 AU157 AV157 AL158 AM158 AN158 AS158 AU158 AV158 AL159 AM159 AN159 AS159 AU159 AV159 AL160 AM160 AN160 AS160 AU160 AV160 AL161 AM161 AN161 AS161 AU161 AV161 AL162 AM162 AN162 AS162 AU162 AV162 AL163 AM163 AN163 AS163 AU163 AV163 AL164 AM164 AN164 AS164 AU164 AV164 AL165 AM165 AN165 AS165 AU165 AV165 AL166 AM166 AN166 AS166 AU166 AV166 AL167 AM167 AN167 AS167 AU167 AV167 AL168 AM168 AN168 AS168 AU168 AV168 AL169 AM169 AN169 AS169 AU169 AV169 AL170 AM170 AN170 AS170 AU170 AV170 AL171 AM171 AN171 AS171 AU171 AV171 AL172 AM172 AN172 AS172 AU172 AV172 AL173 AM173 AN173 AS173 AU173 AV173 AL174 AM174 AN174 AS174 AU174 AV174 AL175 AM175 AN175 AS175 AU175 AV175 AL176 AM176 AN176 AS176 AU176 AV176 AL177 AM177 AN177 AS177 AU177 AV177 AL178 AM178 AN178 AS178 AU178 AV178 AL179 AM179 AN179 AS179 AU179 AV179 AL180 AM180 AN180 AS180 AU180 AV180 AL181 AM181 AN181 AS181 AU181 AV181 AL182 AM182 AN182 AS182 AU182 AV182 AL183 AM183 AN183 AS183 AU183 AV183 AL184 AM184 AN184 AS184 AU184 AV184 AL185 AM185 AN185 AS185 AU185 AV185 AL186 AM186 AN186 AS186 AU186 AV186 AL187 AM187 AN187 AS187 AU187 AV187 AL188 AM188 AN188 AS188 AU188 AV188 AL189 AM189 AN189 AS189 AU189 AV189 AL190 AM190 AN190 AS190 AU190 AV190 AL191 AM191 AN191 AS191 AU191 AV191 AL192 AM192 AN192 AS192 AU192 AV192 AL193 AM193 AN193 AS193 AU193 AV193 AL194 AM194 AN194 AS194 AU194 AV194 AL195 AM195 AN195 AS195 AU195 AV195 AL196 AM196 AN196 AS196 AU196 AV196 AL197 AM197 AN197 AS197 AU197 AV197 AL198 AM198 AN198 AS198 AU198 AV198 AL199 AM199 AN199 AS199 AU199 AV199 AL200 AM200 AN200 AS200 AU200 AV200 AL201 AM201 AN201 AS201 AU201 AV201 AL202 AM202 AN202 AS202 AU202 AV202 AL203 AM203 AN203 AS203 AU203 AV203 AL204 AM204 AN204 AS204 AU204 AV204 AL205 AM205 AN205 AS205 AU205 AV205 AL206 AM206 AN206 AS206 AU206 AV206 AL207 AM207 AN207 AS207 AU207 AV207 AL208 AM208 AN208 AS208 AU208 AV208 AL209 AM209 AN209 AS209 AU209 AV209 AL210 AM210 AN210 AS210 AU210 AV210 AL211 AM211 AN211 AS211 AU211 AV211 AL212 AM212 AN212 AS212 AU212 AV212 AL213 AM213 AN213 AS213 AU213 AV213 AL214 AM214 AN214 AS214 AU214 AV214 AL215 AM215 AN215 AS215 AU215 AV215 AL216 AM216 AN216 AS216 AU216 AV216 AL217 AM217 AN217 AS217 AU217 AV217 AL218 AM218 AN218 AS218 AU218 AV218 AL219 AM219 AN219 AS219 AU219 AV219 AL220 AM220 AN220 AS220 AU220 AV220 AL221 AM221 AN221 AS221 AU221 AV221 AL222 AM222 AN222 AS222 AU222 AV222 AL223 AM223 AN223 AS223 AU223 AV223 AL224 AM224 AN224 AS224 AU224 AV224 AL225 AM225 AN225 AS225 AU225 AV225 AL226 AM226 AN226 AS226 AU226 AV226 AL227 AM227 AN227 AS227 AU227 AV227 AL228 AM228 AN228 AS228 AU228 AV228 AL229 AM229 AN229 AS229 AU229 AV229 AL230 AM230 AN230 AS230 AU230 AV230 AL231 AM231 AN231 AS231 AU231 AV231 AL232 AM232 AN232 AS232 AU232 AV232 AL233 AM233 AN233 AS233 AU233 AV233 AL234 AM234 AN234 AS234 AU234 AV234 AL235 AM235 AN235 AS235 AU235 AV235 AL236 AM236 AN236 AS236 AU236 AV236 AL237 AM237 AN237 AS237 AU237 AV237 AL238 AM238 AN238 AS238 AU238 AV238 AL239 AM239 AN239 AS239 AU239 AV239 AL240 AM240 AN240 AS240 AU240 AV240 AL241 AM241 AN241 AS241 AU241 AV241 AL242 AM242 AN242 AS242 AU242 AV242 AL243 AM243 AN243 AS243 AU243 AV243 AL244 AM244 AN244 AS244 AU244 AV244 AL245 AM245 AN245 AS245 AU245 AV245 AL246 AM246 AN246 AS246 AU246 AV246 AL247 AM247 AN247 AS247 AU247 AV247 AL248 AM248 AN248 AS248 AU248 AV248 AL249 AM249 AN249 AS249 AU249 AV249 AL250 AM250 AN250 AS250 AU250 AV250 AL251 AM251 AN251 AS251 AU251 AV251 AL252 AM252 AN252 AS252 AU252 AV252 AL253 AM253 AN253 AS253 AU253 AV253 AL254 AM254 AN254 AS254 AU254 AV254 AL255 AM255 AN255 AS255 AU255 AV255 AL256 AM256 AN256 AS256 AU256 AV256 AL257 AM257 AN257 AS257 AU257 AV257 AL258 AM258 AN258 AS258 AU258 AV258 AL259 AM259 AN259 AS259 AU259 AV259 AL260 AM260 AN260 AS260 AU260 AV260 AL261 AM261 AN261 AS261 AU261 AV261 AL262 AM262 AN262 AS262 AU262 AV262 AL263 AM263 AN263 AS263 AU263 AV263 AL264 AM264 AN264 AS264 AU264 AV264 AL265 AM265 AN265 AS265 AU265 AV265 AL266 AM266 AN266 AS266 AU266 AV266 AL267 AM267 AN267 AS267 AU267 AV267 AL268 AM268 AN268 AS268 AU268 AV268 AL269 AM269 AN269 AS269 AU269 AV269 AL270 AM270 AN270 AS270 AU270 AV270 AL271 AM271 AN271 AS271 AU271 AV271 AL272 AM272 AN272 AS272 AU272 AV272 AL273 AM273 AN273 AS273 AU273 AV273 AL274 AM274 AN274 AS274 AU274 AV274 AL275 AM275 AN275 AS275 AU275 AV275 AL276 AM276 AN276 AS276 AU276 AV276 AL277 AM277 AN277 AS277 AU277 AV277 AL278 AM278 AN278 AS278 AU278 AV278 AL279 AM279 AN279 AS279 AU279 AV279 AL280 AM280 AN280 AS280 AU280 AV280 AL281 AM281 AN281 AS281 AU281 AV281 AL282 AM282 AN282 AS282 AU282 AV282 AL283 AM283 AN283 AS283 AU283 AV283 AL284 AM284 AN284 AS284 AU284 AV284 AL285 AM285 AN285 AS285 AU285 AV285 AL286 AM286 AN286 AS286 AU286 AV286 AL287 AM287 AN287 AS287 AU287 AV287 AL288 AM288 AN288 AS288 AU288 AV288 AL289 AM289 AN289 AS289 AU289 AV289 AL290 AM290 AN290 AS290 AU290 AV290 AL291 AM291 AN291 AS291 AU291 AV291 AL292 AM292 AN292 AS292 AU292 AV292 AL293 AM293 AN293 AS293 AU293 AV293 AL294 AM294 AN294 AS294 AU294 AV294 AL295 AM295 AN295 AS295 AU295 AV295 AL296 AM296 AN296 AS296 AU296 AV296 AL297 AM297 AN297 AS297 AU297 AV297 AL298 AM298 AN298 AS298 AU298 AV298 AL299 AM299 AN299 AS299 AU299 AV299 AL300 AM300 AN300 AS300 AU300 AV300 AL301 AM301 AN301 AS301 AU301 AV301 AL302 AM302 AN302 AS302 AU302 AV302 AL303 AM303 AN303 AS303 AU303 AV303 AL304 AM304 AN304 AS304 AU304 AV304 AL305 AM305 AN305 AS305 AU305 AV305 AL306 AM306 AN306 AS306 AU306 AV306 AL307 AM307 AN307 AS307 AU307 AV307 AL308 AM308 AN308 AS308 AU308 AV308 AL309 AM309 AN309 AS309 AU309 AV309 AL310 AM310 AN310 AS310 AU310 AV310 AL311 AM311 AN311 AS311 AU311 AV311 AL312 AM312 AN312 AS312 AU312 AV312 AL313 AM313 AN313 AS313 AU313 AV313 AL314 AM314 AN314 AS314 AU314 AV314 AL315 AM315 AN315 AS315 AU315 AV315 AL316 AM316 AN316 AS316 AU316 AV316 AL317 AM317 AN317 AS317 AU317 AV317 AL318 AM318 AN318 AS318 AU318 AV318 AL319 AM319 AN319 AS319 AU319 AV319 AL320 AM320 AN320 AS320 AU320 AV320 AL321 AM321 AN321 AS321 AU321 AV321 AL322 AM322 AN322 AS322 AU322 AV322 AL323 AM323 AN323 AS323 AU323 AV323 AL324 AM324 AN324 AS324 AU324 AV324 AL325 AM325 AN325 AS325 AU325 AV325 AL326 AM326 AN326 AS326 AU326 AV326 AL327 AM327 AN327 AS327 AU327 AV327 AL328 AM328 AN328 AS328 AU328 AV328 AL329 AM329 AN329 AS329 AU329 AV329 AL330 AM330 AN330 AS330 AU330 AV330 AL331 AM331 AN331 AS331 AU331 AV331 AL332 AM332 AN332 AS332 AU332 AV332 AL333 AM333 AN333 AS333 AU333 AV333 AL334 AM334 AN334 AS334 AU334 AV334 AL335 AM335 AN335 AS335 AU335 AV335 AL336 AM336 AN336 AS336 AU336 AV336 AL337 AS337 AU337 AV337 AL338 AM338 AN338 AS338 AU338 AV338 AL339 AM339 AN339 AS339 AU339 AV339 AL340 AM340 AN340 AS340 AU340 AV340 AL341 AM341 AN341 AS341 AU341 AV341 AL342 AM342 AN342 AS342 AU342 AV342 AL343 AM343 AN343 AS343 AU343 AV343 AL344 AM344 AN344 AS344 AU344 AV344 AL345 AM345 AN345 AS345 AU345 AV345 AL346 AM346 AN346 AS346 AU346 AV346 AL347 AM347 AN347 AS347 AU347 AV347 AL348 AM348 AN348 AS348 AU348 AV348 AL349 AM349 AN349 AS349 AU349 AV349 AL350 AM350 AN350 AS350 AU350 AV350 AL351 AM351 AN351 AS351 AU351 AV351 AL352 AM352 AN352 AS352 AU352 AV352 AL353 AM353 AN353 AS353 AU353 AV353 AL354 AM354 AN354 AS354 AU354 AV354 AL355 AM355 AN355 AS355 AU355 AV355 AL356 AM356 AN356 AS356 AU356 AV356 AL357 AM357 AN357 AS357 AU357 AV357 AL358 AM358 AN358 AS358 AU358 AV358 AL359 AM359 AN359 AS359 AU359 AV359 AL360 AM360 AN360 AS360 AU360 AV360 AL361 AM361 AN361 AS361 AU361 AV361 AL362 AM362 AN362 AS362 AU362 AV362 AL363 AM363 AN363 AS363 AU363 AV363 AL364 AM364 AN364 AS364 AU364 AV364 AL365 AM365 AN365 AS365 AU365 AV365 AL366 AM366 AN366 AS366 AU366 AV366 AL367 AM367 AN367 AS367 AU367 AV367 AL368 AM368 AN368 AS368 AU368 AV368 AL369 AM369 AN369 AS369 AU369 AV369 AL370 AM370 AN370 AS370 AU370 AV370 AL371 AM371 AN371 AS371 AU371 AV371 AL372 AM372 AN372 AS372 AU372 AV372 AL373 AM373 AN373 AS373 AU373 AV373 AL374 AM374 AN374 AS374 AU374 AV374 AL375 AM375 AN375 AS375 AU375 AV375 AL376 AM376 AN376 AS376 AU376 AV376 AL377 AM377 AN377 AS377 AU377 AV377 AL378 AM378 AN378 AS378 AU378 AV378 AL379 AM379 AN379 AS379 AU379 AV379 AL380 AM380 AN380 AS380 AU380 AV380 AL381 AM381 AN381 AS381 AU381 AV381 AL382 AM382 AN382 AS382 AU382 AV382 AL383 AM383 AN383 AS383 AU383 AV383 AL384 AM384 AN384 AS384 AU384 AV384 AL385 AM385 AN385 AS385 AU385 AV385 AL386 AM386 AN386 AS386 AU386 AV386 AL387 AN387 AS387 AU387 AV387 AL388 AM388 AN388 AS388 AU388 AV388 AL389 AM389 AN389 AS389 AU389 AV389 AL390 AM390 AN390 AS390 AU390 AV390 AL391 AM391 AN391 AS391 AU391 AV391 AL392 AM392 AN392 AS392 AU392 AV392 AL393 AM393 AN393 AS393 AU393 AV393 AL394 AM394 AN394 AS394 AU394 AV394 AL395 AM395 AN395 AS395 AU395 AV395 AL396 AM396 AN396 AS396 AU396 AV396 AL397 AM397 AN397 AS397 AU397 AV397 AL398 AM398 AN398 AS398 AU398 AV398 AL399 AM399 AN399 AS399 AU399 AV399 AL400 AM400 AN400 AS400 AU400 AV400 AL401 AM401 AN401 AS401 AU401 AV401 AL402 AM402 AN402 AS402 AU402 AV402 AL403 AM403 AN403 AS403 AU403 AV403 AL404 AM404 AN404 AS404 AU404 AV404 AL405 AM405 AN405 AS405 AU405 AV405 AL406 AM406 AN406 AS406 AU406 AV406 AL407 AM407 AN407 AS407 AU407 AV407 AL408 AM408 AN408 AS408 AU408 AV408 AL409 AM409 AN409 AS409 AU409 AV409 AL410 AM410 AN410 AS410 AU410 AV410 AL411 AM411 AN411 AS411 AU411 AV411 AL412 AM412 AN412 AS412 AU412 AV412 AL413 AM413 AN413 AS413 AU413 AV413 AL414 AM414 AN414 AS414 AU414 AV414 AL415 AM415 AN415 AS415 AU415 AV415 AL416 AM416 AN416 AS416 AU416 AV416 AL417 AM417 AN417 AS417 AU417 AV417 AL418 AM418 AN418 AS418 AU418 AV418 AL419 AM419 AN419 AS419 AU419 AV419 AL420 AM420 AN420 AS420 AU420 AV420 AL421 AM421 AN421 AS421 AU421 AV421 AL422 AM422 AN422 AS422 AU422 AV422 AL423 AM423 AN423 AS423 AU423 AV423 AL424 AM424 AN424 AS424 AU424 AV424 AL425 AM425 AN425 AS425 AU425 AV425 AL426 AM426 AN426 AS426 AU426 AV426 AL427 AM427 AN427 AS427 AU427 AV427 AL428 AM428 AN428 AS428 AU428 AV428 AL429 AM429 AN429 AS429 AU429 AV429 AL430 AM430 AN430 AS430 AU430 AV430 AL431 AM431 AN431 AS431 AU431 AV431 AL432 AM432 AN432 AS432 AU432 AV432 AL433 AM433 AN433 AS433 AU433 AV433 AL434 AM434 AN434 AS434 AU434 AV434 AL435 AM435 AN435 AS435 AU435 AV435 AL436 AM436 AN436 AS436 AU436 AV436 AL437 AM437 AN437 AS437 AU437 AV437 AL438 AM438 AN438 AS438 AU438 AV438 AL439 AM439 AN439 AS439 AU439 AV439 AL440 AM440 AN440 AS440 AU440 AV440 AL441 AM441 AN441 AS441 AU441 AV441 AL442 AM442 AN442 AS442 AU442 AV442 AL443 AM443 AN443 AS443 AU443 AV443 AL444 AM444 AN444 AS444 AU444 AV444 AL445 AM445 AN445 AS445 AU445 AV445 AL446 AM446 AN446 AS446 AU446 AV446 AL447 AM447 AN447 AS447 AU447 AV447 AL448 AM448 AN448 AS448 AU448 AV448 AL449 AM449 AN449 AS449 AU449 AV449 AL450 AM450 AN450 AS450 AU450 AV450 AL451 AM451 AN451 AS451 AU451 AV451 AL452 AM452 AN452 AS452 AU452 AV452 AL453 AM453 AN453 AS453 AU453 AV453 AL454 AM454 AN454 AS454 AU454 AV454 AL455 AM455 AN455 AS455 AU455 AV455 AL456 AM456 AN456 AS456 AU456 AV456 AL457 AM457 AN457 AS457 AU457 AV457 AL458 AN458 AS458 AU458 AV458 AL459 AM459 AN459 AS459 AU459 AV459 AL460 AM460 AN460 AS460 AU460 AV460 AL461 AM461 AN461 AS461 AU461 AV461 AL462 AM462 AN462 AS462 AU462 AV462 AL463 AM463 AN463 AS463 AU463 AV463 AL464 AM464 AN464 AS464 AU464 AV464 AL465 AM465 AN465 AS465 AU465 AV465 AL466 AM466 AN466 AS466 AU466 AV466 AL467 AM467 AN467 AS467 AU467 AV467 AL468 AM468 AN468 AS468 AU468 AV468 AL469 AM469 AN469 AS469 AU469 AV469 AL470 AM470 AN470 AS470 AU470 AV470 AL471 AM471 AN471 AS471 AU471 AV471 AL472 AM472 AN472 AS472 AU472 AV472 AL473 AM473 AN473 AS473 AU473 AV473 AL474 AM474 AN474 AS474 AU474 AV474 AL475 AM475 AN475 AS475 AU475 AV475 AL476 AM476 AN476 AS476 AU476 AV476 AL477 AM477 AN477 AS477 AU477 AV477 AL478 AM478 AN478 AS478 AU478 AV478 AL479 AM479 AN479 AS479 AU479 AV479 AL480 AM480 AN480 AS480 AU480 AV480 AL481 AM481 AN481 AS481 AU481 AV481 AL482 AM482 AN482 AS482 AU482 AV482 AL483 AM483 AN483 AS483 AU483 AV483 AL484 AM484 AN484 AS484 AU484 AV484 AL485 AM485 AN485 AS485 AU485 AV485 AL486 AM486 AN486 AS486 AU486 AV486 AL487 AM487 AN487 AS487 AU487 AV487 AL488 AM488 AN488 AS488 AU488 AV488 AL489 AM489 AN489 AS489 AU489 AV489 AL490 AM490 AN490 AS490 AU490 AV490 AL491 AM491 AN491 AS491 AU491 AV491 AL492 AM492 AN492 AS492 AU492 AV492 AL493 AM493 AN493 AS493 AU493 AV493 AL494 AM494 AN494 AS494 AU494 AV494 AL495 AM495 AN495 AS495 AU495 AV495 AL496 AM496 AN496 AS496 AU496 AV496 AL497 AM497 AN497 AS497 AU497 AV497 AL498 AM498 AN498 AS498 AU498 AV498 AL499 AM499 AN499 AS499 AU499 AV499 AL500 AM500 AN500 AS500 AU500 AV500 AL501 AM501 AN501 AS501 AU501 AV501 AL502 AM502 AN502 AS502 AU502 AV502 AL503 AM503 AN503 AS503 AU503 AV503 AL504 AM504 AN504 AS504 AU504 AV504 AL505 AM505 AN505 AS505 AU505 AV505 AL506 AM506 AN506 AS506 AU506 AV506 AL507 AM507 AN507 AS507 AU507 AV507 AL508 AM508 AN508 AS508 AU508 AV508 AL509 AM509 AN509 AS509 AU509 AV509 AL510 AM510 AN510 AS510 AU510 AV510 AL511 AM511 AN511 AS511 AU511 AV511 AL512 AM512 AN512 AS512 AU512 AV512 AL513 AM513 AN513 AS513 AU513 AV513 AL514 AM514 AN514 AS514 AU514 AV514 AL515 AM515 AN515 AS515 AU515 AV515 AL516 AM516 AN516 AS516 AU516 AV516 AL517 AM517 AN517 AS517 AU517 AV517 AL518 AM518 AN518 AS518 AU518 AV518 AL519 AM519 AN519 AS519 AU519 AV519 AL520 AM520 AN520 AS520 AU520 AV520 AL521 AM521 AN521 AS521 AU521 AV521 AL522 AM522 AN522 AS522 AU522 AV522 AL523 AM523 AN523 AS523 AU523 AV523 AL524 AM524 AN524 AS524 AU524 AV524 AL525 AM525 AN525 AS525 AU525 AV525 AL526 AM526 AN526 AS526 AU526 AV526 AL527 AM527 AN527 AS527 AU527 AV527 AL528 AM528 AN528 AS528 AU528 AV528 AL529 AM529 AN529 AS529 AU529 AV529 AL530 AM530 AN530 AS530 AU530 AV530 AL531 AM531 AN531 AS531 AU531 AV531 AL532 AM532 AN532 AS532 AU532 AV532 AL533 AM533 AN533 AS533 AU533 AV533 AL534 AM534 AN534 AS534 AU534 AV534 AL535 AM535 AN535 AS535 AU535 AV535 AL536 AM536 AN536 AS536 AU536 AV536 AL537 AM537 AN537 AS537 AU537 AV537 AL538 AM538 AN538 AS538 AU538 AV538 AL539 AM539 AN539 AS539 AU539 AV539 AL540 AM540 AN540 AS540 AU540 AV540 AL541 AM541 AN541 AS541 AU541 AV541 AL542 AM542 AN542 AS542 AU542 AV542 AL543 AM543 AN543 AS543 AU543 AV543 AL544 AM544 AN544 AS544 AU544 AV544 AL545 AM545 AN545 AS545 AU545 AV545 AL546 AM546 AN546 AS546 AU546 AV546 AL547 AM547 AN547 AS547 AU547 AV547 AL548 AM548 AN548 AS548 AU548 AV548 AL549 AM549 AN549 AS549 AU549 AV549 AL550 AM550 AN550 AS550 AU550 AV550 AL551 AM551 AN551 AS551 AU551 AV551 AL552 AM552 AN552 AS552 AU552 AV552 AL553 AM553 AN553 AS553 AU553 AV553 AL554 AM554 AN554 AS554 AU554 AV554 AL555 AM555 AN555 AS555 AU555 AV555 AL556 AM556 AN556 AS556 AU556 AV556 AL557 AM557 AN557 AS557 AU557 AV557 AL558 AM558 AN558 AS558 AU558 AV558 AL559 AM559 AN559 AS559 AU559 AV559 AL560 AM560 AN560 AS560 AU560 AV560 AL561 AM561 AN561 AS561 AU561 AV561 AL562 AM562 AN562 AS562 AU562 AV562 AL563 AM563 AN563 AS563 AU563 AV563 AL564 AM564 AN564 AS564 AU564 AV564 AL565 AM565 AN565 AS565 AU565 AV565 AL566 AM566 AN566 AS566 AU566 AV566 AL567 AM567 AN567 AS567 AU567 AV567 AL568 AM568 AN568 AS568 AU568 AV568 AL569 AM569 AN569 AS569 AU569 AV569 AL570 AM570 AN570 AS570 AU570 AV570 AL571 AM571 AN571 AS571 AU571 AV571 AL572 AM572 AN572 AS572 AU572 AV572 AL573 AM573 AN573 AS573 AU573 AV573 AL574 AM574 AN574 AS574 AU574 AV574 AL575 AM575 AN575 AS575 AU575 AV575 AL576 AM576 AN576 AS576 AU576 AV576 AL577 AM577 AN577 AS577 AU577 AV577 AL578 AM578 AN578 AS578 AU578 AV578 AL579 AM579 AN579 AS579 AU579 AV579 AL580 AM580 AN580 AS580 AU580 AV580 AL581 AM581 AN581 AS581 AU581 AV581 AL582 AM582 AN582 AS582 AU582 AV582 AL583 AM583 AN583 AS583 AU583 AV583 AL584 AM584 AN584 AS584 AU584 AV584 AL585 AM585 AN585 AS585 AU585 AV585 AL586 AM586 AN586 AS586 AU586 AV586 AL587 AM587 AN587 AS587 AU587 AV587 AL588 AM588 AN588 AS588 AU588 AV588 AL589 AM589 AN589 AS589 AU589 AV589 AL590 AM590 AN590 AS590 AU590 AV590 AL591 AM591 AN591 AS591 AU591 AV591 AL592 AM592 AN592 AS592 AU592 AV592 AL593 AM593 AN593 AS593 AU593 AV593 AL594 AM594 AN594 AS594 AU594 AV594 AL595 AM595 AN595 AS595 AU595 AV595 AL596 AM596 AN596 AS596 AU596 AV596 AL597 AM597 AN597 AS597 AU597 AV597 AL598 AM598 AN598 AS598 AU598 AV598 AL599 AM599 AN599 AS599 AU599 AV599 AL600 AM600 AN600 AS600 AU600 AV600 AL601 AM601 AN601 AS601 AU601 AV601 AL602 AM602 AN602 AS602 AU602 AV602 AL603 AM603 AN603 AS603 AU603 AV603 AL604 AM604 AN604 AS604 AU604 AV604 AL605 AM605 AN605 AS605 AU605 AV605 AL606 AM606 AN606 AS606 AU606 AV606 AL607 AM607 AN607 AS607 AU607 AV607 AL608 AM608 AN608 AS608 AU608 AV608 AL609 AM609 AN609 AS609 AU609 AV609 AL610 AM610 AN610 AS610 AU610 AV610 AL611 AM611 AN611 AS611 AU611 AV611 AL612 AM612 AN612 AS612 AU612 AV612 AL613 AM613 AN613 AS613 AU613 AV613 AL614 AM614 AN614 AS614 AU614 AV614 AL615 AM615 AN615 AS615 AU615 AV615 AL616 AM616 AN616 AS616 AU616 AV616 AL617 AM617 AN617 AS617 AU617 AV617 AL618 AM618 AN618 AS618 AU618 AV618 AL619 AM619 AN619 AS619 AU619 AV619 AL620 AM620 AN620 AS620 AU620 AV620 AL621 AM621 AN621 AS621 AU621 AV621 AL622 AM622 AN622 AS622 AU622 AV622 AL623 AM623 AN623 AS623 AU623 AV623 AL624 AM624 AN624 AS624 AU624 AV624 AL625 AM625 AN625 AS625 AU625 AV625 AL626 AM626 AN626 AS626 AU626 AV626 AL627 AM627 AN627 AS627 AU627 AV627 AL628 AM628 AN628 AS628 AU628 AV628 AL629 AM629 AN629 AS629 AU629 AV629 AL630 AM630 AN630 AS630 AU630 AV630 AL631 AM631 AN631 AS631 AU631 AV631 AL632 AM632 AN632 AS632 AU632 AV632 AL633 AM633 AN633 AS633 AU633 AV633 AL634 AM634 AN634 AS634 AU634 AV634 AL635 AM635 AN635 AS635 AU635 AV635 AL636 AM636 AN636 AS636 AU636 AV636 AL637 AM637 AN637 AS637 AU637 AV637 AL638 AM638 AN638 AS638 AU638 AV638 AL639 AM639 AN639 AS639 AU639 AV639 AL640 AM640 AN640 AS640 AU640 AV640 AL641 AM641 AN641 AS641 AU641 AV641 AL642 AM642 AN642 AS642 AU642 AV642 AL643 AN643 AS643 AU643 AV643 AL644 AM644 AN644 AS644 AU644 AV644 AL645 AM645 AN645 AS645 AU645 AV645 AL646 AM646 AN646 AS646 AU646 AV646 AL647 AM647 AN647 AS647 AU647 AV647 AL648 AM648 AN648 AS648 AU648 AV648 AL649 AM649 AN649 AS649 AU649 AV649 AL650 AM650 AN650 AS650 AU650 AV650 AL651 AM651 AN651 AS651 AU651 AV651 AL652 AM652 AN652 AS652 AU652 AV652 AL653 AM653 AN653 AS653 AU653 AV653 AL654 AM654 AN654 AS654 AU654 AV654 AL655 AM655 AN655 AS655 AU655 AV655 AL656 AM656 AN656 AS656 AU656 AV656 AL657 AM657 AN657 AS657 AU657 AV657 AL658 AM658 AN658 AS658 AU658 AV658 AL659 AM659 AN659 AS659 AU659 AV659 AL660 AM660 AN660 AS660 AU660 AV660 AL661 AM661 AN661 AS661 AU661 AV661 AL662 AM662 AN662 AS662 AU662 AV662 AL663 AM663 AN663 AS663 AU663 AV663 AL664 AM664 AN664 AS664 AU664 AV664 AL665 AM665 AN665 AS665 AU665 AV665 AL666 AM666 AN666 AS666 AU666 AV666 AL667 AM667 AN667 AS667 AU667 AV667 AL668 AM668 AN668 AS668 AU668 AV668 AL669 AM669 AN669 AS669 AU669 AV669 AL670 AM670 AN670 AS670 AU670 AV670 AL671 AM671 AN671 AS671 AU671 AV671 AL672 AM672 AN672 AS672 AU672 AV672 AL673 AM673 AN673 AS673 AU673 AV673 AL674 AM674 AN674 AS674 AU674 AV674 AL675 AM675 AN675 AS675 AU675 AV675 AL676 AM676 AN676 AS676 AU676 AV676 AL677 AM677 AN677 AS677 AU677 AV677 AL678 AM678 AN678 AS678 AU678 AV678 AL679 AM679 AN679 AS679 AU679 AV679 AL680 AM680 AN680 AS680 AU680 AV680 AL681 AM681 AN681 AS681 AU681 AV681 AL682 AM682 AN682 AS682 AU682 AV682 AL683 AM683 AN683 AS683 AU683 AV683 AL684 AM684 AN684 AS684 AU684 AV684 AL685 AM685 AN685 AS685 AU685 AV685 AL686 AM686 AN686 AS686 AU686 AV686 AL687 AM687 AN687 AS687 AU687 AV687 AL688 AM688 AN688 AS688 AU688 AV688 AL689 AM689 AN689 AS689 AU689 AV689 AL690 AM690 AN690 AS690 AU690 AV690 AL691 AM691 AN691 AS691 AU691 AV691 AL692 AM692 AN692 AS692 AU692 AV692 AL693 AM693 AN693 AS693 AU693 AV693 AL694 AM694 AN694 AS694 AU694 AV694 AL695 AM695 AN695 AS695 AU695 AV695 AL696 AM696 AN696 AS696 AU696 AV696 AL697 AM697 AN697 AS697 AU697 AV697 AL698 AM698 AN698 AS698 AU698 AV698 AL699 AM699 AN699 AS699 AU699 AV699 AL700 AM700 AN700 AS700 AU700 AV700 AL701 AM701 AN701 AS701 AU701 AV701 AL702 AM702 AN702 AS702 AU702 AV702 AL703 AM703 AN703 AS703 AU703 AV703 AL704 AM704 AN704 AS704 AU704 AV704 AL705 AM705 AN705 AS705 AU705 AV705 AL706 AM706 AN706 AS706 AU706 AV706 AL707 AM707 AN707 AS707 AU707 AV707 AL708 AM708 AN708 AS708 AU708 AV708 AL709 AM709 AN709 AS709 AU709 AV709 AL710 AM710 AN710 AS710 AU710 AV710 AL711 AM711 AN711 AS711 AU711 AV711 AL712 AM712 AN712 AS712 AU712 AV712 AL713 AM713 AN713 AS713 AU713 AV713 AL714 AM714 AN714 AS714 AU714 AV714 AL715 AM715 AN715 AS715 AU715 AV715 AL716 AM716 AN716 AS716 AU716 AV716 AL717 AM717 AN717 AS717 AU717 AV717 AL718 AM718 AN718 AS718 AU718 AV718 AL719 AM719 AN719 AS719 AU719 AV719 AL720 AM720 AN720 AS720 AU720 AV720 AL721 AM721 AN721 AS721 AU721 AV721 AL722 AM722 AN722 AS722 AU722 AV722 AL723 AM723 AN723 AS723 AU723 AV723 AL724 AM724 AN724 AS724 AU724 AV724 AL725 AM725 AN725 AS725 AU725 AV725 AL726 AM726 AN726 AS726 AU726 AV726 AL727 AM727 AN727 AS727 AU727 AV727 AL728 AM728 AN728 AS728 AU728 AV728 AL729 AM729 AN729 AS729 AU729 AV729 AL730 AM730 AN730 AS730 AU730 AV730 AL731 AM731 AN731 AS731 AU731 AV731 AL732 AM732 AN732 AS732 AU732 AV732 AL733 AM733 AN733 AS733 AU733 AL734 AM734 AN734 AS734 AU734 AV734 AL735 AM735 AN735 AS735 AU735 AL736 AM736 AN736 AS736 AU736 AV736 AL737 AM737 AN737 AS737 AU737 AV737 AL738 AM738 AN738 AS738 AU738 AV738 AL739 AM739 AN739 AS739 AU739 AL740 AM740 AN740 AS740 AU740 AL741 AM741 AN741 AS741 AU741 AL742 AM742 AN742 AS742 AU742 AL743 AM743 AN743 AS743 AU743 AL744 AM744 AN744 AS744 AU744 AL745 AM745 AN745 AS745 AU745 AV745 AL746 AM746 AN746 AS746 AU746 AL747 AM747 AN747 AS747 AU747 AL748 AM748 AN748 AS748 AU748 AV748 AL749 AM749 AN749 AS749 AU749 AV749 AL750 AM750 AN750 AS750 AU750 AL751 AM751 AN751 AS751 AU751 AL752 AM752 AN752 AS752 AU752 AL753 AM753 AN753 AS753 AU753 AL754 AM754 AN754 AS754 AU754 AL755 AM755 AN755 AS755 AU755 AL756 AM756 AN756 AS756 AU756 AL757 AM757 AN757 AS757 AU757 AL758 AM758 AN758 AS758 AU758 AL759 AM759 AN759 AS759 AU759 AL760 AM760 AN760 AS760 AU760 AL761 AM761 AN761 AS761 AU761 AL762 AM762 AN762 AS762 AU762 AL763 AM763 AN763 AS763 AU763 AL764 AM764 AN764 AS764 AU764 AL765 AM765 AN765 AS765 AU765 AL766 AM766 AN766 AS766 AU766 AL767 AM767 AN767 AS767 AU767 AL768 AM768 AN768 AS768 AU768 AL769 AM769 AN769 AS769 AU769 AL770 AM770 AN770 AS770 AU770 AL771 AM771 AN771 AS771 AU771 AL772 AM772 AN772 AS772 AU772 AL773 AM773 AN773 AS773 AU773 AL774 AM774 AN774 AS774 AU774 AL775 AM775 AN775 AS775 AU775 AL776 AM776 AN776 AS776 AU776 AL777 AM777 AN777 AS777 AU777 AL778 AM778 AN778 AS778 AU778 AL779 AM779 AN779 AS779 AU779 AL780 AM780 AN780 AS780 AU780 AL781 AM781 AN781 AS781 AU781 AL782 AU782 AL783 AU783 AL784 AU784 AL785 AU785 AL786 AU786 AL787 AU787 AL788 AU788 AU789 AU790 AU791 AU792 AU793 AU794 AU795 AU796 AU797 AU798 AU799 AU800 AU801 AU802">
    <cfRule type="containsText" dxfId="0" priority="1" stopIfTrue="1" operator="containsText" text="Nghỉ việc">
      <formula>NOT(ISERROR(SEARCH("Nghỉ việc", AL2)))</formula>
    </cfRule>
  </conditionalFormatting>
  <dataValidations count="1">
    <dataValidation type="whole" allowBlank="1" showErrorMessage="1" sqref="O3:O457 O459:O531 O533:O669">
      <formula1>0</formula1>
      <formula2>9999</formula2>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3"/>
  <sheetViews>
    <sheetView workbookViewId="0"/>
  </sheetViews>
  <sheetFormatPr defaultColWidth="17.140625" defaultRowHeight="12.75" customHeight="1" x14ac:dyDescent="0.2"/>
  <cols>
    <col min="1" max="1" width="5.5703125" customWidth="1"/>
    <col min="2" max="2" width="8.85546875" customWidth="1"/>
    <col min="3" max="3" width="17.85546875" customWidth="1"/>
    <col min="4" max="4" width="7.5703125" customWidth="1"/>
    <col min="5" max="5" width="11.42578125" customWidth="1"/>
    <col min="6" max="6" width="11.28515625" customWidth="1"/>
    <col min="7" max="7" width="13.5703125" customWidth="1"/>
    <col min="8" max="8" width="11.42578125" customWidth="1"/>
    <col min="9" max="9" width="10.85546875" customWidth="1"/>
    <col min="10" max="10" width="15.140625" customWidth="1"/>
    <col min="11" max="11" width="63.5703125" customWidth="1"/>
    <col min="12" max="12" width="55" customWidth="1"/>
    <col min="13" max="13" width="12.7109375" customWidth="1"/>
    <col min="14" max="14" width="22.5703125" customWidth="1"/>
    <col min="15" max="15" width="5.5703125" customWidth="1"/>
    <col min="16" max="16" width="14.7109375" customWidth="1"/>
    <col min="18" max="18" width="9.7109375" customWidth="1"/>
    <col min="19" max="20" width="11.140625" customWidth="1"/>
    <col min="21" max="21" width="10.7109375" customWidth="1"/>
    <col min="22" max="22" width="10.42578125" customWidth="1"/>
    <col min="23" max="23" width="9.5703125" customWidth="1"/>
    <col min="24" max="24" width="11.85546875" customWidth="1"/>
    <col min="25" max="25" width="11.5703125" customWidth="1"/>
    <col min="26" max="26" width="14.7109375" customWidth="1"/>
  </cols>
  <sheetData>
    <row r="1" spans="1:26" ht="20.25" customHeight="1" x14ac:dyDescent="0.2">
      <c r="A1" s="189"/>
      <c r="B1" s="189"/>
      <c r="C1" s="189"/>
      <c r="D1" s="189"/>
      <c r="E1" s="171"/>
      <c r="F1" s="31"/>
      <c r="G1" s="31"/>
      <c r="H1" s="4"/>
      <c r="I1" s="4"/>
      <c r="J1" s="4"/>
      <c r="K1" s="31"/>
      <c r="L1" s="32"/>
      <c r="M1" s="131"/>
      <c r="N1" s="131"/>
      <c r="O1" s="131"/>
      <c r="P1" s="131"/>
      <c r="Q1" s="131"/>
      <c r="R1" s="152" t="s">
        <v>5466</v>
      </c>
      <c r="S1" s="152"/>
      <c r="T1" s="152"/>
      <c r="U1" s="152"/>
      <c r="V1" s="110"/>
      <c r="W1" s="167" t="s">
        <v>5467</v>
      </c>
      <c r="X1" s="152"/>
      <c r="Y1" s="152"/>
      <c r="Z1" s="152"/>
    </row>
    <row r="2" spans="1:26" ht="16.5" customHeight="1" x14ac:dyDescent="0.2">
      <c r="A2" s="45" t="s">
        <v>5468</v>
      </c>
      <c r="B2" s="45" t="s">
        <v>5469</v>
      </c>
      <c r="C2" s="45" t="s">
        <v>5470</v>
      </c>
      <c r="D2" s="45" t="s">
        <v>3</v>
      </c>
      <c r="E2" s="14" t="s">
        <v>5471</v>
      </c>
      <c r="F2" s="120" t="s">
        <v>7</v>
      </c>
      <c r="G2" s="120" t="s">
        <v>8</v>
      </c>
      <c r="H2" s="143" t="s">
        <v>9</v>
      </c>
      <c r="I2" s="143" t="s">
        <v>5472</v>
      </c>
      <c r="J2" s="143" t="s">
        <v>11</v>
      </c>
      <c r="K2" s="58" t="s">
        <v>5473</v>
      </c>
      <c r="L2" s="102" t="s">
        <v>5474</v>
      </c>
      <c r="M2" s="14" t="s">
        <v>5475</v>
      </c>
      <c r="N2" s="14" t="s">
        <v>5476</v>
      </c>
      <c r="O2" s="14" t="s">
        <v>5477</v>
      </c>
      <c r="P2" s="14" t="s">
        <v>5478</v>
      </c>
      <c r="Q2" s="74" t="s">
        <v>5479</v>
      </c>
      <c r="R2" s="142" t="s">
        <v>5480</v>
      </c>
      <c r="S2" s="91" t="s">
        <v>5481</v>
      </c>
      <c r="T2" s="91" t="s">
        <v>5482</v>
      </c>
      <c r="U2" s="142" t="s">
        <v>5483</v>
      </c>
      <c r="V2" s="142" t="s">
        <v>5484</v>
      </c>
      <c r="W2" s="142" t="s">
        <v>5480</v>
      </c>
      <c r="X2" s="91" t="s">
        <v>5481</v>
      </c>
      <c r="Y2" s="91" t="s">
        <v>5482</v>
      </c>
      <c r="Z2" s="144" t="s">
        <v>5485</v>
      </c>
    </row>
    <row r="3" spans="1:26" ht="1.5" customHeight="1" x14ac:dyDescent="0.2">
      <c r="A3" s="126">
        <v>1</v>
      </c>
      <c r="B3" s="126">
        <v>10019</v>
      </c>
      <c r="C3" s="160" t="s">
        <v>237</v>
      </c>
      <c r="D3" s="160" t="s">
        <v>238</v>
      </c>
      <c r="E3" s="68" t="s">
        <v>5486</v>
      </c>
      <c r="F3" s="160" t="s">
        <v>241</v>
      </c>
      <c r="G3" s="160"/>
      <c r="H3" s="68" t="s">
        <v>5487</v>
      </c>
      <c r="I3" s="68" t="s">
        <v>5488</v>
      </c>
      <c r="J3" s="160" t="s">
        <v>241</v>
      </c>
      <c r="K3" s="160" t="s">
        <v>5489</v>
      </c>
      <c r="L3" s="100" t="s">
        <v>247</v>
      </c>
      <c r="M3" s="8" t="s">
        <v>245</v>
      </c>
      <c r="N3" s="97" t="s">
        <v>5490</v>
      </c>
      <c r="O3" s="12" t="s">
        <v>94</v>
      </c>
      <c r="P3" s="8" t="s">
        <v>5491</v>
      </c>
      <c r="Q3" s="113" t="s">
        <v>5492</v>
      </c>
      <c r="R3" s="15">
        <v>0</v>
      </c>
      <c r="S3" s="16" t="s">
        <v>320</v>
      </c>
      <c r="T3" s="16" t="s">
        <v>5153</v>
      </c>
      <c r="U3" s="15"/>
      <c r="V3" s="15"/>
      <c r="W3" s="15">
        <v>0</v>
      </c>
      <c r="X3" s="16" t="s">
        <v>5153</v>
      </c>
      <c r="Y3" s="16" t="s">
        <v>5153</v>
      </c>
      <c r="Z3" s="92"/>
    </row>
    <row r="4" spans="1:26" ht="16.5" customHeight="1" x14ac:dyDescent="0.2">
      <c r="A4" s="151">
        <v>2</v>
      </c>
      <c r="B4" s="151">
        <v>20078</v>
      </c>
      <c r="C4" s="135" t="s">
        <v>854</v>
      </c>
      <c r="D4" s="135" t="s">
        <v>855</v>
      </c>
      <c r="E4" s="114"/>
      <c r="F4" s="135"/>
      <c r="G4" s="135"/>
      <c r="H4" s="114"/>
      <c r="I4" s="114"/>
      <c r="J4" s="135"/>
      <c r="K4" s="135"/>
      <c r="L4" s="176"/>
      <c r="M4" s="17"/>
      <c r="N4" s="130" t="s">
        <v>5493</v>
      </c>
      <c r="O4" s="77" t="s">
        <v>94</v>
      </c>
      <c r="P4" s="17" t="s">
        <v>5494</v>
      </c>
      <c r="Q4" s="77" t="s">
        <v>5492</v>
      </c>
      <c r="R4" s="188" t="s">
        <v>5495</v>
      </c>
      <c r="S4" s="17" t="s">
        <v>5496</v>
      </c>
      <c r="T4" s="17" t="s">
        <v>5497</v>
      </c>
      <c r="U4" s="88">
        <v>6</v>
      </c>
      <c r="V4" s="188">
        <v>2013</v>
      </c>
      <c r="W4" s="188" t="s">
        <v>5495</v>
      </c>
      <c r="X4" s="17" t="s">
        <v>5498</v>
      </c>
      <c r="Y4" s="17" t="s">
        <v>5153</v>
      </c>
      <c r="Z4" s="185" t="s">
        <v>5499</v>
      </c>
    </row>
    <row r="5" spans="1:26" ht="16.5" customHeight="1" x14ac:dyDescent="0.2">
      <c r="A5" s="151">
        <v>3</v>
      </c>
      <c r="B5" s="151">
        <v>20083</v>
      </c>
      <c r="C5" s="135" t="s">
        <v>894</v>
      </c>
      <c r="D5" s="135" t="s">
        <v>84</v>
      </c>
      <c r="E5" s="114" t="s">
        <v>5500</v>
      </c>
      <c r="F5" s="135" t="s">
        <v>895</v>
      </c>
      <c r="G5" s="135" t="s">
        <v>412</v>
      </c>
      <c r="H5" s="114" t="s">
        <v>896</v>
      </c>
      <c r="I5" s="114" t="s">
        <v>5501</v>
      </c>
      <c r="J5" s="135" t="s">
        <v>895</v>
      </c>
      <c r="K5" s="135" t="s">
        <v>899</v>
      </c>
      <c r="L5" s="176" t="s">
        <v>900</v>
      </c>
      <c r="M5" s="17" t="s">
        <v>5502</v>
      </c>
      <c r="N5" s="130" t="s">
        <v>5503</v>
      </c>
      <c r="O5" s="77" t="s">
        <v>51</v>
      </c>
      <c r="P5" s="17" t="s">
        <v>5494</v>
      </c>
      <c r="Q5" s="77" t="s">
        <v>5492</v>
      </c>
      <c r="R5" s="188" t="s">
        <v>5504</v>
      </c>
      <c r="S5" s="17" t="s">
        <v>5496</v>
      </c>
      <c r="T5" s="17" t="s">
        <v>5497</v>
      </c>
      <c r="U5" s="188">
        <v>6</v>
      </c>
      <c r="V5" s="188">
        <v>2013</v>
      </c>
      <c r="W5" s="188"/>
      <c r="X5" s="17"/>
      <c r="Y5" s="17"/>
      <c r="Z5" s="185" t="s">
        <v>5499</v>
      </c>
    </row>
    <row r="6" spans="1:26" ht="16.5" customHeight="1" x14ac:dyDescent="0.2">
      <c r="A6" s="151">
        <v>4</v>
      </c>
      <c r="B6" s="151">
        <v>20118</v>
      </c>
      <c r="C6" s="135" t="s">
        <v>1101</v>
      </c>
      <c r="D6" s="135" t="s">
        <v>1102</v>
      </c>
      <c r="E6" s="114" t="s">
        <v>5505</v>
      </c>
      <c r="F6" s="135" t="s">
        <v>241</v>
      </c>
      <c r="G6" s="135" t="s">
        <v>1103</v>
      </c>
      <c r="H6" s="114" t="s">
        <v>1104</v>
      </c>
      <c r="I6" s="114" t="s">
        <v>5506</v>
      </c>
      <c r="J6" s="135" t="s">
        <v>1105</v>
      </c>
      <c r="K6" s="135" t="s">
        <v>1109</v>
      </c>
      <c r="L6" s="176" t="s">
        <v>1110</v>
      </c>
      <c r="M6" s="17" t="s">
        <v>5507</v>
      </c>
      <c r="N6" s="130" t="s">
        <v>5508</v>
      </c>
      <c r="O6" s="77" t="s">
        <v>94</v>
      </c>
      <c r="P6" s="17" t="s">
        <v>5509</v>
      </c>
      <c r="Q6" s="77" t="s">
        <v>5510</v>
      </c>
      <c r="R6" s="188"/>
      <c r="S6" s="17" t="s">
        <v>5511</v>
      </c>
      <c r="T6" s="17" t="s">
        <v>5512</v>
      </c>
      <c r="U6" s="188">
        <v>9</v>
      </c>
      <c r="V6" s="188">
        <v>2013</v>
      </c>
      <c r="W6" s="188"/>
      <c r="X6" s="17"/>
      <c r="Y6" s="17"/>
      <c r="Z6" s="185" t="s">
        <v>5513</v>
      </c>
    </row>
    <row r="7" spans="1:26" ht="16.5" customHeight="1" x14ac:dyDescent="0.2">
      <c r="A7" s="151">
        <v>5</v>
      </c>
      <c r="B7" s="151">
        <v>20122</v>
      </c>
      <c r="C7" s="135" t="s">
        <v>1137</v>
      </c>
      <c r="D7" s="135" t="s">
        <v>920</v>
      </c>
      <c r="E7" s="114" t="s">
        <v>5514</v>
      </c>
      <c r="F7" s="135" t="s">
        <v>5515</v>
      </c>
      <c r="G7" s="135" t="s">
        <v>120</v>
      </c>
      <c r="H7" s="114" t="s">
        <v>1138</v>
      </c>
      <c r="I7" s="114" t="s">
        <v>5516</v>
      </c>
      <c r="J7" s="135" t="s">
        <v>5517</v>
      </c>
      <c r="K7" s="135" t="s">
        <v>5518</v>
      </c>
      <c r="L7" s="176" t="s">
        <v>1144</v>
      </c>
      <c r="M7" s="17" t="s">
        <v>5519</v>
      </c>
      <c r="N7" s="130" t="s">
        <v>5520</v>
      </c>
      <c r="O7" s="77" t="s">
        <v>94</v>
      </c>
      <c r="P7" s="17" t="s">
        <v>5521</v>
      </c>
      <c r="Q7" s="77" t="s">
        <v>5492</v>
      </c>
      <c r="R7" s="188"/>
      <c r="S7" s="17" t="s">
        <v>5511</v>
      </c>
      <c r="T7" s="17" t="s">
        <v>5512</v>
      </c>
      <c r="U7" s="188">
        <v>9</v>
      </c>
      <c r="V7" s="188">
        <v>2013</v>
      </c>
      <c r="W7" s="188"/>
      <c r="X7" s="17"/>
      <c r="Y7" s="17"/>
      <c r="Z7" s="185" t="s">
        <v>5499</v>
      </c>
    </row>
    <row r="8" spans="1:26" ht="16.5" customHeight="1" x14ac:dyDescent="0.2">
      <c r="A8" s="151">
        <v>6</v>
      </c>
      <c r="B8" s="151">
        <v>20126</v>
      </c>
      <c r="C8" s="135" t="s">
        <v>1083</v>
      </c>
      <c r="D8" s="135" t="s">
        <v>496</v>
      </c>
      <c r="E8" s="114"/>
      <c r="F8" s="135"/>
      <c r="G8" s="135"/>
      <c r="H8" s="114"/>
      <c r="I8" s="114"/>
      <c r="J8" s="135"/>
      <c r="K8" s="135"/>
      <c r="L8" s="176"/>
      <c r="M8" s="17"/>
      <c r="N8" s="130" t="s">
        <v>5522</v>
      </c>
      <c r="O8" s="77" t="s">
        <v>94</v>
      </c>
      <c r="P8" s="17" t="s">
        <v>5523</v>
      </c>
      <c r="Q8" s="77" t="s">
        <v>5492</v>
      </c>
      <c r="R8" s="188"/>
      <c r="S8" s="17" t="s">
        <v>5524</v>
      </c>
      <c r="T8" s="17" t="s">
        <v>0</v>
      </c>
      <c r="U8" s="188"/>
      <c r="V8" s="188"/>
      <c r="W8" s="188"/>
      <c r="X8" s="17" t="s">
        <v>5153</v>
      </c>
      <c r="Y8" s="17"/>
      <c r="Z8" s="185" t="s">
        <v>5499</v>
      </c>
    </row>
    <row r="9" spans="1:26" ht="16.5" customHeight="1" x14ac:dyDescent="0.2">
      <c r="A9" s="151">
        <v>7</v>
      </c>
      <c r="B9" s="151">
        <v>20130</v>
      </c>
      <c r="C9" s="135" t="s">
        <v>1208</v>
      </c>
      <c r="D9" s="135" t="s">
        <v>109</v>
      </c>
      <c r="E9" s="114" t="s">
        <v>5525</v>
      </c>
      <c r="F9" s="135" t="s">
        <v>1209</v>
      </c>
      <c r="G9" s="135" t="s">
        <v>1209</v>
      </c>
      <c r="H9" s="114" t="s">
        <v>1211</v>
      </c>
      <c r="I9" s="114" t="s">
        <v>5526</v>
      </c>
      <c r="J9" s="135" t="s">
        <v>1212</v>
      </c>
      <c r="K9" s="135" t="s">
        <v>1216</v>
      </c>
      <c r="L9" s="176" t="s">
        <v>1217</v>
      </c>
      <c r="M9" s="17" t="s">
        <v>1215</v>
      </c>
      <c r="N9" s="130" t="s">
        <v>5527</v>
      </c>
      <c r="O9" s="77" t="s">
        <v>94</v>
      </c>
      <c r="P9" s="17" t="s">
        <v>5523</v>
      </c>
      <c r="Q9" s="77" t="s">
        <v>5492</v>
      </c>
      <c r="R9" s="188"/>
      <c r="S9" s="17" t="s">
        <v>5528</v>
      </c>
      <c r="T9" s="17" t="s">
        <v>5529</v>
      </c>
      <c r="U9" s="188">
        <v>10</v>
      </c>
      <c r="V9" s="188">
        <v>2013</v>
      </c>
      <c r="W9" s="188" t="s">
        <v>5530</v>
      </c>
      <c r="X9" s="17" t="s">
        <v>5531</v>
      </c>
      <c r="Y9" s="17" t="s">
        <v>5153</v>
      </c>
      <c r="Z9" s="185" t="s">
        <v>5499</v>
      </c>
    </row>
    <row r="10" spans="1:26" ht="16.5" customHeight="1" x14ac:dyDescent="0.2">
      <c r="A10" s="193">
        <v>8</v>
      </c>
      <c r="B10" s="193">
        <v>20148</v>
      </c>
      <c r="C10" s="99" t="s">
        <v>1306</v>
      </c>
      <c r="D10" s="99" t="s">
        <v>618</v>
      </c>
      <c r="E10" s="104" t="s">
        <v>5532</v>
      </c>
      <c r="F10" s="63" t="s">
        <v>5533</v>
      </c>
      <c r="G10" s="63" t="s">
        <v>365</v>
      </c>
      <c r="H10" s="104" t="s">
        <v>1309</v>
      </c>
      <c r="I10" s="104" t="s">
        <v>5534</v>
      </c>
      <c r="J10" s="63" t="s">
        <v>5535</v>
      </c>
      <c r="K10" s="63" t="s">
        <v>5536</v>
      </c>
      <c r="L10" s="35" t="s">
        <v>1314</v>
      </c>
      <c r="M10" s="163" t="s">
        <v>5537</v>
      </c>
      <c r="N10" s="107" t="s">
        <v>5522</v>
      </c>
      <c r="O10" s="113" t="s">
        <v>94</v>
      </c>
      <c r="P10" s="16" t="s">
        <v>5538</v>
      </c>
      <c r="Q10" s="113" t="s">
        <v>5510</v>
      </c>
      <c r="R10" s="15"/>
      <c r="S10" s="16" t="s">
        <v>5539</v>
      </c>
      <c r="T10" s="16" t="s">
        <v>5540</v>
      </c>
      <c r="U10" s="15">
        <v>12</v>
      </c>
      <c r="V10" s="15">
        <v>2015</v>
      </c>
      <c r="W10" s="15"/>
      <c r="X10" s="16"/>
      <c r="Y10" s="16"/>
      <c r="Z10" s="92"/>
    </row>
    <row r="11" spans="1:26" ht="16.5" customHeight="1" x14ac:dyDescent="0.2">
      <c r="A11" s="193">
        <v>9</v>
      </c>
      <c r="B11" s="193">
        <v>20155</v>
      </c>
      <c r="C11" s="99" t="s">
        <v>1345</v>
      </c>
      <c r="D11" s="99" t="s">
        <v>576</v>
      </c>
      <c r="E11" s="150" t="s">
        <v>5541</v>
      </c>
      <c r="F11" s="99" t="s">
        <v>5535</v>
      </c>
      <c r="G11" s="50" t="s">
        <v>2213</v>
      </c>
      <c r="H11" s="150" t="s">
        <v>1346</v>
      </c>
      <c r="I11" s="150" t="s">
        <v>5542</v>
      </c>
      <c r="J11" s="63" t="s">
        <v>5535</v>
      </c>
      <c r="K11" s="99" t="s">
        <v>1351</v>
      </c>
      <c r="L11" s="186" t="s">
        <v>1352</v>
      </c>
      <c r="M11" s="16" t="s">
        <v>1350</v>
      </c>
      <c r="N11" s="107" t="s">
        <v>5543</v>
      </c>
      <c r="O11" s="113" t="s">
        <v>94</v>
      </c>
      <c r="P11" s="16" t="s">
        <v>5544</v>
      </c>
      <c r="Q11" s="113" t="s">
        <v>5510</v>
      </c>
      <c r="R11" s="15"/>
      <c r="S11" s="16" t="s">
        <v>5545</v>
      </c>
      <c r="T11" s="16" t="s">
        <v>5546</v>
      </c>
      <c r="U11" s="15">
        <v>12</v>
      </c>
      <c r="V11" s="15">
        <v>1902</v>
      </c>
      <c r="W11" s="15"/>
      <c r="X11" s="16"/>
      <c r="Y11" s="16"/>
      <c r="Z11" s="92"/>
    </row>
    <row r="12" spans="1:26" ht="16.5" customHeight="1" x14ac:dyDescent="0.2">
      <c r="A12" s="40">
        <v>10</v>
      </c>
      <c r="B12" s="40">
        <v>20180</v>
      </c>
      <c r="C12" s="63" t="s">
        <v>965</v>
      </c>
      <c r="D12" s="63" t="s">
        <v>638</v>
      </c>
      <c r="E12" s="104" t="s">
        <v>5547</v>
      </c>
      <c r="F12" s="63" t="s">
        <v>726</v>
      </c>
      <c r="G12" s="63" t="s">
        <v>726</v>
      </c>
      <c r="H12" s="104" t="s">
        <v>1485</v>
      </c>
      <c r="I12" s="104" t="s">
        <v>5548</v>
      </c>
      <c r="J12" s="63" t="s">
        <v>5549</v>
      </c>
      <c r="K12" s="63" t="s">
        <v>1491</v>
      </c>
      <c r="L12" s="63" t="s">
        <v>1491</v>
      </c>
      <c r="M12" s="98" t="s">
        <v>5550</v>
      </c>
      <c r="N12" s="103" t="s">
        <v>5551</v>
      </c>
      <c r="O12" s="39" t="s">
        <v>94</v>
      </c>
      <c r="P12" s="163" t="s">
        <v>5552</v>
      </c>
      <c r="Q12" s="39" t="s">
        <v>5510</v>
      </c>
      <c r="R12" s="146"/>
      <c r="S12" s="163" t="s">
        <v>5553</v>
      </c>
      <c r="T12" s="16" t="s">
        <v>5554</v>
      </c>
      <c r="U12" s="15">
        <v>11</v>
      </c>
      <c r="V12" s="15">
        <v>2014</v>
      </c>
      <c r="W12" s="15"/>
      <c r="X12" s="16"/>
      <c r="Y12" s="16"/>
      <c r="Z12" s="92"/>
    </row>
    <row r="13" spans="1:26" ht="16.5" customHeight="1" x14ac:dyDescent="0.2">
      <c r="A13" s="151">
        <v>11</v>
      </c>
      <c r="B13" s="151">
        <v>20226</v>
      </c>
      <c r="C13" s="135" t="s">
        <v>265</v>
      </c>
      <c r="D13" s="135" t="s">
        <v>396</v>
      </c>
      <c r="E13" s="114" t="s">
        <v>5555</v>
      </c>
      <c r="F13" s="135" t="s">
        <v>132</v>
      </c>
      <c r="G13" s="135" t="s">
        <v>132</v>
      </c>
      <c r="H13" s="114" t="s">
        <v>1760</v>
      </c>
      <c r="I13" s="114" t="s">
        <v>5556</v>
      </c>
      <c r="J13" s="135" t="s">
        <v>1761</v>
      </c>
      <c r="K13" s="135" t="s">
        <v>5557</v>
      </c>
      <c r="L13" s="176" t="s">
        <v>1766</v>
      </c>
      <c r="M13" s="17" t="s">
        <v>5558</v>
      </c>
      <c r="N13" s="130" t="s">
        <v>5559</v>
      </c>
      <c r="O13" s="77" t="s">
        <v>94</v>
      </c>
      <c r="P13" s="17" t="s">
        <v>5560</v>
      </c>
      <c r="Q13" s="77" t="s">
        <v>5510</v>
      </c>
      <c r="R13" s="188"/>
      <c r="S13" s="17" t="s">
        <v>5561</v>
      </c>
      <c r="T13" s="17" t="s">
        <v>5562</v>
      </c>
      <c r="U13" s="188">
        <v>12</v>
      </c>
      <c r="V13" s="188">
        <v>2013</v>
      </c>
      <c r="W13" s="188"/>
      <c r="X13" s="17"/>
      <c r="Y13" s="17"/>
      <c r="Z13" s="185" t="s">
        <v>5513</v>
      </c>
    </row>
    <row r="14" spans="1:26" ht="16.5" customHeight="1" x14ac:dyDescent="0.2">
      <c r="A14" s="193">
        <v>12</v>
      </c>
      <c r="B14" s="193">
        <v>20231</v>
      </c>
      <c r="C14" s="99" t="s">
        <v>1120</v>
      </c>
      <c r="D14" s="99" t="s">
        <v>271</v>
      </c>
      <c r="E14" s="150" t="s">
        <v>5563</v>
      </c>
      <c r="F14" s="99" t="s">
        <v>726</v>
      </c>
      <c r="G14" s="99" t="s">
        <v>726</v>
      </c>
      <c r="H14" s="150" t="s">
        <v>1801</v>
      </c>
      <c r="I14" s="150" t="s">
        <v>5564</v>
      </c>
      <c r="J14" s="99" t="s">
        <v>5565</v>
      </c>
      <c r="K14" s="99" t="s">
        <v>1805</v>
      </c>
      <c r="L14" s="99" t="s">
        <v>1806</v>
      </c>
      <c r="M14" s="5" t="s">
        <v>1804</v>
      </c>
      <c r="N14" s="107" t="s">
        <v>5566</v>
      </c>
      <c r="O14" s="113" t="s">
        <v>94</v>
      </c>
      <c r="P14" s="16" t="s">
        <v>5567</v>
      </c>
      <c r="Q14" s="113" t="s">
        <v>5510</v>
      </c>
      <c r="R14" s="15"/>
      <c r="S14" s="16" t="s">
        <v>5568</v>
      </c>
      <c r="T14" s="16" t="s">
        <v>5569</v>
      </c>
      <c r="U14" s="15">
        <v>10</v>
      </c>
      <c r="V14" s="15">
        <v>2014</v>
      </c>
      <c r="W14" s="15"/>
      <c r="X14" s="16"/>
      <c r="Y14" s="16"/>
      <c r="Z14" s="92"/>
    </row>
    <row r="15" spans="1:26" ht="16.5" customHeight="1" x14ac:dyDescent="0.2">
      <c r="A15" s="193">
        <v>13</v>
      </c>
      <c r="B15" s="193">
        <v>20241</v>
      </c>
      <c r="C15" s="99" t="s">
        <v>1869</v>
      </c>
      <c r="D15" s="99" t="s">
        <v>920</v>
      </c>
      <c r="E15" s="150" t="s">
        <v>5570</v>
      </c>
      <c r="F15" s="99" t="s">
        <v>1870</v>
      </c>
      <c r="G15" s="99" t="s">
        <v>379</v>
      </c>
      <c r="H15" s="150" t="s">
        <v>1871</v>
      </c>
      <c r="I15" s="150" t="s">
        <v>5571</v>
      </c>
      <c r="J15" s="99" t="s">
        <v>1870</v>
      </c>
      <c r="K15" s="99" t="s">
        <v>1874</v>
      </c>
      <c r="L15" s="186" t="s">
        <v>1875</v>
      </c>
      <c r="M15" s="16" t="s">
        <v>5572</v>
      </c>
      <c r="N15" s="107" t="s">
        <v>5559</v>
      </c>
      <c r="O15" s="113" t="s">
        <v>94</v>
      </c>
      <c r="P15" s="16" t="s">
        <v>5573</v>
      </c>
      <c r="Q15" s="113" t="s">
        <v>5510</v>
      </c>
      <c r="R15" s="15"/>
      <c r="S15" s="16" t="s">
        <v>5574</v>
      </c>
      <c r="T15" s="16" t="s">
        <v>5575</v>
      </c>
      <c r="U15" s="15">
        <v>12</v>
      </c>
      <c r="V15" s="15">
        <v>2014</v>
      </c>
      <c r="W15" s="15"/>
      <c r="X15" s="16"/>
      <c r="Y15" s="16"/>
      <c r="Z15" s="92"/>
    </row>
    <row r="16" spans="1:26" ht="16.5" customHeight="1" x14ac:dyDescent="0.2">
      <c r="A16" s="193">
        <v>14</v>
      </c>
      <c r="B16" s="193">
        <v>20252</v>
      </c>
      <c r="C16" s="99" t="s">
        <v>801</v>
      </c>
      <c r="D16" s="99" t="s">
        <v>364</v>
      </c>
      <c r="E16" s="150" t="s">
        <v>5576</v>
      </c>
      <c r="F16" s="99" t="s">
        <v>1148</v>
      </c>
      <c r="G16" s="99" t="s">
        <v>1148</v>
      </c>
      <c r="H16" s="150" t="s">
        <v>1946</v>
      </c>
      <c r="I16" s="150" t="s">
        <v>5577</v>
      </c>
      <c r="J16" s="99" t="s">
        <v>1105</v>
      </c>
      <c r="K16" s="99" t="s">
        <v>5578</v>
      </c>
      <c r="L16" s="99" t="s">
        <v>1949</v>
      </c>
      <c r="M16" s="5" t="s">
        <v>5579</v>
      </c>
      <c r="N16" s="107" t="s">
        <v>5580</v>
      </c>
      <c r="O16" s="113" t="s">
        <v>94</v>
      </c>
      <c r="P16" s="16" t="s">
        <v>5581</v>
      </c>
      <c r="Q16" s="113" t="s">
        <v>5510</v>
      </c>
      <c r="R16" s="15"/>
      <c r="S16" s="16" t="s">
        <v>5582</v>
      </c>
      <c r="T16" s="16" t="s">
        <v>5583</v>
      </c>
      <c r="U16" s="15">
        <v>3</v>
      </c>
      <c r="V16" s="15">
        <v>2015</v>
      </c>
      <c r="W16" s="15"/>
      <c r="X16" s="16"/>
      <c r="Y16" s="16"/>
      <c r="Z16" s="92"/>
    </row>
    <row r="17" spans="1:26" ht="16.5" customHeight="1" x14ac:dyDescent="0.2">
      <c r="A17" s="193">
        <v>15</v>
      </c>
      <c r="B17" s="193">
        <v>20253</v>
      </c>
      <c r="C17" s="99" t="s">
        <v>1950</v>
      </c>
      <c r="D17" s="99" t="s">
        <v>1951</v>
      </c>
      <c r="E17" s="150" t="s">
        <v>5584</v>
      </c>
      <c r="F17" s="99" t="s">
        <v>954</v>
      </c>
      <c r="G17" s="99" t="s">
        <v>954</v>
      </c>
      <c r="H17" s="150" t="s">
        <v>1952</v>
      </c>
      <c r="I17" s="150" t="s">
        <v>5585</v>
      </c>
      <c r="J17" s="99" t="s">
        <v>1105</v>
      </c>
      <c r="K17" s="149" t="s">
        <v>5586</v>
      </c>
      <c r="L17" s="149" t="s">
        <v>1956</v>
      </c>
      <c r="M17" s="5" t="s">
        <v>5587</v>
      </c>
      <c r="N17" s="107" t="s">
        <v>5588</v>
      </c>
      <c r="O17" s="113" t="s">
        <v>94</v>
      </c>
      <c r="P17" s="16" t="s">
        <v>5589</v>
      </c>
      <c r="Q17" s="113" t="s">
        <v>5510</v>
      </c>
      <c r="R17" s="15"/>
      <c r="S17" s="16" t="s">
        <v>5582</v>
      </c>
      <c r="T17" s="16" t="s">
        <v>5583</v>
      </c>
      <c r="U17" s="15">
        <v>3</v>
      </c>
      <c r="V17" s="15">
        <v>2015</v>
      </c>
      <c r="W17" s="15"/>
      <c r="X17" s="16"/>
      <c r="Y17" s="16"/>
      <c r="Z17" s="92"/>
    </row>
    <row r="18" spans="1:26" ht="16.5" customHeight="1" x14ac:dyDescent="0.2">
      <c r="A18" s="193">
        <v>16</v>
      </c>
      <c r="B18" s="193">
        <v>20256</v>
      </c>
      <c r="C18" s="99" t="s">
        <v>1965</v>
      </c>
      <c r="D18" s="99" t="s">
        <v>1966</v>
      </c>
      <c r="E18" s="150" t="s">
        <v>5590</v>
      </c>
      <c r="F18" s="99" t="s">
        <v>1967</v>
      </c>
      <c r="G18" s="99" t="s">
        <v>1967</v>
      </c>
      <c r="H18" s="150" t="s">
        <v>1969</v>
      </c>
      <c r="I18" s="150" t="s">
        <v>5591</v>
      </c>
      <c r="J18" s="99" t="s">
        <v>1967</v>
      </c>
      <c r="K18" s="99" t="s">
        <v>1973</v>
      </c>
      <c r="L18" s="186" t="s">
        <v>1974</v>
      </c>
      <c r="M18" s="16" t="s">
        <v>1972</v>
      </c>
      <c r="N18" s="107" t="s">
        <v>5592</v>
      </c>
      <c r="O18" s="113" t="s">
        <v>94</v>
      </c>
      <c r="P18" s="16" t="s">
        <v>5593</v>
      </c>
      <c r="Q18" s="113" t="s">
        <v>5510</v>
      </c>
      <c r="R18" s="15"/>
      <c r="S18" s="16" t="s">
        <v>5594</v>
      </c>
      <c r="T18" s="16" t="s">
        <v>5595</v>
      </c>
      <c r="U18" s="15">
        <v>3</v>
      </c>
      <c r="V18" s="15">
        <v>2015</v>
      </c>
      <c r="W18" s="15"/>
      <c r="X18" s="16"/>
      <c r="Y18" s="16"/>
      <c r="Z18" s="92"/>
    </row>
    <row r="19" spans="1:26" ht="16.5" customHeight="1" x14ac:dyDescent="0.2">
      <c r="A19" s="193">
        <v>17</v>
      </c>
      <c r="B19" s="193">
        <v>20268</v>
      </c>
      <c r="C19" s="99" t="s">
        <v>2044</v>
      </c>
      <c r="D19" s="99" t="s">
        <v>2045</v>
      </c>
      <c r="E19" s="150" t="s">
        <v>5596</v>
      </c>
      <c r="F19" s="99" t="s">
        <v>5597</v>
      </c>
      <c r="G19" s="99" t="s">
        <v>5597</v>
      </c>
      <c r="H19" s="150" t="s">
        <v>2048</v>
      </c>
      <c r="I19" s="150" t="s">
        <v>5598</v>
      </c>
      <c r="J19" s="99" t="s">
        <v>2252</v>
      </c>
      <c r="K19" s="99" t="s">
        <v>5599</v>
      </c>
      <c r="L19" s="186" t="s">
        <v>5600</v>
      </c>
      <c r="M19" s="16" t="s">
        <v>5601</v>
      </c>
      <c r="N19" s="107" t="s">
        <v>5493</v>
      </c>
      <c r="O19" s="113" t="s">
        <v>94</v>
      </c>
      <c r="P19" s="16" t="s">
        <v>5602</v>
      </c>
      <c r="Q19" s="113" t="s">
        <v>5510</v>
      </c>
      <c r="R19" s="15"/>
      <c r="S19" s="16" t="s">
        <v>5603</v>
      </c>
      <c r="T19" s="16" t="s">
        <v>5604</v>
      </c>
      <c r="U19" s="15">
        <v>6</v>
      </c>
      <c r="V19" s="15">
        <v>2015</v>
      </c>
      <c r="W19" s="15"/>
      <c r="X19" s="16"/>
      <c r="Y19" s="16"/>
      <c r="Z19" s="92"/>
    </row>
    <row r="20" spans="1:26" ht="16.5" customHeight="1" x14ac:dyDescent="0.2">
      <c r="A20" s="193">
        <v>18</v>
      </c>
      <c r="B20" s="193">
        <v>20286</v>
      </c>
      <c r="C20" s="99" t="s">
        <v>2159</v>
      </c>
      <c r="D20" s="99" t="s">
        <v>170</v>
      </c>
      <c r="E20" s="150" t="s">
        <v>5605</v>
      </c>
      <c r="F20" s="99" t="s">
        <v>1829</v>
      </c>
      <c r="G20" s="99" t="s">
        <v>824</v>
      </c>
      <c r="H20" s="150" t="s">
        <v>2160</v>
      </c>
      <c r="I20" s="150" t="s">
        <v>5606</v>
      </c>
      <c r="J20" s="99" t="s">
        <v>1829</v>
      </c>
      <c r="K20" s="99" t="s">
        <v>2164</v>
      </c>
      <c r="L20" s="186" t="s">
        <v>2165</v>
      </c>
      <c r="M20" s="16" t="s">
        <v>5607</v>
      </c>
      <c r="N20" s="107" t="s">
        <v>5559</v>
      </c>
      <c r="O20" s="113" t="s">
        <v>94</v>
      </c>
      <c r="P20" s="16" t="s">
        <v>5608</v>
      </c>
      <c r="Q20" s="113" t="s">
        <v>5510</v>
      </c>
      <c r="R20" s="15" t="s">
        <v>5609</v>
      </c>
      <c r="S20" s="16" t="s">
        <v>5610</v>
      </c>
      <c r="T20" s="16" t="s">
        <v>5611</v>
      </c>
      <c r="U20" s="15">
        <v>8</v>
      </c>
      <c r="V20" s="15">
        <v>2015</v>
      </c>
      <c r="W20" s="15"/>
      <c r="X20" s="16"/>
      <c r="Y20" s="16"/>
      <c r="Z20" s="92"/>
    </row>
    <row r="21" spans="1:26" ht="16.5" customHeight="1" x14ac:dyDescent="0.2">
      <c r="A21" s="193">
        <v>19</v>
      </c>
      <c r="B21" s="193">
        <v>20294</v>
      </c>
      <c r="C21" s="99" t="s">
        <v>801</v>
      </c>
      <c r="D21" s="99" t="s">
        <v>287</v>
      </c>
      <c r="E21" s="150" t="s">
        <v>5612</v>
      </c>
      <c r="F21" s="99" t="s">
        <v>1829</v>
      </c>
      <c r="G21" s="99" t="s">
        <v>2213</v>
      </c>
      <c r="H21" s="150" t="s">
        <v>2214</v>
      </c>
      <c r="I21" s="150" t="s">
        <v>5613</v>
      </c>
      <c r="J21" s="99" t="s">
        <v>2215</v>
      </c>
      <c r="K21" s="99" t="s">
        <v>2218</v>
      </c>
      <c r="L21" s="99" t="s">
        <v>2218</v>
      </c>
      <c r="M21" s="5" t="s">
        <v>5614</v>
      </c>
      <c r="N21" s="107" t="s">
        <v>5615</v>
      </c>
      <c r="O21" s="113" t="s">
        <v>94</v>
      </c>
      <c r="P21" s="16" t="s">
        <v>5616</v>
      </c>
      <c r="Q21" s="113" t="s">
        <v>5510</v>
      </c>
      <c r="R21" s="15" t="s">
        <v>5617</v>
      </c>
      <c r="S21" s="16" t="s">
        <v>5618</v>
      </c>
      <c r="T21" s="16" t="s">
        <v>5619</v>
      </c>
      <c r="U21" s="15">
        <v>10</v>
      </c>
      <c r="V21" s="15">
        <v>2015</v>
      </c>
      <c r="W21" s="15"/>
      <c r="X21" s="16"/>
      <c r="Y21" s="16"/>
      <c r="Z21" s="92"/>
    </row>
    <row r="22" spans="1:26" ht="16.5" customHeight="1" x14ac:dyDescent="0.2">
      <c r="A22" s="193">
        <v>20</v>
      </c>
      <c r="B22" s="182">
        <v>20297</v>
      </c>
      <c r="C22" s="195" t="s">
        <v>2236</v>
      </c>
      <c r="D22" s="195" t="s">
        <v>486</v>
      </c>
      <c r="E22" s="24" t="s">
        <v>5620</v>
      </c>
      <c r="F22" s="51" t="s">
        <v>1186</v>
      </c>
      <c r="G22" s="177" t="s">
        <v>1186</v>
      </c>
      <c r="H22" s="24" t="s">
        <v>2237</v>
      </c>
      <c r="I22" s="24" t="s">
        <v>5621</v>
      </c>
      <c r="J22" s="99" t="s">
        <v>1105</v>
      </c>
      <c r="K22" s="195" t="s">
        <v>2243</v>
      </c>
      <c r="L22" s="195" t="s">
        <v>2244</v>
      </c>
      <c r="M22" s="11" t="s">
        <v>5622</v>
      </c>
      <c r="N22" s="107" t="s">
        <v>5566</v>
      </c>
      <c r="O22" s="113" t="s">
        <v>51</v>
      </c>
      <c r="P22" s="16" t="s">
        <v>5623</v>
      </c>
      <c r="Q22" s="113" t="s">
        <v>5510</v>
      </c>
      <c r="R22" s="15" t="s">
        <v>5624</v>
      </c>
      <c r="S22" s="16" t="s">
        <v>5625</v>
      </c>
      <c r="T22" s="16" t="s">
        <v>5626</v>
      </c>
      <c r="U22" s="15">
        <v>9</v>
      </c>
      <c r="V22" s="15">
        <v>2015</v>
      </c>
      <c r="W22" s="15"/>
      <c r="X22" s="16"/>
      <c r="Y22" s="16"/>
      <c r="Z22" s="92"/>
    </row>
    <row r="23" spans="1:26" ht="16.5" customHeight="1" x14ac:dyDescent="0.2">
      <c r="A23" s="193">
        <v>21</v>
      </c>
      <c r="B23" s="193">
        <v>20302</v>
      </c>
      <c r="C23" s="99" t="s">
        <v>2272</v>
      </c>
      <c r="D23" s="99" t="s">
        <v>778</v>
      </c>
      <c r="E23" s="150" t="s">
        <v>5627</v>
      </c>
      <c r="F23" s="99" t="s">
        <v>884</v>
      </c>
      <c r="G23" s="99" t="s">
        <v>5628</v>
      </c>
      <c r="H23" s="150" t="s">
        <v>2274</v>
      </c>
      <c r="I23" s="150" t="s">
        <v>5629</v>
      </c>
      <c r="J23" s="99" t="s">
        <v>5628</v>
      </c>
      <c r="K23" s="99" t="s">
        <v>2279</v>
      </c>
      <c r="L23" s="186" t="s">
        <v>2280</v>
      </c>
      <c r="M23" s="16" t="s">
        <v>5630</v>
      </c>
      <c r="N23" s="107" t="s">
        <v>5631</v>
      </c>
      <c r="O23" s="113" t="s">
        <v>94</v>
      </c>
      <c r="P23" s="16" t="s">
        <v>5632</v>
      </c>
      <c r="Q23" s="113" t="s">
        <v>5510</v>
      </c>
      <c r="R23" s="15" t="s">
        <v>5633</v>
      </c>
      <c r="S23" s="16" t="s">
        <v>5634</v>
      </c>
      <c r="T23" s="16" t="s">
        <v>5635</v>
      </c>
      <c r="U23" s="15">
        <v>10</v>
      </c>
      <c r="V23" s="15">
        <v>2015</v>
      </c>
      <c r="W23" s="15"/>
      <c r="X23" s="16"/>
      <c r="Y23" s="16"/>
      <c r="Z23" s="92"/>
    </row>
    <row r="24" spans="1:26" ht="16.5" customHeight="1" x14ac:dyDescent="0.2">
      <c r="A24" s="193">
        <v>22</v>
      </c>
      <c r="B24" s="193">
        <v>20317</v>
      </c>
      <c r="C24" s="99" t="s">
        <v>2366</v>
      </c>
      <c r="D24" s="99" t="s">
        <v>2367</v>
      </c>
      <c r="E24" s="150" t="s">
        <v>5636</v>
      </c>
      <c r="F24" s="99" t="s">
        <v>379</v>
      </c>
      <c r="G24" s="99" t="s">
        <v>379</v>
      </c>
      <c r="H24" s="150" t="s">
        <v>2368</v>
      </c>
      <c r="I24" s="150" t="s">
        <v>5637</v>
      </c>
      <c r="J24" s="99" t="s">
        <v>379</v>
      </c>
      <c r="K24" s="99" t="s">
        <v>2371</v>
      </c>
      <c r="L24" s="99" t="s">
        <v>2372</v>
      </c>
      <c r="M24" s="5" t="s">
        <v>5638</v>
      </c>
      <c r="N24" s="107" t="s">
        <v>5639</v>
      </c>
      <c r="O24" s="113" t="s">
        <v>94</v>
      </c>
      <c r="P24" s="16" t="s">
        <v>5640</v>
      </c>
      <c r="Q24" s="113" t="s">
        <v>5510</v>
      </c>
      <c r="R24" s="15" t="s">
        <v>5641</v>
      </c>
      <c r="S24" s="16" t="s">
        <v>5642</v>
      </c>
      <c r="T24" s="16" t="s">
        <v>5643</v>
      </c>
      <c r="U24" s="15">
        <v>12</v>
      </c>
      <c r="V24" s="15">
        <v>2015</v>
      </c>
      <c r="W24" s="15"/>
      <c r="X24" s="16"/>
      <c r="Y24" s="16"/>
      <c r="Z24" s="92"/>
    </row>
    <row r="25" spans="1:26" ht="16.5" customHeight="1" x14ac:dyDescent="0.2">
      <c r="A25" s="193">
        <v>23</v>
      </c>
      <c r="B25" s="193">
        <v>20323</v>
      </c>
      <c r="C25" s="99" t="s">
        <v>2399</v>
      </c>
      <c r="D25" s="99" t="s">
        <v>618</v>
      </c>
      <c r="E25" s="150" t="s">
        <v>5644</v>
      </c>
      <c r="F25" s="99" t="s">
        <v>1456</v>
      </c>
      <c r="G25" s="99" t="s">
        <v>1186</v>
      </c>
      <c r="H25" s="104" t="s">
        <v>2400</v>
      </c>
      <c r="I25" s="150" t="s">
        <v>5645</v>
      </c>
      <c r="J25" s="99" t="s">
        <v>5646</v>
      </c>
      <c r="K25" s="99" t="s">
        <v>5647</v>
      </c>
      <c r="L25" s="186" t="s">
        <v>2405</v>
      </c>
      <c r="M25" s="16" t="s">
        <v>5648</v>
      </c>
      <c r="N25" s="107" t="s">
        <v>5649</v>
      </c>
      <c r="O25" s="113" t="s">
        <v>94</v>
      </c>
      <c r="P25" s="16" t="s">
        <v>5650</v>
      </c>
      <c r="Q25" s="113" t="s">
        <v>5651</v>
      </c>
      <c r="R25" s="15" t="s">
        <v>5652</v>
      </c>
      <c r="S25" s="16" t="s">
        <v>5653</v>
      </c>
      <c r="T25" s="16" t="s">
        <v>5654</v>
      </c>
      <c r="U25" s="15">
        <v>9</v>
      </c>
      <c r="V25" s="15">
        <v>2014</v>
      </c>
      <c r="W25" s="15"/>
      <c r="X25" s="16"/>
      <c r="Y25" s="16"/>
      <c r="Z25" s="92"/>
    </row>
    <row r="26" spans="1:26" ht="16.5" customHeight="1" x14ac:dyDescent="0.2">
      <c r="A26" s="193">
        <v>24</v>
      </c>
      <c r="B26" s="193">
        <v>20324</v>
      </c>
      <c r="C26" s="99" t="s">
        <v>2406</v>
      </c>
      <c r="D26" s="99" t="s">
        <v>2407</v>
      </c>
      <c r="E26" s="150" t="s">
        <v>5655</v>
      </c>
      <c r="F26" s="99" t="s">
        <v>921</v>
      </c>
      <c r="G26" s="99" t="s">
        <v>921</v>
      </c>
      <c r="H26" s="150" t="s">
        <v>2408</v>
      </c>
      <c r="I26" s="150" t="s">
        <v>5656</v>
      </c>
      <c r="J26" s="99" t="s">
        <v>921</v>
      </c>
      <c r="K26" s="99" t="s">
        <v>2412</v>
      </c>
      <c r="L26" s="35" t="s">
        <v>2413</v>
      </c>
      <c r="M26" s="163" t="s">
        <v>2411</v>
      </c>
      <c r="N26" s="107" t="s">
        <v>5649</v>
      </c>
      <c r="O26" s="113" t="s">
        <v>94</v>
      </c>
      <c r="P26" s="16" t="s">
        <v>5568</v>
      </c>
      <c r="Q26" s="113" t="s">
        <v>5510</v>
      </c>
      <c r="R26" s="15" t="s">
        <v>5657</v>
      </c>
      <c r="S26" s="16" t="s">
        <v>5658</v>
      </c>
      <c r="T26" s="16" t="s">
        <v>5659</v>
      </c>
      <c r="U26" s="15">
        <v>1</v>
      </c>
      <c r="V26" s="15">
        <v>2016</v>
      </c>
      <c r="W26" s="15"/>
      <c r="X26" s="16"/>
      <c r="Y26" s="16"/>
      <c r="Z26" s="92"/>
    </row>
    <row r="27" spans="1:26" ht="16.5" customHeight="1" x14ac:dyDescent="0.2">
      <c r="A27" s="193">
        <v>25</v>
      </c>
      <c r="B27" s="193">
        <v>20334</v>
      </c>
      <c r="C27" s="99" t="s">
        <v>2475</v>
      </c>
      <c r="D27" s="99" t="s">
        <v>256</v>
      </c>
      <c r="E27" s="150" t="s">
        <v>5660</v>
      </c>
      <c r="F27" s="99" t="s">
        <v>1456</v>
      </c>
      <c r="G27" s="99" t="s">
        <v>171</v>
      </c>
      <c r="H27" s="150" t="s">
        <v>2477</v>
      </c>
      <c r="I27" s="150" t="s">
        <v>5661</v>
      </c>
      <c r="J27" s="99" t="s">
        <v>1456</v>
      </c>
      <c r="K27" s="99" t="s">
        <v>2482</v>
      </c>
      <c r="L27" s="186" t="s">
        <v>2482</v>
      </c>
      <c r="M27" s="16" t="s">
        <v>2481</v>
      </c>
      <c r="N27" s="107" t="s">
        <v>5649</v>
      </c>
      <c r="O27" s="113" t="s">
        <v>94</v>
      </c>
      <c r="P27" s="16" t="s">
        <v>5662</v>
      </c>
      <c r="Q27" s="113" t="s">
        <v>5510</v>
      </c>
      <c r="R27" s="15" t="s">
        <v>5663</v>
      </c>
      <c r="S27" s="16" t="s">
        <v>5664</v>
      </c>
      <c r="T27" s="16" t="s">
        <v>5665</v>
      </c>
      <c r="U27" s="15">
        <v>1</v>
      </c>
      <c r="V27" s="15">
        <v>2016</v>
      </c>
      <c r="W27" s="15"/>
      <c r="X27" s="16"/>
      <c r="Y27" s="16"/>
      <c r="Z27" s="92"/>
    </row>
    <row r="28" spans="1:26" ht="16.5" customHeight="1" x14ac:dyDescent="0.2">
      <c r="A28" s="193">
        <v>26</v>
      </c>
      <c r="B28" s="193">
        <v>20336</v>
      </c>
      <c r="C28" s="99" t="s">
        <v>2488</v>
      </c>
      <c r="D28" s="99" t="s">
        <v>2489</v>
      </c>
      <c r="E28" s="150" t="s">
        <v>5666</v>
      </c>
      <c r="F28" s="99" t="s">
        <v>2056</v>
      </c>
      <c r="G28" s="63" t="s">
        <v>1255</v>
      </c>
      <c r="H28" s="150" t="s">
        <v>2491</v>
      </c>
      <c r="I28" s="150" t="s">
        <v>5667</v>
      </c>
      <c r="J28" s="99" t="s">
        <v>2056</v>
      </c>
      <c r="K28" s="99" t="s">
        <v>2495</v>
      </c>
      <c r="L28" s="186" t="s">
        <v>2496</v>
      </c>
      <c r="M28" s="163" t="s">
        <v>5668</v>
      </c>
      <c r="N28" s="107" t="s">
        <v>5592</v>
      </c>
      <c r="O28" s="113" t="s">
        <v>94</v>
      </c>
      <c r="P28" s="16" t="s">
        <v>5669</v>
      </c>
      <c r="Q28" s="113" t="s">
        <v>5651</v>
      </c>
      <c r="R28" s="15" t="s">
        <v>5670</v>
      </c>
      <c r="S28" s="16" t="s">
        <v>5671</v>
      </c>
      <c r="T28" s="16" t="s">
        <v>5672</v>
      </c>
      <c r="U28" s="15">
        <v>2</v>
      </c>
      <c r="V28" s="15">
        <v>2014</v>
      </c>
      <c r="W28" s="15"/>
      <c r="X28" s="16"/>
      <c r="Y28" s="16"/>
      <c r="Z28" s="92"/>
    </row>
    <row r="29" spans="1:26" ht="16.5" customHeight="1" x14ac:dyDescent="0.2">
      <c r="A29" s="193">
        <v>27</v>
      </c>
      <c r="B29" s="193">
        <v>20342</v>
      </c>
      <c r="C29" s="99" t="s">
        <v>2528</v>
      </c>
      <c r="D29" s="99" t="s">
        <v>2529</v>
      </c>
      <c r="E29" s="150" t="s">
        <v>5673</v>
      </c>
      <c r="F29" s="99" t="s">
        <v>5674</v>
      </c>
      <c r="G29" s="99" t="s">
        <v>365</v>
      </c>
      <c r="H29" s="150" t="s">
        <v>2530</v>
      </c>
      <c r="I29" s="150" t="s">
        <v>5675</v>
      </c>
      <c r="J29" s="99" t="s">
        <v>5676</v>
      </c>
      <c r="K29" s="99" t="s">
        <v>5677</v>
      </c>
      <c r="L29" s="99" t="s">
        <v>2535</v>
      </c>
      <c r="M29" s="5" t="s">
        <v>5678</v>
      </c>
      <c r="N29" s="107" t="s">
        <v>5679</v>
      </c>
      <c r="O29" s="113" t="s">
        <v>94</v>
      </c>
      <c r="P29" s="16" t="s">
        <v>5680</v>
      </c>
      <c r="Q29" s="113" t="s">
        <v>5510</v>
      </c>
      <c r="R29" s="15" t="s">
        <v>5681</v>
      </c>
      <c r="S29" s="16" t="s">
        <v>5671</v>
      </c>
      <c r="T29" s="16" t="s">
        <v>5682</v>
      </c>
      <c r="U29" s="15">
        <v>2</v>
      </c>
      <c r="V29" s="15">
        <v>2016</v>
      </c>
      <c r="W29" s="15"/>
      <c r="X29" s="16"/>
      <c r="Y29" s="16"/>
      <c r="Z29" s="92"/>
    </row>
    <row r="30" spans="1:26" ht="16.5" customHeight="1" x14ac:dyDescent="0.2">
      <c r="A30" s="151">
        <v>28</v>
      </c>
      <c r="B30" s="151">
        <v>20355</v>
      </c>
      <c r="C30" s="135" t="s">
        <v>2605</v>
      </c>
      <c r="D30" s="135" t="s">
        <v>250</v>
      </c>
      <c r="E30" s="114" t="s">
        <v>5683</v>
      </c>
      <c r="F30" s="135" t="s">
        <v>884</v>
      </c>
      <c r="G30" s="135" t="s">
        <v>120</v>
      </c>
      <c r="H30" s="114" t="s">
        <v>2606</v>
      </c>
      <c r="I30" s="114" t="s">
        <v>5684</v>
      </c>
      <c r="J30" s="135" t="s">
        <v>884</v>
      </c>
      <c r="K30" s="135" t="s">
        <v>2609</v>
      </c>
      <c r="L30" s="176" t="s">
        <v>2610</v>
      </c>
      <c r="M30" s="17" t="s">
        <v>5685</v>
      </c>
      <c r="N30" s="130" t="s">
        <v>5686</v>
      </c>
      <c r="O30" s="77" t="s">
        <v>94</v>
      </c>
      <c r="P30" s="17" t="s">
        <v>5687</v>
      </c>
      <c r="Q30" s="77" t="s">
        <v>5651</v>
      </c>
      <c r="R30" s="188" t="s">
        <v>5688</v>
      </c>
      <c r="S30" s="17" t="s">
        <v>5689</v>
      </c>
      <c r="T30" s="17" t="s">
        <v>5690</v>
      </c>
      <c r="U30" s="188">
        <v>5</v>
      </c>
      <c r="V30" s="188">
        <v>2014</v>
      </c>
      <c r="W30" s="188"/>
      <c r="X30" s="17"/>
      <c r="Y30" s="17"/>
      <c r="Z30" s="185" t="s">
        <v>5499</v>
      </c>
    </row>
    <row r="31" spans="1:26" ht="16.5" customHeight="1" x14ac:dyDescent="0.2">
      <c r="A31" s="193">
        <v>29</v>
      </c>
      <c r="B31" s="193">
        <v>20356</v>
      </c>
      <c r="C31" s="99" t="s">
        <v>2611</v>
      </c>
      <c r="D31" s="99" t="s">
        <v>1951</v>
      </c>
      <c r="E31" s="150" t="s">
        <v>5691</v>
      </c>
      <c r="F31" s="99" t="s">
        <v>2613</v>
      </c>
      <c r="G31" s="99" t="s">
        <v>2613</v>
      </c>
      <c r="H31" s="150" t="s">
        <v>5692</v>
      </c>
      <c r="I31" s="150" t="s">
        <v>5693</v>
      </c>
      <c r="J31" s="99" t="s">
        <v>2613</v>
      </c>
      <c r="K31" s="99" t="s">
        <v>5694</v>
      </c>
      <c r="L31" s="99" t="s">
        <v>2617</v>
      </c>
      <c r="M31" s="5" t="s">
        <v>5695</v>
      </c>
      <c r="N31" s="107" t="s">
        <v>5696</v>
      </c>
      <c r="O31" s="113" t="s">
        <v>94</v>
      </c>
      <c r="P31" s="16" t="s">
        <v>5687</v>
      </c>
      <c r="Q31" s="113" t="s">
        <v>5651</v>
      </c>
      <c r="R31" s="15" t="s">
        <v>5697</v>
      </c>
      <c r="S31" s="16" t="s">
        <v>5698</v>
      </c>
      <c r="T31" s="16" t="s">
        <v>5699</v>
      </c>
      <c r="U31" s="15">
        <v>4</v>
      </c>
      <c r="V31" s="15">
        <v>2014</v>
      </c>
      <c r="W31" s="15"/>
      <c r="X31" s="16"/>
      <c r="Y31" s="16"/>
      <c r="Z31" s="92"/>
    </row>
    <row r="32" spans="1:26" ht="16.5" customHeight="1" x14ac:dyDescent="0.2">
      <c r="A32" s="193">
        <v>30</v>
      </c>
      <c r="B32" s="193">
        <v>20357</v>
      </c>
      <c r="C32" s="99" t="s">
        <v>1670</v>
      </c>
      <c r="D32" s="99" t="s">
        <v>1658</v>
      </c>
      <c r="E32" s="150" t="s">
        <v>5700</v>
      </c>
      <c r="F32" s="99" t="s">
        <v>1409</v>
      </c>
      <c r="G32" s="99" t="s">
        <v>824</v>
      </c>
      <c r="H32" s="150" t="s">
        <v>2618</v>
      </c>
      <c r="I32" s="150" t="s">
        <v>5701</v>
      </c>
      <c r="J32" s="99" t="s">
        <v>1409</v>
      </c>
      <c r="K32" s="99" t="s">
        <v>2624</v>
      </c>
      <c r="L32" s="186" t="s">
        <v>2625</v>
      </c>
      <c r="M32" s="16" t="s">
        <v>5702</v>
      </c>
      <c r="N32" s="107" t="s">
        <v>5493</v>
      </c>
      <c r="O32" s="113" t="s">
        <v>94</v>
      </c>
      <c r="P32" s="16" t="s">
        <v>5687</v>
      </c>
      <c r="Q32" s="113" t="s">
        <v>5651</v>
      </c>
      <c r="R32" s="15" t="s">
        <v>5703</v>
      </c>
      <c r="S32" s="16" t="s">
        <v>5698</v>
      </c>
      <c r="T32" s="16" t="s">
        <v>5699</v>
      </c>
      <c r="U32" s="15">
        <v>4</v>
      </c>
      <c r="V32" s="15">
        <v>2014</v>
      </c>
      <c r="W32" s="15"/>
      <c r="X32" s="16"/>
      <c r="Y32" s="16"/>
      <c r="Z32" s="92"/>
    </row>
    <row r="33" spans="1:26" ht="16.5" customHeight="1" x14ac:dyDescent="0.2">
      <c r="A33" s="193">
        <v>31</v>
      </c>
      <c r="B33" s="193">
        <v>20358</v>
      </c>
      <c r="C33" s="99" t="s">
        <v>2626</v>
      </c>
      <c r="D33" s="99" t="s">
        <v>1102</v>
      </c>
      <c r="E33" s="150"/>
      <c r="F33" s="99"/>
      <c r="G33" s="99"/>
      <c r="H33" s="150"/>
      <c r="I33" s="150"/>
      <c r="J33" s="99"/>
      <c r="K33" s="99"/>
      <c r="L33" s="186"/>
      <c r="M33" s="16"/>
      <c r="N33" s="107" t="s">
        <v>5493</v>
      </c>
      <c r="O33" s="113" t="s">
        <v>94</v>
      </c>
      <c r="P33" s="16" t="s">
        <v>5687</v>
      </c>
      <c r="Q33" s="113" t="s">
        <v>5651</v>
      </c>
      <c r="R33" s="15" t="s">
        <v>5704</v>
      </c>
      <c r="S33" s="16" t="s">
        <v>5698</v>
      </c>
      <c r="T33" s="16" t="s">
        <v>5699</v>
      </c>
      <c r="U33" s="15">
        <v>4</v>
      </c>
      <c r="V33" s="15">
        <v>2014</v>
      </c>
      <c r="W33" s="15"/>
      <c r="X33" s="16"/>
      <c r="Y33" s="16"/>
      <c r="Z33" s="92"/>
    </row>
    <row r="34" spans="1:26" ht="16.5" customHeight="1" x14ac:dyDescent="0.2">
      <c r="A34" s="193">
        <v>32</v>
      </c>
      <c r="B34" s="193">
        <v>20361</v>
      </c>
      <c r="C34" s="99" t="s">
        <v>2647</v>
      </c>
      <c r="D34" s="99" t="s">
        <v>84</v>
      </c>
      <c r="E34" s="104" t="s">
        <v>5705</v>
      </c>
      <c r="F34" s="63" t="s">
        <v>1829</v>
      </c>
      <c r="G34" s="63" t="s">
        <v>1829</v>
      </c>
      <c r="H34" s="104" t="s">
        <v>2650</v>
      </c>
      <c r="I34" s="104" t="s">
        <v>5706</v>
      </c>
      <c r="J34" s="63" t="s">
        <v>5707</v>
      </c>
      <c r="K34" s="63" t="s">
        <v>2654</v>
      </c>
      <c r="L34" s="35" t="s">
        <v>2655</v>
      </c>
      <c r="M34" s="163" t="s">
        <v>5708</v>
      </c>
      <c r="N34" s="107" t="s">
        <v>5709</v>
      </c>
      <c r="O34" s="113" t="s">
        <v>51</v>
      </c>
      <c r="P34" s="16" t="s">
        <v>5710</v>
      </c>
      <c r="Q34" s="113" t="s">
        <v>5651</v>
      </c>
      <c r="R34" s="15" t="s">
        <v>5711</v>
      </c>
      <c r="S34" s="16" t="s">
        <v>5712</v>
      </c>
      <c r="T34" s="16" t="s">
        <v>5713</v>
      </c>
      <c r="U34" s="15">
        <v>4</v>
      </c>
      <c r="V34" s="15">
        <v>2014</v>
      </c>
      <c r="W34" s="15"/>
      <c r="X34" s="16"/>
      <c r="Y34" s="16"/>
      <c r="Z34" s="92"/>
    </row>
    <row r="35" spans="1:26" ht="16.5" customHeight="1" x14ac:dyDescent="0.2">
      <c r="A35" s="151">
        <v>33</v>
      </c>
      <c r="B35" s="151">
        <v>20372</v>
      </c>
      <c r="C35" s="135" t="s">
        <v>2712</v>
      </c>
      <c r="D35" s="135" t="s">
        <v>328</v>
      </c>
      <c r="E35" s="114" t="s">
        <v>5714</v>
      </c>
      <c r="F35" s="135" t="s">
        <v>1550</v>
      </c>
      <c r="G35" s="135" t="s">
        <v>1550</v>
      </c>
      <c r="H35" s="114" t="s">
        <v>5715</v>
      </c>
      <c r="I35" s="114" t="s">
        <v>5716</v>
      </c>
      <c r="J35" s="135" t="s">
        <v>1680</v>
      </c>
      <c r="K35" s="135" t="s">
        <v>5717</v>
      </c>
      <c r="L35" s="176" t="s">
        <v>5718</v>
      </c>
      <c r="M35" s="17" t="s">
        <v>2715</v>
      </c>
      <c r="N35" s="130" t="s">
        <v>5649</v>
      </c>
      <c r="O35" s="77" t="s">
        <v>94</v>
      </c>
      <c r="P35" s="17" t="s">
        <v>5719</v>
      </c>
      <c r="Q35" s="77" t="s">
        <v>5651</v>
      </c>
      <c r="R35" s="188" t="s">
        <v>5720</v>
      </c>
      <c r="S35" s="17" t="s">
        <v>5721</v>
      </c>
      <c r="T35" s="17" t="s">
        <v>5722</v>
      </c>
      <c r="U35" s="188">
        <v>3</v>
      </c>
      <c r="V35" s="188">
        <v>2013</v>
      </c>
      <c r="W35" s="188"/>
      <c r="X35" s="17"/>
      <c r="Y35" s="17"/>
      <c r="Z35" s="185" t="s">
        <v>5513</v>
      </c>
    </row>
    <row r="36" spans="1:26" ht="16.5" customHeight="1" x14ac:dyDescent="0.2">
      <c r="A36" s="151">
        <v>34</v>
      </c>
      <c r="B36" s="151">
        <v>20373</v>
      </c>
      <c r="C36" s="135" t="s">
        <v>2718</v>
      </c>
      <c r="D36" s="135" t="s">
        <v>1532</v>
      </c>
      <c r="E36" s="114" t="s">
        <v>5723</v>
      </c>
      <c r="F36" s="135" t="s">
        <v>2719</v>
      </c>
      <c r="G36" s="135" t="s">
        <v>824</v>
      </c>
      <c r="H36" s="114" t="s">
        <v>2721</v>
      </c>
      <c r="I36" s="114" t="s">
        <v>5724</v>
      </c>
      <c r="J36" s="135" t="s">
        <v>884</v>
      </c>
      <c r="K36" s="135" t="s">
        <v>5725</v>
      </c>
      <c r="L36" s="176" t="s">
        <v>2725</v>
      </c>
      <c r="M36" s="17" t="s">
        <v>5726</v>
      </c>
      <c r="N36" s="130" t="s">
        <v>5522</v>
      </c>
      <c r="O36" s="77" t="s">
        <v>94</v>
      </c>
      <c r="P36" s="17" t="s">
        <v>5727</v>
      </c>
      <c r="Q36" s="77" t="s">
        <v>5651</v>
      </c>
      <c r="R36" s="188" t="s">
        <v>5728</v>
      </c>
      <c r="S36" s="17" t="s">
        <v>5729</v>
      </c>
      <c r="T36" s="17" t="s">
        <v>5564</v>
      </c>
      <c r="U36" s="188">
        <v>5</v>
      </c>
      <c r="V36" s="188">
        <v>2013</v>
      </c>
      <c r="W36" s="188" t="s">
        <v>5730</v>
      </c>
      <c r="X36" s="17" t="s">
        <v>5731</v>
      </c>
      <c r="Y36" s="17" t="s">
        <v>5732</v>
      </c>
      <c r="Z36" s="185" t="s">
        <v>5499</v>
      </c>
    </row>
    <row r="37" spans="1:26" ht="16.5" customHeight="1" x14ac:dyDescent="0.2">
      <c r="A37" s="193">
        <v>35</v>
      </c>
      <c r="B37" s="193">
        <v>20410</v>
      </c>
      <c r="C37" s="99" t="s">
        <v>2956</v>
      </c>
      <c r="D37" s="99" t="s">
        <v>349</v>
      </c>
      <c r="E37" s="150" t="s">
        <v>5733</v>
      </c>
      <c r="F37" s="99" t="s">
        <v>1103</v>
      </c>
      <c r="G37" s="99" t="s">
        <v>1103</v>
      </c>
      <c r="H37" s="150" t="s">
        <v>2958</v>
      </c>
      <c r="I37" s="150" t="s">
        <v>5734</v>
      </c>
      <c r="J37" s="99" t="s">
        <v>1103</v>
      </c>
      <c r="K37" s="99" t="s">
        <v>2963</v>
      </c>
      <c r="L37" s="186" t="s">
        <v>2725</v>
      </c>
      <c r="M37" s="16" t="s">
        <v>5735</v>
      </c>
      <c r="N37" s="107" t="s">
        <v>5649</v>
      </c>
      <c r="O37" s="113" t="s">
        <v>94</v>
      </c>
      <c r="P37" s="16" t="s">
        <v>5736</v>
      </c>
      <c r="Q37" s="113" t="s">
        <v>5651</v>
      </c>
      <c r="R37" s="15" t="s">
        <v>5737</v>
      </c>
      <c r="S37" s="16" t="s">
        <v>5738</v>
      </c>
      <c r="T37" s="16" t="s">
        <v>5739</v>
      </c>
      <c r="U37" s="15">
        <v>6</v>
      </c>
      <c r="V37" s="15">
        <v>2013</v>
      </c>
      <c r="W37" s="15"/>
      <c r="X37" s="16"/>
      <c r="Y37" s="16"/>
      <c r="Z37" s="92"/>
    </row>
    <row r="38" spans="1:26" ht="16.5" customHeight="1" x14ac:dyDescent="0.2">
      <c r="A38" s="141">
        <v>36</v>
      </c>
      <c r="B38" s="141">
        <v>20414</v>
      </c>
      <c r="C38" s="44" t="s">
        <v>2979</v>
      </c>
      <c r="D38" s="44" t="s">
        <v>2980</v>
      </c>
      <c r="E38" s="128" t="s">
        <v>5740</v>
      </c>
      <c r="F38" s="55" t="s">
        <v>2613</v>
      </c>
      <c r="G38" s="55" t="s">
        <v>2613</v>
      </c>
      <c r="H38" s="128" t="s">
        <v>2982</v>
      </c>
      <c r="I38" s="128" t="s">
        <v>5741</v>
      </c>
      <c r="J38" s="55" t="s">
        <v>1778</v>
      </c>
      <c r="K38" s="55" t="s">
        <v>5742</v>
      </c>
      <c r="L38" s="60" t="s">
        <v>2987</v>
      </c>
      <c r="M38" s="42" t="s">
        <v>5743</v>
      </c>
      <c r="N38" s="93" t="s">
        <v>2239</v>
      </c>
      <c r="O38" s="133" t="s">
        <v>94</v>
      </c>
      <c r="P38" s="42" t="s">
        <v>5744</v>
      </c>
      <c r="Q38" s="133" t="s">
        <v>5510</v>
      </c>
      <c r="R38" s="191" t="s">
        <v>5745</v>
      </c>
      <c r="S38" s="42" t="s">
        <v>5746</v>
      </c>
      <c r="T38" s="42" t="s">
        <v>5498</v>
      </c>
      <c r="U38" s="191">
        <v>7</v>
      </c>
      <c r="V38" s="191">
        <v>2013</v>
      </c>
      <c r="W38" s="191"/>
      <c r="X38" s="42"/>
      <c r="Y38" s="42"/>
      <c r="Z38" s="179" t="s">
        <v>5499</v>
      </c>
    </row>
    <row r="39" spans="1:26" ht="16.5" customHeight="1" x14ac:dyDescent="0.2">
      <c r="A39" s="193">
        <v>37</v>
      </c>
      <c r="B39" s="193">
        <v>20418</v>
      </c>
      <c r="C39" s="99" t="s">
        <v>3001</v>
      </c>
      <c r="D39" s="99" t="s">
        <v>256</v>
      </c>
      <c r="E39" s="150" t="s">
        <v>5747</v>
      </c>
      <c r="F39" s="99" t="s">
        <v>2056</v>
      </c>
      <c r="G39" s="99" t="s">
        <v>2056</v>
      </c>
      <c r="H39" s="150" t="s">
        <v>3003</v>
      </c>
      <c r="I39" s="150" t="s">
        <v>5748</v>
      </c>
      <c r="J39" s="99" t="s">
        <v>3004</v>
      </c>
      <c r="K39" s="99" t="s">
        <v>5749</v>
      </c>
      <c r="L39" s="186" t="s">
        <v>3009</v>
      </c>
      <c r="M39" s="16" t="s">
        <v>5750</v>
      </c>
      <c r="N39" s="107" t="s">
        <v>5493</v>
      </c>
      <c r="O39" s="113" t="s">
        <v>94</v>
      </c>
      <c r="P39" s="16" t="s">
        <v>5751</v>
      </c>
      <c r="Q39" s="113" t="s">
        <v>5651</v>
      </c>
      <c r="R39" s="15"/>
      <c r="S39" s="16" t="s">
        <v>5752</v>
      </c>
      <c r="T39" s="16" t="s">
        <v>5497</v>
      </c>
      <c r="U39" s="15">
        <v>6</v>
      </c>
      <c r="V39" s="15">
        <v>2013</v>
      </c>
      <c r="W39" s="15"/>
      <c r="X39" s="16"/>
      <c r="Y39" s="16"/>
      <c r="Z39" s="92"/>
    </row>
    <row r="40" spans="1:26" ht="16.5" customHeight="1" x14ac:dyDescent="0.2">
      <c r="A40" s="193">
        <v>38</v>
      </c>
      <c r="B40" s="193">
        <v>20432</v>
      </c>
      <c r="C40" s="99" t="s">
        <v>3097</v>
      </c>
      <c r="D40" s="99" t="s">
        <v>573</v>
      </c>
      <c r="E40" s="150" t="s">
        <v>5753</v>
      </c>
      <c r="F40" s="99" t="s">
        <v>884</v>
      </c>
      <c r="G40" s="99" t="s">
        <v>3098</v>
      </c>
      <c r="H40" s="150" t="s">
        <v>3099</v>
      </c>
      <c r="I40" s="150" t="s">
        <v>5754</v>
      </c>
      <c r="J40" s="99" t="s">
        <v>884</v>
      </c>
      <c r="K40" s="99" t="s">
        <v>5755</v>
      </c>
      <c r="L40" s="186" t="s">
        <v>3103</v>
      </c>
      <c r="M40" s="16" t="s">
        <v>5756</v>
      </c>
      <c r="N40" s="107" t="s">
        <v>5709</v>
      </c>
      <c r="O40" s="113" t="s">
        <v>51</v>
      </c>
      <c r="P40" s="16" t="s">
        <v>5757</v>
      </c>
      <c r="Q40" s="113" t="s">
        <v>5510</v>
      </c>
      <c r="R40" s="15"/>
      <c r="S40" s="16" t="s">
        <v>5758</v>
      </c>
      <c r="T40" s="16" t="s">
        <v>5759</v>
      </c>
      <c r="U40" s="15">
        <v>7</v>
      </c>
      <c r="V40" s="15">
        <v>2013</v>
      </c>
      <c r="W40" s="15" t="s">
        <v>5760</v>
      </c>
      <c r="X40" s="16" t="s">
        <v>5761</v>
      </c>
      <c r="Y40" s="16" t="s">
        <v>5762</v>
      </c>
      <c r="Z40" s="92"/>
    </row>
    <row r="41" spans="1:26" ht="16.5" customHeight="1" x14ac:dyDescent="0.2">
      <c r="A41" s="193">
        <v>39</v>
      </c>
      <c r="B41" s="193">
        <v>20458</v>
      </c>
      <c r="C41" s="99" t="s">
        <v>3256</v>
      </c>
      <c r="D41" s="99" t="s">
        <v>576</v>
      </c>
      <c r="E41" s="150" t="s">
        <v>5763</v>
      </c>
      <c r="F41" s="99" t="s">
        <v>3258</v>
      </c>
      <c r="G41" s="99" t="s">
        <v>1550</v>
      </c>
      <c r="H41" s="150" t="s">
        <v>3257</v>
      </c>
      <c r="I41" s="150" t="s">
        <v>5764</v>
      </c>
      <c r="J41" s="99" t="s">
        <v>3258</v>
      </c>
      <c r="K41" s="99" t="s">
        <v>3262</v>
      </c>
      <c r="L41" s="186" t="s">
        <v>3263</v>
      </c>
      <c r="M41" s="16" t="s">
        <v>5765</v>
      </c>
      <c r="N41" s="107" t="s">
        <v>5493</v>
      </c>
      <c r="O41" s="113" t="s">
        <v>94</v>
      </c>
      <c r="P41" s="16" t="s">
        <v>5766</v>
      </c>
      <c r="Q41" s="113" t="s">
        <v>5651</v>
      </c>
      <c r="R41" s="15" t="s">
        <v>5767</v>
      </c>
      <c r="S41" s="16" t="s">
        <v>5658</v>
      </c>
      <c r="T41" s="16" t="s">
        <v>5768</v>
      </c>
      <c r="U41" s="15">
        <v>1</v>
      </c>
      <c r="V41" s="15">
        <v>2014</v>
      </c>
      <c r="W41" s="15"/>
      <c r="X41" s="16"/>
      <c r="Y41" s="16"/>
      <c r="Z41" s="92"/>
    </row>
    <row r="42" spans="1:26" ht="16.5" customHeight="1" x14ac:dyDescent="0.2">
      <c r="A42" s="193">
        <v>40</v>
      </c>
      <c r="B42" s="193">
        <v>20475</v>
      </c>
      <c r="C42" s="99" t="s">
        <v>3364</v>
      </c>
      <c r="D42" s="99" t="s">
        <v>3365</v>
      </c>
      <c r="E42" s="150" t="s">
        <v>5769</v>
      </c>
      <c r="F42" s="99" t="s">
        <v>1614</v>
      </c>
      <c r="G42" s="99" t="s">
        <v>1614</v>
      </c>
      <c r="H42" s="150" t="s">
        <v>3366</v>
      </c>
      <c r="I42" s="150" t="s">
        <v>5770</v>
      </c>
      <c r="J42" s="99" t="s">
        <v>1614</v>
      </c>
      <c r="K42" s="99" t="s">
        <v>3372</v>
      </c>
      <c r="L42" s="186" t="s">
        <v>3373</v>
      </c>
      <c r="M42" s="16" t="s">
        <v>5771</v>
      </c>
      <c r="N42" s="107" t="s">
        <v>5493</v>
      </c>
      <c r="O42" s="113" t="s">
        <v>94</v>
      </c>
      <c r="P42" s="16" t="s">
        <v>5766</v>
      </c>
      <c r="Q42" s="113" t="s">
        <v>5651</v>
      </c>
      <c r="R42" s="15" t="s">
        <v>5772</v>
      </c>
      <c r="S42" s="16" t="s">
        <v>5658</v>
      </c>
      <c r="T42" s="16" t="s">
        <v>5768</v>
      </c>
      <c r="U42" s="15">
        <v>1</v>
      </c>
      <c r="V42" s="15">
        <v>2014</v>
      </c>
      <c r="W42" s="15"/>
      <c r="X42" s="16"/>
      <c r="Y42" s="16"/>
      <c r="Z42" s="92"/>
    </row>
    <row r="43" spans="1:26" ht="16.5" customHeight="1" x14ac:dyDescent="0.2">
      <c r="A43" s="193">
        <v>41</v>
      </c>
      <c r="B43" s="193">
        <v>20479</v>
      </c>
      <c r="C43" s="99" t="s">
        <v>3387</v>
      </c>
      <c r="D43" s="99" t="s">
        <v>823</v>
      </c>
      <c r="E43" s="150" t="s">
        <v>5773</v>
      </c>
      <c r="F43" s="99" t="s">
        <v>2613</v>
      </c>
      <c r="G43" s="99" t="s">
        <v>2613</v>
      </c>
      <c r="H43" s="150" t="s">
        <v>3388</v>
      </c>
      <c r="I43" s="150" t="s">
        <v>5774</v>
      </c>
      <c r="J43" s="99" t="s">
        <v>3389</v>
      </c>
      <c r="K43" s="99" t="s">
        <v>5775</v>
      </c>
      <c r="L43" s="186" t="s">
        <v>3395</v>
      </c>
      <c r="M43" s="16" t="s">
        <v>5776</v>
      </c>
      <c r="N43" s="107" t="s">
        <v>5493</v>
      </c>
      <c r="O43" s="113" t="s">
        <v>94</v>
      </c>
      <c r="P43" s="16" t="s">
        <v>5766</v>
      </c>
      <c r="Q43" s="113" t="s">
        <v>5651</v>
      </c>
      <c r="R43" s="15" t="s">
        <v>5777</v>
      </c>
      <c r="S43" s="16" t="s">
        <v>5658</v>
      </c>
      <c r="T43" s="16" t="s">
        <v>5768</v>
      </c>
      <c r="U43" s="15">
        <v>1</v>
      </c>
      <c r="V43" s="15">
        <v>2014</v>
      </c>
      <c r="W43" s="15"/>
      <c r="X43" s="16"/>
      <c r="Y43" s="16"/>
      <c r="Z43" s="92"/>
    </row>
    <row r="44" spans="1:26" ht="16.5" customHeight="1" x14ac:dyDescent="0.2">
      <c r="A44" s="193">
        <v>42</v>
      </c>
      <c r="B44" s="193">
        <v>20481</v>
      </c>
      <c r="C44" s="99" t="s">
        <v>3398</v>
      </c>
      <c r="D44" s="99" t="s">
        <v>3399</v>
      </c>
      <c r="E44" s="150" t="s">
        <v>5778</v>
      </c>
      <c r="F44" s="99" t="s">
        <v>2613</v>
      </c>
      <c r="G44" s="99" t="s">
        <v>5779</v>
      </c>
      <c r="H44" s="150" t="s">
        <v>3401</v>
      </c>
      <c r="I44" s="150" t="s">
        <v>5780</v>
      </c>
      <c r="J44" s="99" t="s">
        <v>3389</v>
      </c>
      <c r="K44" s="63" t="s">
        <v>5781</v>
      </c>
      <c r="L44" s="63" t="s">
        <v>5782</v>
      </c>
      <c r="M44" s="98" t="s">
        <v>5783</v>
      </c>
      <c r="N44" s="107" t="s">
        <v>5493</v>
      </c>
      <c r="O44" s="113" t="s">
        <v>94</v>
      </c>
      <c r="P44" s="16" t="s">
        <v>5766</v>
      </c>
      <c r="Q44" s="113" t="s">
        <v>5651</v>
      </c>
      <c r="R44" s="15" t="s">
        <v>5784</v>
      </c>
      <c r="S44" s="16" t="s">
        <v>5658</v>
      </c>
      <c r="T44" s="16" t="s">
        <v>5768</v>
      </c>
      <c r="U44" s="15">
        <v>1</v>
      </c>
      <c r="V44" s="15">
        <v>2014</v>
      </c>
      <c r="W44" s="15"/>
      <c r="X44" s="16"/>
      <c r="Y44" s="16"/>
      <c r="Z44" s="92"/>
    </row>
    <row r="45" spans="1:26" ht="16.5" customHeight="1" x14ac:dyDescent="0.2">
      <c r="A45" s="193">
        <v>43</v>
      </c>
      <c r="B45" s="193">
        <v>20490</v>
      </c>
      <c r="C45" s="99" t="s">
        <v>3443</v>
      </c>
      <c r="D45" s="99" t="s">
        <v>1017</v>
      </c>
      <c r="E45" s="150" t="s">
        <v>5785</v>
      </c>
      <c r="F45" s="99" t="s">
        <v>1103</v>
      </c>
      <c r="G45" s="99" t="s">
        <v>1103</v>
      </c>
      <c r="H45" s="150" t="s">
        <v>3444</v>
      </c>
      <c r="I45" s="150" t="s">
        <v>5786</v>
      </c>
      <c r="J45" s="99" t="s">
        <v>1103</v>
      </c>
      <c r="K45" s="63" t="s">
        <v>5787</v>
      </c>
      <c r="L45" s="35" t="s">
        <v>5788</v>
      </c>
      <c r="M45" s="163" t="s">
        <v>3448</v>
      </c>
      <c r="N45" s="107" t="s">
        <v>5493</v>
      </c>
      <c r="O45" s="113" t="s">
        <v>94</v>
      </c>
      <c r="P45" s="16" t="s">
        <v>5789</v>
      </c>
      <c r="Q45" s="113" t="s">
        <v>5651</v>
      </c>
      <c r="R45" s="15" t="s">
        <v>5790</v>
      </c>
      <c r="S45" s="16" t="s">
        <v>5791</v>
      </c>
      <c r="T45" s="16" t="s">
        <v>5792</v>
      </c>
      <c r="U45" s="15">
        <v>1</v>
      </c>
      <c r="V45" s="15">
        <v>2014</v>
      </c>
      <c r="W45" s="15"/>
      <c r="X45" s="16"/>
      <c r="Y45" s="16"/>
      <c r="Z45" s="92"/>
    </row>
    <row r="46" spans="1:26" ht="16.5" customHeight="1" x14ac:dyDescent="0.2">
      <c r="A46" s="193">
        <v>44</v>
      </c>
      <c r="B46" s="193">
        <v>20491</v>
      </c>
      <c r="C46" s="99" t="s">
        <v>1193</v>
      </c>
      <c r="D46" s="99" t="s">
        <v>823</v>
      </c>
      <c r="E46" s="150" t="s">
        <v>5793</v>
      </c>
      <c r="F46" s="99" t="s">
        <v>1456</v>
      </c>
      <c r="G46" s="99" t="s">
        <v>1456</v>
      </c>
      <c r="H46" s="150" t="s">
        <v>3451</v>
      </c>
      <c r="I46" s="150" t="s">
        <v>5794</v>
      </c>
      <c r="J46" s="99" t="s">
        <v>5646</v>
      </c>
      <c r="K46" s="99" t="s">
        <v>5795</v>
      </c>
      <c r="L46" s="186" t="s">
        <v>3456</v>
      </c>
      <c r="M46" s="16" t="s">
        <v>3454</v>
      </c>
      <c r="N46" s="107" t="s">
        <v>458</v>
      </c>
      <c r="O46" s="113" t="s">
        <v>94</v>
      </c>
      <c r="P46" s="16" t="s">
        <v>5796</v>
      </c>
      <c r="Q46" s="113" t="s">
        <v>5651</v>
      </c>
      <c r="R46" s="15" t="s">
        <v>5797</v>
      </c>
      <c r="S46" s="16" t="s">
        <v>5798</v>
      </c>
      <c r="T46" s="16" t="s">
        <v>5799</v>
      </c>
      <c r="U46" s="15">
        <v>1</v>
      </c>
      <c r="V46" s="15">
        <v>2014</v>
      </c>
      <c r="W46" s="15"/>
      <c r="X46" s="16"/>
      <c r="Y46" s="16"/>
      <c r="Z46" s="92"/>
    </row>
    <row r="47" spans="1:26" ht="16.5" customHeight="1" x14ac:dyDescent="0.2">
      <c r="A47" s="193">
        <v>45</v>
      </c>
      <c r="B47" s="193">
        <v>20498</v>
      </c>
      <c r="C47" s="99" t="s">
        <v>3481</v>
      </c>
      <c r="D47" s="99" t="s">
        <v>685</v>
      </c>
      <c r="E47" s="150" t="s">
        <v>5800</v>
      </c>
      <c r="F47" s="99" t="s">
        <v>5801</v>
      </c>
      <c r="G47" s="99" t="s">
        <v>2613</v>
      </c>
      <c r="H47" s="150" t="s">
        <v>3483</v>
      </c>
      <c r="I47" s="150" t="s">
        <v>5802</v>
      </c>
      <c r="J47" s="99" t="s">
        <v>3389</v>
      </c>
      <c r="K47" s="99" t="s">
        <v>5803</v>
      </c>
      <c r="L47" s="99" t="s">
        <v>3486</v>
      </c>
      <c r="M47" s="5" t="s">
        <v>5804</v>
      </c>
      <c r="N47" s="107" t="s">
        <v>5639</v>
      </c>
      <c r="O47" s="113" t="s">
        <v>94</v>
      </c>
      <c r="P47" s="16" t="s">
        <v>5805</v>
      </c>
      <c r="Q47" s="113" t="s">
        <v>5651</v>
      </c>
      <c r="R47" s="15" t="s">
        <v>5806</v>
      </c>
      <c r="S47" s="16" t="s">
        <v>5807</v>
      </c>
      <c r="T47" s="16" t="s">
        <v>5808</v>
      </c>
      <c r="U47" s="15">
        <v>1</v>
      </c>
      <c r="V47" s="15">
        <v>2014</v>
      </c>
      <c r="W47" s="15"/>
      <c r="X47" s="16"/>
      <c r="Y47" s="16"/>
      <c r="Z47" s="92"/>
    </row>
    <row r="48" spans="1:26" ht="16.5" customHeight="1" x14ac:dyDescent="0.2">
      <c r="A48" s="193">
        <v>46</v>
      </c>
      <c r="B48" s="193">
        <v>20501</v>
      </c>
      <c r="C48" s="99" t="s">
        <v>1329</v>
      </c>
      <c r="D48" s="99" t="s">
        <v>266</v>
      </c>
      <c r="E48" s="150" t="s">
        <v>5809</v>
      </c>
      <c r="F48" s="99" t="s">
        <v>52</v>
      </c>
      <c r="G48" s="99" t="s">
        <v>303</v>
      </c>
      <c r="H48" s="150" t="s">
        <v>3496</v>
      </c>
      <c r="I48" s="150" t="s">
        <v>5810</v>
      </c>
      <c r="J48" s="99" t="s">
        <v>3389</v>
      </c>
      <c r="K48" s="99" t="s">
        <v>3499</v>
      </c>
      <c r="L48" s="99" t="s">
        <v>3499</v>
      </c>
      <c r="M48" s="5" t="s">
        <v>5811</v>
      </c>
      <c r="N48" s="107" t="s">
        <v>5615</v>
      </c>
      <c r="O48" s="113" t="s">
        <v>94</v>
      </c>
      <c r="P48" s="16" t="s">
        <v>5812</v>
      </c>
      <c r="Q48" s="113" t="s">
        <v>5651</v>
      </c>
      <c r="R48" s="15" t="s">
        <v>5813</v>
      </c>
      <c r="S48" s="16" t="s">
        <v>5814</v>
      </c>
      <c r="T48" s="16" t="s">
        <v>5815</v>
      </c>
      <c r="U48" s="15">
        <v>1</v>
      </c>
      <c r="V48" s="15">
        <v>2014</v>
      </c>
      <c r="W48" s="15"/>
      <c r="X48" s="16"/>
      <c r="Y48" s="16"/>
      <c r="Z48" s="92"/>
    </row>
    <row r="49" spans="1:26" ht="16.5" customHeight="1" x14ac:dyDescent="0.2">
      <c r="A49" s="193">
        <v>47</v>
      </c>
      <c r="B49" s="193">
        <v>20508</v>
      </c>
      <c r="C49" s="99" t="s">
        <v>3538</v>
      </c>
      <c r="D49" s="99" t="s">
        <v>160</v>
      </c>
      <c r="E49" s="150" t="s">
        <v>5816</v>
      </c>
      <c r="F49" s="99" t="s">
        <v>2613</v>
      </c>
      <c r="G49" s="63" t="s">
        <v>5817</v>
      </c>
      <c r="H49" s="150" t="s">
        <v>3539</v>
      </c>
      <c r="I49" s="104" t="s">
        <v>5818</v>
      </c>
      <c r="J49" s="99" t="s">
        <v>3389</v>
      </c>
      <c r="K49" s="99" t="s">
        <v>5819</v>
      </c>
      <c r="L49" s="186" t="s">
        <v>3546</v>
      </c>
      <c r="M49" s="16" t="s">
        <v>5820</v>
      </c>
      <c r="N49" s="107" t="s">
        <v>5649</v>
      </c>
      <c r="O49" s="113" t="s">
        <v>94</v>
      </c>
      <c r="P49" s="16" t="s">
        <v>5821</v>
      </c>
      <c r="Q49" s="113" t="s">
        <v>5651</v>
      </c>
      <c r="R49" s="15" t="s">
        <v>5822</v>
      </c>
      <c r="S49" s="16" t="s">
        <v>5823</v>
      </c>
      <c r="T49" s="16" t="s">
        <v>5824</v>
      </c>
      <c r="U49" s="15">
        <v>2</v>
      </c>
      <c r="V49" s="15">
        <v>2014</v>
      </c>
      <c r="W49" s="15"/>
      <c r="X49" s="16"/>
      <c r="Y49" s="16"/>
      <c r="Z49" s="92"/>
    </row>
    <row r="50" spans="1:26" ht="16.5" customHeight="1" x14ac:dyDescent="0.2">
      <c r="A50" s="193">
        <v>48</v>
      </c>
      <c r="B50" s="193">
        <v>20529</v>
      </c>
      <c r="C50" s="99" t="s">
        <v>3699</v>
      </c>
      <c r="D50" s="99" t="s">
        <v>667</v>
      </c>
      <c r="E50" s="150" t="s">
        <v>5825</v>
      </c>
      <c r="F50" s="99" t="s">
        <v>1614</v>
      </c>
      <c r="G50" s="63" t="s">
        <v>1614</v>
      </c>
      <c r="H50" s="150" t="s">
        <v>3701</v>
      </c>
      <c r="I50" s="150" t="s">
        <v>5826</v>
      </c>
      <c r="J50" s="99" t="s">
        <v>1614</v>
      </c>
      <c r="K50" s="99" t="s">
        <v>3706</v>
      </c>
      <c r="L50" s="186" t="s">
        <v>3707</v>
      </c>
      <c r="M50" s="16" t="s">
        <v>5827</v>
      </c>
      <c r="N50" s="107" t="s">
        <v>5493</v>
      </c>
      <c r="O50" s="113" t="s">
        <v>94</v>
      </c>
      <c r="P50" s="16" t="s">
        <v>5671</v>
      </c>
      <c r="Q50" s="113" t="s">
        <v>5651</v>
      </c>
      <c r="R50" s="15" t="s">
        <v>5828</v>
      </c>
      <c r="S50" s="16" t="s">
        <v>5829</v>
      </c>
      <c r="T50" s="16" t="s">
        <v>5830</v>
      </c>
      <c r="U50" s="15">
        <v>4</v>
      </c>
      <c r="V50" s="15">
        <v>2014</v>
      </c>
      <c r="W50" s="15"/>
      <c r="X50" s="16"/>
      <c r="Y50" s="16"/>
      <c r="Z50" s="92"/>
    </row>
    <row r="51" spans="1:26" ht="16.5" customHeight="1" x14ac:dyDescent="0.2">
      <c r="A51" s="193">
        <v>49</v>
      </c>
      <c r="B51" s="193">
        <v>20541</v>
      </c>
      <c r="C51" s="99" t="s">
        <v>3387</v>
      </c>
      <c r="D51" s="99" t="s">
        <v>535</v>
      </c>
      <c r="E51" s="150" t="s">
        <v>5831</v>
      </c>
      <c r="F51" s="99" t="s">
        <v>2613</v>
      </c>
      <c r="G51" s="99" t="s">
        <v>2613</v>
      </c>
      <c r="H51" s="150" t="s">
        <v>3795</v>
      </c>
      <c r="I51" s="150" t="s">
        <v>5832</v>
      </c>
      <c r="J51" s="99" t="s">
        <v>3389</v>
      </c>
      <c r="K51" s="99" t="s">
        <v>5833</v>
      </c>
      <c r="L51" s="99" t="s">
        <v>3798</v>
      </c>
      <c r="M51" s="5" t="s">
        <v>5834</v>
      </c>
      <c r="N51" s="107" t="s">
        <v>5493</v>
      </c>
      <c r="O51" s="113" t="s">
        <v>94</v>
      </c>
      <c r="P51" s="16" t="s">
        <v>5835</v>
      </c>
      <c r="Q51" s="113" t="s">
        <v>5651</v>
      </c>
      <c r="R51" s="15"/>
      <c r="S51" s="16" t="s">
        <v>5836</v>
      </c>
      <c r="T51" s="16" t="s">
        <v>5837</v>
      </c>
      <c r="U51" s="15">
        <v>5</v>
      </c>
      <c r="V51" s="15">
        <v>2014</v>
      </c>
      <c r="W51" s="15"/>
      <c r="X51" s="16"/>
      <c r="Y51" s="16"/>
      <c r="Z51" s="92"/>
    </row>
    <row r="52" spans="1:26" ht="16.5" customHeight="1" x14ac:dyDescent="0.2">
      <c r="A52" s="193">
        <v>50</v>
      </c>
      <c r="B52" s="193">
        <v>20542</v>
      </c>
      <c r="C52" s="99" t="s">
        <v>2870</v>
      </c>
      <c r="D52" s="99" t="s">
        <v>131</v>
      </c>
      <c r="E52" s="150" t="s">
        <v>5838</v>
      </c>
      <c r="F52" s="99" t="s">
        <v>884</v>
      </c>
      <c r="G52" s="99" t="s">
        <v>5839</v>
      </c>
      <c r="H52" s="150" t="s">
        <v>3801</v>
      </c>
      <c r="I52" s="150" t="s">
        <v>5840</v>
      </c>
      <c r="J52" s="99" t="s">
        <v>2275</v>
      </c>
      <c r="K52" s="99" t="s">
        <v>5841</v>
      </c>
      <c r="L52" s="186" t="s">
        <v>3807</v>
      </c>
      <c r="M52" s="16" t="s">
        <v>5842</v>
      </c>
      <c r="N52" s="107" t="s">
        <v>5493</v>
      </c>
      <c r="O52" s="113" t="s">
        <v>94</v>
      </c>
      <c r="P52" s="16" t="s">
        <v>5835</v>
      </c>
      <c r="Q52" s="113" t="s">
        <v>5651</v>
      </c>
      <c r="R52" s="15"/>
      <c r="S52" s="16" t="s">
        <v>5836</v>
      </c>
      <c r="T52" s="16" t="s">
        <v>5837</v>
      </c>
      <c r="U52" s="15">
        <v>5</v>
      </c>
      <c r="V52" s="15">
        <v>2014</v>
      </c>
      <c r="W52" s="15"/>
      <c r="X52" s="16"/>
      <c r="Y52" s="16"/>
      <c r="Z52" s="92"/>
    </row>
    <row r="53" spans="1:26" ht="16.5" customHeight="1" x14ac:dyDescent="0.2">
      <c r="A53" s="193">
        <v>51</v>
      </c>
      <c r="B53" s="193">
        <v>20543</v>
      </c>
      <c r="C53" s="99" t="s">
        <v>3810</v>
      </c>
      <c r="D53" s="99" t="s">
        <v>3811</v>
      </c>
      <c r="E53" s="150" t="s">
        <v>5843</v>
      </c>
      <c r="F53" s="99" t="s">
        <v>895</v>
      </c>
      <c r="G53" s="99" t="s">
        <v>824</v>
      </c>
      <c r="H53" s="150" t="s">
        <v>3813</v>
      </c>
      <c r="I53" s="150" t="s">
        <v>5844</v>
      </c>
      <c r="J53" s="99" t="s">
        <v>895</v>
      </c>
      <c r="K53" s="99" t="s">
        <v>3818</v>
      </c>
      <c r="L53" s="186" t="s">
        <v>3819</v>
      </c>
      <c r="M53" s="16" t="s">
        <v>5845</v>
      </c>
      <c r="N53" s="107" t="s">
        <v>5493</v>
      </c>
      <c r="O53" s="113" t="s">
        <v>94</v>
      </c>
      <c r="P53" s="16" t="s">
        <v>5846</v>
      </c>
      <c r="Q53" s="113" t="s">
        <v>5651</v>
      </c>
      <c r="R53" s="15"/>
      <c r="S53" s="16" t="s">
        <v>5847</v>
      </c>
      <c r="T53" s="16" t="s">
        <v>5848</v>
      </c>
      <c r="U53" s="15">
        <v>5</v>
      </c>
      <c r="V53" s="15">
        <v>2014</v>
      </c>
      <c r="W53" s="15"/>
      <c r="X53" s="16"/>
      <c r="Y53" s="16"/>
      <c r="Z53" s="92"/>
    </row>
    <row r="54" spans="1:26" ht="16.5" customHeight="1" x14ac:dyDescent="0.2">
      <c r="A54" s="193">
        <v>52</v>
      </c>
      <c r="B54" s="193">
        <v>20550</v>
      </c>
      <c r="C54" s="99" t="s">
        <v>199</v>
      </c>
      <c r="D54" s="99" t="s">
        <v>576</v>
      </c>
      <c r="E54" s="150" t="s">
        <v>5849</v>
      </c>
      <c r="F54" s="99" t="s">
        <v>5850</v>
      </c>
      <c r="G54" s="63" t="s">
        <v>856</v>
      </c>
      <c r="H54" s="150" t="s">
        <v>3884</v>
      </c>
      <c r="I54" s="150" t="s">
        <v>5851</v>
      </c>
      <c r="J54" s="99" t="s">
        <v>3885</v>
      </c>
      <c r="K54" s="99" t="s">
        <v>5852</v>
      </c>
      <c r="L54" s="186" t="s">
        <v>5853</v>
      </c>
      <c r="M54" s="163" t="s">
        <v>5854</v>
      </c>
      <c r="N54" s="107" t="s">
        <v>5855</v>
      </c>
      <c r="O54" s="113" t="s">
        <v>94</v>
      </c>
      <c r="P54" s="16" t="s">
        <v>5856</v>
      </c>
      <c r="Q54" s="113" t="s">
        <v>5651</v>
      </c>
      <c r="R54" s="15"/>
      <c r="S54" s="16" t="s">
        <v>5497</v>
      </c>
      <c r="T54" s="16" t="s">
        <v>5857</v>
      </c>
      <c r="U54" s="15">
        <v>6</v>
      </c>
      <c r="V54" s="15">
        <v>2014</v>
      </c>
      <c r="W54" s="15"/>
      <c r="X54" s="16"/>
      <c r="Y54" s="16"/>
      <c r="Z54" s="92"/>
    </row>
    <row r="55" spans="1:26" ht="16.5" customHeight="1" x14ac:dyDescent="0.2">
      <c r="A55" s="193">
        <v>53</v>
      </c>
      <c r="B55" s="193">
        <v>20552</v>
      </c>
      <c r="C55" s="99" t="s">
        <v>3901</v>
      </c>
      <c r="D55" s="99" t="s">
        <v>170</v>
      </c>
      <c r="E55" s="150" t="s">
        <v>5858</v>
      </c>
      <c r="F55" s="99" t="s">
        <v>2613</v>
      </c>
      <c r="G55" s="157" t="s">
        <v>397</v>
      </c>
      <c r="H55" s="104" t="s">
        <v>3902</v>
      </c>
      <c r="I55" s="150" t="s">
        <v>5859</v>
      </c>
      <c r="J55" s="99" t="s">
        <v>3389</v>
      </c>
      <c r="K55" s="99" t="s">
        <v>5860</v>
      </c>
      <c r="L55" s="186" t="s">
        <v>3907</v>
      </c>
      <c r="M55" s="16" t="s">
        <v>3906</v>
      </c>
      <c r="N55" s="107" t="s">
        <v>5493</v>
      </c>
      <c r="O55" s="113" t="s">
        <v>94</v>
      </c>
      <c r="P55" s="16" t="s">
        <v>5861</v>
      </c>
      <c r="Q55" s="113" t="s">
        <v>5651</v>
      </c>
      <c r="R55" s="15" t="s">
        <v>5862</v>
      </c>
      <c r="S55" s="16" t="s">
        <v>5863</v>
      </c>
      <c r="T55" s="16" t="s">
        <v>5864</v>
      </c>
      <c r="U55" s="15">
        <v>7</v>
      </c>
      <c r="V55" s="15">
        <v>2014</v>
      </c>
      <c r="W55" s="15"/>
      <c r="X55" s="16"/>
      <c r="Y55" s="16"/>
      <c r="Z55" s="92"/>
    </row>
    <row r="56" spans="1:26" ht="16.5" customHeight="1" x14ac:dyDescent="0.2">
      <c r="A56" s="193">
        <v>54</v>
      </c>
      <c r="B56" s="193">
        <v>20556</v>
      </c>
      <c r="C56" s="99" t="s">
        <v>3933</v>
      </c>
      <c r="D56" s="99" t="s">
        <v>3635</v>
      </c>
      <c r="E56" s="150" t="s">
        <v>5865</v>
      </c>
      <c r="F56" s="99" t="s">
        <v>3004</v>
      </c>
      <c r="G56" s="157" t="s">
        <v>3004</v>
      </c>
      <c r="H56" s="150" t="s">
        <v>3934</v>
      </c>
      <c r="I56" s="150" t="s">
        <v>5866</v>
      </c>
      <c r="J56" s="99" t="s">
        <v>3935</v>
      </c>
      <c r="K56" s="99" t="s">
        <v>3938</v>
      </c>
      <c r="L56" s="186" t="s">
        <v>3939</v>
      </c>
      <c r="M56" s="163" t="s">
        <v>5867</v>
      </c>
      <c r="N56" s="107" t="s">
        <v>5649</v>
      </c>
      <c r="O56" s="113" t="s">
        <v>94</v>
      </c>
      <c r="P56" s="16" t="s">
        <v>5868</v>
      </c>
      <c r="Q56" s="113" t="s">
        <v>5651</v>
      </c>
      <c r="R56" s="15" t="s">
        <v>5869</v>
      </c>
      <c r="S56" s="16" t="s">
        <v>5870</v>
      </c>
      <c r="T56" s="16" t="s">
        <v>5871</v>
      </c>
      <c r="U56" s="15">
        <v>7</v>
      </c>
      <c r="V56" s="15">
        <v>2014</v>
      </c>
      <c r="W56" s="15"/>
      <c r="X56" s="16"/>
      <c r="Y56" s="16"/>
      <c r="Z56" s="92"/>
    </row>
    <row r="57" spans="1:26" ht="16.5" customHeight="1" x14ac:dyDescent="0.2">
      <c r="A57" s="193">
        <v>55</v>
      </c>
      <c r="B57" s="193">
        <v>20558</v>
      </c>
      <c r="C57" s="99" t="s">
        <v>255</v>
      </c>
      <c r="D57" s="99" t="s">
        <v>256</v>
      </c>
      <c r="E57" s="150" t="s">
        <v>5872</v>
      </c>
      <c r="F57" s="99" t="s">
        <v>2056</v>
      </c>
      <c r="G57" s="99" t="s">
        <v>2056</v>
      </c>
      <c r="H57" s="150" t="s">
        <v>3949</v>
      </c>
      <c r="I57" s="150" t="s">
        <v>5873</v>
      </c>
      <c r="J57" s="99" t="s">
        <v>3950</v>
      </c>
      <c r="K57" s="99" t="s">
        <v>3955</v>
      </c>
      <c r="L57" s="186" t="s">
        <v>3956</v>
      </c>
      <c r="M57" s="16" t="s">
        <v>3954</v>
      </c>
      <c r="N57" s="107" t="s">
        <v>5874</v>
      </c>
      <c r="O57" s="113" t="s">
        <v>94</v>
      </c>
      <c r="P57" s="16" t="s">
        <v>5856</v>
      </c>
      <c r="Q57" s="113" t="s">
        <v>5651</v>
      </c>
      <c r="R57" s="15"/>
      <c r="S57" s="16" t="s">
        <v>5497</v>
      </c>
      <c r="T57" s="16" t="s">
        <v>5857</v>
      </c>
      <c r="U57" s="15">
        <v>6</v>
      </c>
      <c r="V57" s="15">
        <v>2014</v>
      </c>
      <c r="W57" s="15"/>
      <c r="X57" s="16"/>
      <c r="Y57" s="16"/>
      <c r="Z57" s="92"/>
    </row>
    <row r="58" spans="1:26" ht="16.5" customHeight="1" x14ac:dyDescent="0.2">
      <c r="A58" s="193">
        <v>56</v>
      </c>
      <c r="B58" s="193">
        <v>20561</v>
      </c>
      <c r="C58" s="99" t="s">
        <v>1965</v>
      </c>
      <c r="D58" s="99" t="s">
        <v>1715</v>
      </c>
      <c r="E58" s="150" t="s">
        <v>5875</v>
      </c>
      <c r="F58" s="99" t="s">
        <v>1967</v>
      </c>
      <c r="G58" s="99" t="s">
        <v>1967</v>
      </c>
      <c r="H58" s="150" t="s">
        <v>3971</v>
      </c>
      <c r="I58" s="150" t="s">
        <v>5876</v>
      </c>
      <c r="J58" s="99" t="s">
        <v>3972</v>
      </c>
      <c r="K58" s="99" t="s">
        <v>1973</v>
      </c>
      <c r="L58" s="186" t="s">
        <v>3976</v>
      </c>
      <c r="M58" s="16" t="s">
        <v>3975</v>
      </c>
      <c r="N58" s="107" t="s">
        <v>5592</v>
      </c>
      <c r="O58" s="113" t="s">
        <v>94</v>
      </c>
      <c r="P58" s="16" t="s">
        <v>5689</v>
      </c>
      <c r="Q58" s="113" t="s">
        <v>5651</v>
      </c>
      <c r="R58" s="15" t="s">
        <v>5877</v>
      </c>
      <c r="S58" s="16" t="s">
        <v>5761</v>
      </c>
      <c r="T58" s="16" t="s">
        <v>5878</v>
      </c>
      <c r="U58" s="15">
        <v>7</v>
      </c>
      <c r="V58" s="15">
        <v>2014</v>
      </c>
      <c r="W58" s="15"/>
      <c r="X58" s="16"/>
      <c r="Y58" s="16"/>
      <c r="Z58" s="92"/>
    </row>
    <row r="59" spans="1:26" ht="16.5" customHeight="1" x14ac:dyDescent="0.2">
      <c r="A59" s="193">
        <v>57</v>
      </c>
      <c r="B59" s="193">
        <v>20562</v>
      </c>
      <c r="C59" s="99" t="s">
        <v>848</v>
      </c>
      <c r="D59" s="99" t="s">
        <v>266</v>
      </c>
      <c r="E59" s="150" t="s">
        <v>5879</v>
      </c>
      <c r="F59" s="99" t="s">
        <v>884</v>
      </c>
      <c r="G59" s="99" t="s">
        <v>1186</v>
      </c>
      <c r="H59" s="150" t="s">
        <v>3979</v>
      </c>
      <c r="I59" s="150" t="s">
        <v>5880</v>
      </c>
      <c r="J59" s="99" t="s">
        <v>3980</v>
      </c>
      <c r="K59" s="99" t="s">
        <v>3982</v>
      </c>
      <c r="L59" s="186" t="s">
        <v>3983</v>
      </c>
      <c r="M59" s="16" t="s">
        <v>2447</v>
      </c>
      <c r="N59" s="107" t="s">
        <v>5493</v>
      </c>
      <c r="O59" s="113" t="s">
        <v>94</v>
      </c>
      <c r="P59" s="16" t="s">
        <v>5847</v>
      </c>
      <c r="Q59" s="113" t="s">
        <v>5651</v>
      </c>
      <c r="R59" s="15" t="s">
        <v>5881</v>
      </c>
      <c r="S59" s="16" t="s">
        <v>5882</v>
      </c>
      <c r="T59" s="16" t="s">
        <v>5883</v>
      </c>
      <c r="U59" s="15">
        <v>7</v>
      </c>
      <c r="V59" s="15">
        <v>2014</v>
      </c>
      <c r="W59" s="15"/>
      <c r="X59" s="16"/>
      <c r="Y59" s="16"/>
      <c r="Z59" s="92"/>
    </row>
    <row r="60" spans="1:26" ht="16.5" customHeight="1" x14ac:dyDescent="0.2">
      <c r="A60" s="193">
        <v>58</v>
      </c>
      <c r="B60" s="193">
        <v>20600</v>
      </c>
      <c r="C60" s="99" t="s">
        <v>3777</v>
      </c>
      <c r="D60" s="99" t="s">
        <v>266</v>
      </c>
      <c r="E60" s="150" t="s">
        <v>5884</v>
      </c>
      <c r="F60" s="99" t="s">
        <v>1139</v>
      </c>
      <c r="G60" s="99" t="s">
        <v>726</v>
      </c>
      <c r="H60" s="150" t="s">
        <v>4208</v>
      </c>
      <c r="I60" s="150" t="s">
        <v>5885</v>
      </c>
      <c r="J60" s="99" t="s">
        <v>4209</v>
      </c>
      <c r="K60" s="99" t="s">
        <v>4213</v>
      </c>
      <c r="L60" s="35" t="s">
        <v>5886</v>
      </c>
      <c r="M60" s="163" t="s">
        <v>4212</v>
      </c>
      <c r="N60" s="107" t="s">
        <v>5493</v>
      </c>
      <c r="O60" s="113" t="s">
        <v>94</v>
      </c>
      <c r="P60" s="16" t="s">
        <v>5887</v>
      </c>
      <c r="Q60" s="113" t="s">
        <v>5651</v>
      </c>
      <c r="R60" s="15" t="s">
        <v>5888</v>
      </c>
      <c r="S60" s="16" t="s">
        <v>5889</v>
      </c>
      <c r="T60" s="16" t="s">
        <v>5890</v>
      </c>
      <c r="U60" s="15">
        <v>8</v>
      </c>
      <c r="V60" s="15">
        <v>2014</v>
      </c>
      <c r="W60" s="15"/>
      <c r="X60" s="16"/>
      <c r="Y60" s="16"/>
      <c r="Z60" s="92"/>
    </row>
    <row r="61" spans="1:26" ht="16.5" customHeight="1" x14ac:dyDescent="0.2">
      <c r="A61" s="193">
        <v>59</v>
      </c>
      <c r="B61" s="40">
        <v>20602</v>
      </c>
      <c r="C61" s="63" t="s">
        <v>4225</v>
      </c>
      <c r="D61" s="63" t="s">
        <v>4226</v>
      </c>
      <c r="E61" s="104" t="s">
        <v>5891</v>
      </c>
      <c r="F61" s="63" t="s">
        <v>921</v>
      </c>
      <c r="G61" s="63" t="s">
        <v>921</v>
      </c>
      <c r="H61" s="104" t="s">
        <v>4227</v>
      </c>
      <c r="I61" s="104" t="s">
        <v>5892</v>
      </c>
      <c r="J61" s="63" t="s">
        <v>921</v>
      </c>
      <c r="K61" s="63" t="s">
        <v>4230</v>
      </c>
      <c r="L61" s="139" t="s">
        <v>4231</v>
      </c>
      <c r="M61" s="163" t="s">
        <v>5893</v>
      </c>
      <c r="N61" s="107" t="s">
        <v>5493</v>
      </c>
      <c r="O61" s="113" t="s">
        <v>94</v>
      </c>
      <c r="P61" s="16" t="s">
        <v>5887</v>
      </c>
      <c r="Q61" s="113" t="s">
        <v>5651</v>
      </c>
      <c r="R61" s="15" t="s">
        <v>5894</v>
      </c>
      <c r="S61" s="16" t="s">
        <v>5889</v>
      </c>
      <c r="T61" s="16" t="s">
        <v>5890</v>
      </c>
      <c r="U61" s="15">
        <v>8</v>
      </c>
      <c r="V61" s="15">
        <v>2014</v>
      </c>
      <c r="W61" s="15"/>
      <c r="X61" s="16"/>
      <c r="Y61" s="16"/>
      <c r="Z61" s="92"/>
    </row>
    <row r="62" spans="1:26" ht="16.5" customHeight="1" x14ac:dyDescent="0.2">
      <c r="A62" s="193">
        <v>60</v>
      </c>
      <c r="B62" s="193">
        <v>20603</v>
      </c>
      <c r="C62" s="99" t="s">
        <v>4234</v>
      </c>
      <c r="D62" s="99" t="s">
        <v>4235</v>
      </c>
      <c r="E62" s="150" t="s">
        <v>5895</v>
      </c>
      <c r="F62" s="99" t="s">
        <v>2777</v>
      </c>
      <c r="G62" s="99" t="s">
        <v>2777</v>
      </c>
      <c r="H62" s="150" t="s">
        <v>4236</v>
      </c>
      <c r="I62" s="150" t="s">
        <v>5896</v>
      </c>
      <c r="J62" s="99" t="s">
        <v>4237</v>
      </c>
      <c r="K62" s="99" t="s">
        <v>4241</v>
      </c>
      <c r="L62" s="186" t="s">
        <v>4242</v>
      </c>
      <c r="M62" s="163" t="s">
        <v>4240</v>
      </c>
      <c r="N62" s="107" t="s">
        <v>5493</v>
      </c>
      <c r="O62" s="113" t="s">
        <v>94</v>
      </c>
      <c r="P62" s="16" t="s">
        <v>5887</v>
      </c>
      <c r="Q62" s="113" t="s">
        <v>5651</v>
      </c>
      <c r="R62" s="15" t="s">
        <v>5897</v>
      </c>
      <c r="S62" s="16" t="s">
        <v>5889</v>
      </c>
      <c r="T62" s="16" t="s">
        <v>5890</v>
      </c>
      <c r="U62" s="15">
        <v>8</v>
      </c>
      <c r="V62" s="15">
        <v>2014</v>
      </c>
      <c r="W62" s="15"/>
      <c r="X62" s="16"/>
      <c r="Y62" s="16"/>
      <c r="Z62" s="92"/>
    </row>
    <row r="63" spans="1:26" ht="16.5" customHeight="1" x14ac:dyDescent="0.2">
      <c r="A63" s="193">
        <v>61</v>
      </c>
      <c r="B63" s="193">
        <v>20604</v>
      </c>
      <c r="C63" s="99" t="s">
        <v>4245</v>
      </c>
      <c r="D63" s="99" t="s">
        <v>232</v>
      </c>
      <c r="E63" s="150" t="s">
        <v>5898</v>
      </c>
      <c r="F63" s="99" t="s">
        <v>5899</v>
      </c>
      <c r="G63" s="64" t="s">
        <v>1186</v>
      </c>
      <c r="H63" s="150" t="s">
        <v>4246</v>
      </c>
      <c r="I63" s="150" t="s">
        <v>5900</v>
      </c>
      <c r="J63" s="99" t="s">
        <v>4247</v>
      </c>
      <c r="K63" s="99" t="s">
        <v>4252</v>
      </c>
      <c r="L63" s="186" t="s">
        <v>4253</v>
      </c>
      <c r="M63" s="16" t="s">
        <v>5901</v>
      </c>
      <c r="N63" s="107" t="s">
        <v>5649</v>
      </c>
      <c r="O63" s="113" t="s">
        <v>94</v>
      </c>
      <c r="P63" s="16" t="s">
        <v>5902</v>
      </c>
      <c r="Q63" s="113" t="s">
        <v>5651</v>
      </c>
      <c r="R63" s="15" t="s">
        <v>5903</v>
      </c>
      <c r="S63" s="16" t="s">
        <v>5904</v>
      </c>
      <c r="T63" s="16" t="s">
        <v>5905</v>
      </c>
      <c r="U63" s="15">
        <v>7</v>
      </c>
      <c r="V63" s="15">
        <v>2014</v>
      </c>
      <c r="W63" s="15"/>
      <c r="X63" s="16"/>
      <c r="Y63" s="16"/>
      <c r="Z63" s="92"/>
    </row>
    <row r="64" spans="1:26" ht="16.5" customHeight="1" x14ac:dyDescent="0.2">
      <c r="A64" s="193">
        <v>62</v>
      </c>
      <c r="B64" s="193">
        <v>20612</v>
      </c>
      <c r="C64" s="99" t="s">
        <v>2656</v>
      </c>
      <c r="D64" s="99" t="s">
        <v>4307</v>
      </c>
      <c r="E64" s="150" t="s">
        <v>5906</v>
      </c>
      <c r="F64" s="99" t="s">
        <v>5850</v>
      </c>
      <c r="G64" s="168" t="s">
        <v>824</v>
      </c>
      <c r="H64" s="150" t="s">
        <v>4308</v>
      </c>
      <c r="I64" s="150" t="s">
        <v>5907</v>
      </c>
      <c r="J64" s="99" t="s">
        <v>4309</v>
      </c>
      <c r="K64" s="99" t="s">
        <v>4313</v>
      </c>
      <c r="L64" s="186" t="s">
        <v>4314</v>
      </c>
      <c r="M64" s="163" t="s">
        <v>5908</v>
      </c>
      <c r="N64" s="107" t="s">
        <v>5649</v>
      </c>
      <c r="O64" s="113" t="s">
        <v>94</v>
      </c>
      <c r="P64" s="16" t="s">
        <v>5909</v>
      </c>
      <c r="Q64" s="113" t="s">
        <v>5651</v>
      </c>
      <c r="R64" s="15" t="s">
        <v>5910</v>
      </c>
      <c r="S64" s="16" t="s">
        <v>5911</v>
      </c>
      <c r="T64" s="16" t="s">
        <v>5912</v>
      </c>
      <c r="U64" s="15">
        <v>8</v>
      </c>
      <c r="V64" s="15">
        <v>2014</v>
      </c>
      <c r="W64" s="15"/>
      <c r="X64" s="16"/>
      <c r="Y64" s="16"/>
      <c r="Z64" s="92"/>
    </row>
    <row r="65" spans="1:26" ht="16.5" customHeight="1" x14ac:dyDescent="0.2">
      <c r="A65" s="193">
        <v>63</v>
      </c>
      <c r="B65" s="193">
        <v>20613</v>
      </c>
      <c r="C65" s="99" t="s">
        <v>4318</v>
      </c>
      <c r="D65" s="99" t="s">
        <v>685</v>
      </c>
      <c r="E65" s="150" t="s">
        <v>5913</v>
      </c>
      <c r="F65" s="99" t="s">
        <v>5914</v>
      </c>
      <c r="G65" s="168" t="s">
        <v>824</v>
      </c>
      <c r="H65" s="150" t="s">
        <v>4319</v>
      </c>
      <c r="I65" s="150" t="s">
        <v>5915</v>
      </c>
      <c r="J65" s="99" t="s">
        <v>4320</v>
      </c>
      <c r="K65" s="99" t="s">
        <v>4323</v>
      </c>
      <c r="L65" s="186" t="s">
        <v>4324</v>
      </c>
      <c r="M65" s="16" t="s">
        <v>4322</v>
      </c>
      <c r="N65" s="107" t="s">
        <v>5649</v>
      </c>
      <c r="O65" s="113" t="s">
        <v>94</v>
      </c>
      <c r="P65" s="16" t="s">
        <v>5909</v>
      </c>
      <c r="Q65" s="113" t="s">
        <v>5651</v>
      </c>
      <c r="R65" s="15" t="s">
        <v>5916</v>
      </c>
      <c r="S65" s="16" t="s">
        <v>5917</v>
      </c>
      <c r="T65" s="16" t="s">
        <v>5918</v>
      </c>
      <c r="U65" s="15">
        <v>8</v>
      </c>
      <c r="V65" s="15">
        <v>2014</v>
      </c>
      <c r="W65" s="15"/>
      <c r="X65" s="16"/>
      <c r="Y65" s="16"/>
      <c r="Z65" s="92"/>
    </row>
    <row r="66" spans="1:26" ht="16.5" customHeight="1" x14ac:dyDescent="0.2">
      <c r="A66" s="193">
        <v>64</v>
      </c>
      <c r="B66" s="193">
        <v>20614</v>
      </c>
      <c r="C66" s="99" t="s">
        <v>3610</v>
      </c>
      <c r="D66" s="99" t="s">
        <v>3416</v>
      </c>
      <c r="E66" s="150" t="s">
        <v>5919</v>
      </c>
      <c r="F66" s="99" t="s">
        <v>824</v>
      </c>
      <c r="G66" s="99" t="s">
        <v>824</v>
      </c>
      <c r="H66" s="150" t="s">
        <v>5920</v>
      </c>
      <c r="I66" s="150" t="s">
        <v>5921</v>
      </c>
      <c r="J66" s="99" t="s">
        <v>3389</v>
      </c>
      <c r="K66" s="99" t="s">
        <v>5922</v>
      </c>
      <c r="L66" s="186" t="s">
        <v>4331</v>
      </c>
      <c r="M66" s="163" t="s">
        <v>4330</v>
      </c>
      <c r="N66" s="107" t="s">
        <v>5923</v>
      </c>
      <c r="O66" s="113" t="s">
        <v>94</v>
      </c>
      <c r="P66" s="16" t="s">
        <v>5924</v>
      </c>
      <c r="Q66" s="113" t="s">
        <v>5651</v>
      </c>
      <c r="R66" s="15" t="s">
        <v>5925</v>
      </c>
      <c r="S66" s="16" t="s">
        <v>5926</v>
      </c>
      <c r="T66" s="16" t="s">
        <v>5927</v>
      </c>
      <c r="U66" s="15">
        <v>8</v>
      </c>
      <c r="V66" s="15">
        <v>2014</v>
      </c>
      <c r="W66" s="15"/>
      <c r="X66" s="16"/>
      <c r="Y66" s="16"/>
      <c r="Z66" s="92"/>
    </row>
    <row r="67" spans="1:26" ht="16.5" customHeight="1" x14ac:dyDescent="0.2">
      <c r="A67" s="193">
        <v>65</v>
      </c>
      <c r="B67" s="193">
        <v>20616</v>
      </c>
      <c r="C67" s="99" t="s">
        <v>1427</v>
      </c>
      <c r="D67" s="99" t="s">
        <v>256</v>
      </c>
      <c r="E67" s="150" t="s">
        <v>5928</v>
      </c>
      <c r="F67" s="99" t="s">
        <v>52</v>
      </c>
      <c r="G67" s="99" t="s">
        <v>52</v>
      </c>
      <c r="H67" s="150" t="s">
        <v>5929</v>
      </c>
      <c r="I67" s="150" t="s">
        <v>5930</v>
      </c>
      <c r="J67" s="99" t="s">
        <v>4336</v>
      </c>
      <c r="K67" s="99" t="s">
        <v>4341</v>
      </c>
      <c r="L67" s="186" t="s">
        <v>4342</v>
      </c>
      <c r="M67" s="163" t="s">
        <v>4339</v>
      </c>
      <c r="N67" s="107" t="s">
        <v>5493</v>
      </c>
      <c r="O67" s="113" t="s">
        <v>94</v>
      </c>
      <c r="P67" s="16" t="s">
        <v>5931</v>
      </c>
      <c r="Q67" s="113" t="s">
        <v>5651</v>
      </c>
      <c r="R67" s="15" t="s">
        <v>5932</v>
      </c>
      <c r="S67" s="16" t="s">
        <v>5933</v>
      </c>
      <c r="T67" s="16" t="s">
        <v>5934</v>
      </c>
      <c r="U67" s="15">
        <v>8</v>
      </c>
      <c r="V67" s="15">
        <v>2014</v>
      </c>
      <c r="W67" s="15"/>
      <c r="X67" s="16"/>
      <c r="Y67" s="16"/>
      <c r="Z67" s="92"/>
    </row>
    <row r="68" spans="1:26" ht="16.5" customHeight="1" x14ac:dyDescent="0.2">
      <c r="A68" s="193">
        <v>66</v>
      </c>
      <c r="B68" s="193">
        <v>20621</v>
      </c>
      <c r="C68" s="99" t="s">
        <v>4353</v>
      </c>
      <c r="D68" s="99" t="s">
        <v>131</v>
      </c>
      <c r="E68" s="150" t="s">
        <v>5935</v>
      </c>
      <c r="F68" s="99" t="s">
        <v>2613</v>
      </c>
      <c r="G68" s="99" t="s">
        <v>2734</v>
      </c>
      <c r="H68" s="150" t="s">
        <v>4354</v>
      </c>
      <c r="I68" s="150" t="s">
        <v>5936</v>
      </c>
      <c r="J68" s="99" t="s">
        <v>3389</v>
      </c>
      <c r="K68" s="99" t="s">
        <v>5937</v>
      </c>
      <c r="L68" s="99" t="s">
        <v>4360</v>
      </c>
      <c r="M68" s="57" t="s">
        <v>4359</v>
      </c>
      <c r="N68" s="107" t="s">
        <v>5493</v>
      </c>
      <c r="O68" s="113" t="s">
        <v>94</v>
      </c>
      <c r="P68" s="16" t="s">
        <v>5498</v>
      </c>
      <c r="Q68" s="113" t="s">
        <v>5651</v>
      </c>
      <c r="R68" s="15" t="s">
        <v>5938</v>
      </c>
      <c r="S68" s="16" t="s">
        <v>5939</v>
      </c>
      <c r="T68" s="16" t="s">
        <v>5940</v>
      </c>
      <c r="U68" s="15">
        <v>8</v>
      </c>
      <c r="V68" s="15">
        <v>2014</v>
      </c>
      <c r="W68" s="15"/>
      <c r="X68" s="16"/>
      <c r="Y68" s="16"/>
      <c r="Z68" s="92"/>
    </row>
    <row r="69" spans="1:26" ht="16.5" customHeight="1" x14ac:dyDescent="0.2">
      <c r="A69" s="193">
        <v>67</v>
      </c>
      <c r="B69" s="193">
        <v>20623</v>
      </c>
      <c r="C69" s="99" t="s">
        <v>4365</v>
      </c>
      <c r="D69" s="99" t="s">
        <v>4366</v>
      </c>
      <c r="E69" s="150" t="s">
        <v>5941</v>
      </c>
      <c r="F69" s="99" t="s">
        <v>5899</v>
      </c>
      <c r="G69" s="63" t="s">
        <v>1103</v>
      </c>
      <c r="H69" s="150" t="s">
        <v>4367</v>
      </c>
      <c r="I69" s="150" t="s">
        <v>5942</v>
      </c>
      <c r="J69" s="99" t="s">
        <v>4247</v>
      </c>
      <c r="K69" s="99" t="s">
        <v>4372</v>
      </c>
      <c r="L69" s="186" t="s">
        <v>4373</v>
      </c>
      <c r="M69" s="163" t="s">
        <v>4371</v>
      </c>
      <c r="N69" s="107" t="s">
        <v>5493</v>
      </c>
      <c r="O69" s="113" t="s">
        <v>94</v>
      </c>
      <c r="P69" s="16" t="s">
        <v>5902</v>
      </c>
      <c r="Q69" s="113" t="s">
        <v>5651</v>
      </c>
      <c r="R69" s="15" t="s">
        <v>5943</v>
      </c>
      <c r="S69" s="16" t="s">
        <v>5531</v>
      </c>
      <c r="T69" s="16" t="s">
        <v>5944</v>
      </c>
      <c r="U69" s="15">
        <v>9</v>
      </c>
      <c r="V69" s="15">
        <v>2014</v>
      </c>
      <c r="W69" s="15"/>
      <c r="X69" s="16"/>
      <c r="Y69" s="16"/>
      <c r="Z69" s="92"/>
    </row>
    <row r="70" spans="1:26" ht="16.5" customHeight="1" x14ac:dyDescent="0.2">
      <c r="A70" s="193">
        <v>68</v>
      </c>
      <c r="B70" s="193">
        <v>20632</v>
      </c>
      <c r="C70" s="99" t="s">
        <v>4418</v>
      </c>
      <c r="D70" s="99" t="s">
        <v>4419</v>
      </c>
      <c r="E70" s="150" t="s">
        <v>5945</v>
      </c>
      <c r="F70" s="99" t="s">
        <v>2613</v>
      </c>
      <c r="G70" s="99" t="s">
        <v>1255</v>
      </c>
      <c r="H70" s="150" t="s">
        <v>4420</v>
      </c>
      <c r="I70" s="150" t="s">
        <v>5946</v>
      </c>
      <c r="J70" s="99" t="s">
        <v>1105</v>
      </c>
      <c r="K70" s="99" t="s">
        <v>5947</v>
      </c>
      <c r="L70" s="99" t="s">
        <v>4425</v>
      </c>
      <c r="M70" s="5" t="s">
        <v>4424</v>
      </c>
      <c r="N70" s="107" t="s">
        <v>5948</v>
      </c>
      <c r="O70" s="113" t="s">
        <v>51</v>
      </c>
      <c r="P70" s="16" t="s">
        <v>5949</v>
      </c>
      <c r="Q70" s="113" t="s">
        <v>5651</v>
      </c>
      <c r="R70" s="15" t="s">
        <v>5950</v>
      </c>
      <c r="S70" s="16" t="s">
        <v>5951</v>
      </c>
      <c r="T70" s="16" t="s">
        <v>5952</v>
      </c>
      <c r="U70" s="15">
        <v>10</v>
      </c>
      <c r="V70" s="15">
        <v>2014</v>
      </c>
      <c r="W70" s="15"/>
      <c r="X70" s="16"/>
      <c r="Y70" s="16"/>
      <c r="Z70" s="92"/>
    </row>
    <row r="71" spans="1:26" ht="16.5" customHeight="1" x14ac:dyDescent="0.2">
      <c r="A71" s="193">
        <v>69</v>
      </c>
      <c r="B71" s="193">
        <v>20633</v>
      </c>
      <c r="C71" s="99" t="s">
        <v>4426</v>
      </c>
      <c r="D71" s="99" t="s">
        <v>160</v>
      </c>
      <c r="E71" s="150" t="s">
        <v>5953</v>
      </c>
      <c r="F71" s="99" t="s">
        <v>52</v>
      </c>
      <c r="G71" s="99" t="s">
        <v>824</v>
      </c>
      <c r="H71" s="150" t="s">
        <v>4427</v>
      </c>
      <c r="I71" s="150" t="s">
        <v>5954</v>
      </c>
      <c r="J71" s="99" t="s">
        <v>52</v>
      </c>
      <c r="K71" s="99" t="s">
        <v>4431</v>
      </c>
      <c r="L71" s="186" t="s">
        <v>4432</v>
      </c>
      <c r="M71" s="16" t="s">
        <v>5955</v>
      </c>
      <c r="N71" s="107" t="s">
        <v>5956</v>
      </c>
      <c r="O71" s="113" t="s">
        <v>94</v>
      </c>
      <c r="P71" s="16" t="s">
        <v>5949</v>
      </c>
      <c r="Q71" s="113" t="s">
        <v>5651</v>
      </c>
      <c r="R71" s="15" t="s">
        <v>5957</v>
      </c>
      <c r="S71" s="16" t="s">
        <v>5951</v>
      </c>
      <c r="T71" s="16" t="s">
        <v>5952</v>
      </c>
      <c r="U71" s="15">
        <v>10</v>
      </c>
      <c r="V71" s="15">
        <v>2014</v>
      </c>
      <c r="W71" s="15"/>
      <c r="X71" s="16"/>
      <c r="Y71" s="16"/>
      <c r="Z71" s="92"/>
    </row>
    <row r="72" spans="1:26" ht="16.5" customHeight="1" x14ac:dyDescent="0.2">
      <c r="A72" s="193">
        <v>70</v>
      </c>
      <c r="B72" s="193">
        <v>20635</v>
      </c>
      <c r="C72" s="99" t="s">
        <v>4441</v>
      </c>
      <c r="D72" s="99" t="s">
        <v>4022</v>
      </c>
      <c r="E72" s="150" t="s">
        <v>5958</v>
      </c>
      <c r="F72" s="99" t="s">
        <v>1614</v>
      </c>
      <c r="G72" s="99" t="s">
        <v>303</v>
      </c>
      <c r="H72" s="150" t="s">
        <v>4442</v>
      </c>
      <c r="I72" s="150" t="s">
        <v>5959</v>
      </c>
      <c r="J72" s="99" t="s">
        <v>4443</v>
      </c>
      <c r="K72" s="99" t="s">
        <v>4448</v>
      </c>
      <c r="L72" s="186" t="s">
        <v>4449</v>
      </c>
      <c r="M72" s="163" t="s">
        <v>5960</v>
      </c>
      <c r="N72" s="107" t="s">
        <v>5961</v>
      </c>
      <c r="O72" s="113" t="s">
        <v>51</v>
      </c>
      <c r="P72" s="16" t="s">
        <v>5962</v>
      </c>
      <c r="Q72" s="113" t="s">
        <v>5651</v>
      </c>
      <c r="R72" s="15" t="s">
        <v>5963</v>
      </c>
      <c r="S72" s="16" t="s">
        <v>5964</v>
      </c>
      <c r="T72" s="16" t="s">
        <v>5965</v>
      </c>
      <c r="U72" s="15">
        <v>9</v>
      </c>
      <c r="V72" s="15">
        <v>2014</v>
      </c>
      <c r="W72" s="15"/>
      <c r="X72" s="16"/>
      <c r="Y72" s="16"/>
      <c r="Z72" s="92"/>
    </row>
    <row r="73" spans="1:26" ht="16.5" customHeight="1" x14ac:dyDescent="0.2">
      <c r="A73" s="193">
        <v>71</v>
      </c>
      <c r="B73" s="193">
        <v>20637</v>
      </c>
      <c r="C73" s="99" t="s">
        <v>4461</v>
      </c>
      <c r="D73" s="99" t="s">
        <v>4462</v>
      </c>
      <c r="E73" s="150" t="s">
        <v>5966</v>
      </c>
      <c r="F73" s="99" t="s">
        <v>2613</v>
      </c>
      <c r="G73" s="99" t="s">
        <v>5779</v>
      </c>
      <c r="H73" s="150" t="s">
        <v>5967</v>
      </c>
      <c r="I73" s="150" t="s">
        <v>5968</v>
      </c>
      <c r="J73" s="99" t="s">
        <v>4465</v>
      </c>
      <c r="K73" s="99" t="s">
        <v>5969</v>
      </c>
      <c r="L73" s="186" t="s">
        <v>4470</v>
      </c>
      <c r="M73" s="16" t="s">
        <v>5970</v>
      </c>
      <c r="N73" s="107" t="s">
        <v>5649</v>
      </c>
      <c r="O73" s="113" t="s">
        <v>94</v>
      </c>
      <c r="P73" s="16" t="s">
        <v>5949</v>
      </c>
      <c r="Q73" s="113" t="s">
        <v>5651</v>
      </c>
      <c r="R73" s="15" t="s">
        <v>5971</v>
      </c>
      <c r="S73" s="16" t="s">
        <v>5951</v>
      </c>
      <c r="T73" s="16" t="s">
        <v>5952</v>
      </c>
      <c r="U73" s="15">
        <v>10</v>
      </c>
      <c r="V73" s="15">
        <v>2014</v>
      </c>
      <c r="W73" s="15"/>
      <c r="X73" s="16"/>
      <c r="Y73" s="16"/>
      <c r="Z73" s="92"/>
    </row>
    <row r="74" spans="1:26" ht="16.5" customHeight="1" x14ac:dyDescent="0.2">
      <c r="A74" s="193">
        <v>72</v>
      </c>
      <c r="B74" s="193">
        <v>20638</v>
      </c>
      <c r="C74" s="99" t="s">
        <v>1506</v>
      </c>
      <c r="D74" s="99" t="s">
        <v>535</v>
      </c>
      <c r="E74" s="150" t="s">
        <v>5972</v>
      </c>
      <c r="F74" s="99" t="s">
        <v>171</v>
      </c>
      <c r="G74" s="99" t="s">
        <v>171</v>
      </c>
      <c r="H74" s="150" t="s">
        <v>5973</v>
      </c>
      <c r="I74" s="150" t="s">
        <v>5974</v>
      </c>
      <c r="J74" s="99" t="s">
        <v>4465</v>
      </c>
      <c r="K74" s="99" t="s">
        <v>4476</v>
      </c>
      <c r="L74" s="186" t="s">
        <v>4476</v>
      </c>
      <c r="M74" s="16" t="s">
        <v>5975</v>
      </c>
      <c r="N74" s="107" t="s">
        <v>5649</v>
      </c>
      <c r="O74" s="113" t="s">
        <v>94</v>
      </c>
      <c r="P74" s="16" t="s">
        <v>5949</v>
      </c>
      <c r="Q74" s="113" t="s">
        <v>5651</v>
      </c>
      <c r="R74" s="15" t="s">
        <v>5976</v>
      </c>
      <c r="S74" s="16" t="s">
        <v>5951</v>
      </c>
      <c r="T74" s="16" t="s">
        <v>5952</v>
      </c>
      <c r="U74" s="15">
        <v>10</v>
      </c>
      <c r="V74" s="15">
        <v>2014</v>
      </c>
      <c r="W74" s="15"/>
      <c r="X74" s="16"/>
      <c r="Y74" s="16"/>
      <c r="Z74" s="92"/>
    </row>
    <row r="75" spans="1:26" ht="16.5" customHeight="1" x14ac:dyDescent="0.2">
      <c r="A75" s="193">
        <v>73</v>
      </c>
      <c r="B75" s="193">
        <v>20646</v>
      </c>
      <c r="C75" s="99" t="s">
        <v>4515</v>
      </c>
      <c r="D75" s="99" t="s">
        <v>607</v>
      </c>
      <c r="E75" s="150" t="s">
        <v>5977</v>
      </c>
      <c r="F75" s="99" t="s">
        <v>1307</v>
      </c>
      <c r="G75" s="99" t="s">
        <v>726</v>
      </c>
      <c r="H75" s="150" t="s">
        <v>4516</v>
      </c>
      <c r="I75" s="150" t="s">
        <v>5978</v>
      </c>
      <c r="J75" s="99" t="s">
        <v>1307</v>
      </c>
      <c r="K75" s="99" t="s">
        <v>4518</v>
      </c>
      <c r="L75" s="186" t="s">
        <v>4519</v>
      </c>
      <c r="M75" s="16" t="s">
        <v>4517</v>
      </c>
      <c r="N75" s="107" t="s">
        <v>5979</v>
      </c>
      <c r="O75" s="113" t="s">
        <v>94</v>
      </c>
      <c r="P75" s="16" t="s">
        <v>5980</v>
      </c>
      <c r="Q75" s="113" t="s">
        <v>5651</v>
      </c>
      <c r="R75" s="15" t="s">
        <v>5981</v>
      </c>
      <c r="S75" s="16" t="s">
        <v>5982</v>
      </c>
      <c r="T75" s="16" t="s">
        <v>5983</v>
      </c>
      <c r="U75" s="15">
        <v>11</v>
      </c>
      <c r="V75" s="15">
        <v>2014</v>
      </c>
      <c r="W75" s="15"/>
      <c r="X75" s="16"/>
      <c r="Y75" s="16"/>
      <c r="Z75" s="92"/>
    </row>
    <row r="76" spans="1:26" ht="16.5" customHeight="1" x14ac:dyDescent="0.2">
      <c r="A76" s="193">
        <v>74</v>
      </c>
      <c r="B76" s="151">
        <v>20650</v>
      </c>
      <c r="C76" s="135" t="s">
        <v>691</v>
      </c>
      <c r="D76" s="135" t="s">
        <v>109</v>
      </c>
      <c r="E76" s="114" t="s">
        <v>5984</v>
      </c>
      <c r="F76" s="135" t="s">
        <v>365</v>
      </c>
      <c r="G76" s="135" t="s">
        <v>365</v>
      </c>
      <c r="H76" s="114" t="s">
        <v>4541</v>
      </c>
      <c r="I76" s="114" t="s">
        <v>5985</v>
      </c>
      <c r="J76" s="135" t="s">
        <v>4542</v>
      </c>
      <c r="K76" s="135" t="s">
        <v>4545</v>
      </c>
      <c r="L76" s="176" t="s">
        <v>4546</v>
      </c>
      <c r="M76" s="17" t="s">
        <v>4544</v>
      </c>
      <c r="N76" s="130" t="s">
        <v>5649</v>
      </c>
      <c r="O76" s="77" t="s">
        <v>94</v>
      </c>
      <c r="P76" s="17" t="s">
        <v>5650</v>
      </c>
      <c r="Q76" s="77" t="s">
        <v>5651</v>
      </c>
      <c r="R76" s="188" t="s">
        <v>5986</v>
      </c>
      <c r="S76" s="17" t="s">
        <v>5987</v>
      </c>
      <c r="T76" s="17" t="s">
        <v>5554</v>
      </c>
      <c r="U76" s="188">
        <v>11</v>
      </c>
      <c r="V76" s="188">
        <v>2014</v>
      </c>
      <c r="W76" s="188"/>
      <c r="X76" s="17"/>
      <c r="Y76" s="17"/>
      <c r="Z76" s="185" t="s">
        <v>5499</v>
      </c>
    </row>
    <row r="77" spans="1:26" ht="16.5" customHeight="1" x14ac:dyDescent="0.2">
      <c r="A77" s="193">
        <v>75</v>
      </c>
      <c r="B77" s="193">
        <v>20657</v>
      </c>
      <c r="C77" s="99" t="s">
        <v>4576</v>
      </c>
      <c r="D77" s="99" t="s">
        <v>2489</v>
      </c>
      <c r="E77" s="150" t="s">
        <v>5988</v>
      </c>
      <c r="F77" s="99" t="s">
        <v>2613</v>
      </c>
      <c r="G77" s="99" t="s">
        <v>1255</v>
      </c>
      <c r="H77" s="150" t="s">
        <v>4577</v>
      </c>
      <c r="I77" s="104" t="s">
        <v>5989</v>
      </c>
      <c r="J77" s="99" t="s">
        <v>3389</v>
      </c>
      <c r="K77" s="99" t="s">
        <v>5990</v>
      </c>
      <c r="L77" s="186" t="s">
        <v>4579</v>
      </c>
      <c r="M77" s="163" t="s">
        <v>4578</v>
      </c>
      <c r="N77" s="107" t="s">
        <v>5493</v>
      </c>
      <c r="O77" s="113" t="s">
        <v>94</v>
      </c>
      <c r="P77" s="16" t="s">
        <v>5991</v>
      </c>
      <c r="Q77" s="113" t="s">
        <v>5651</v>
      </c>
      <c r="R77" s="15" t="s">
        <v>5992</v>
      </c>
      <c r="S77" s="16" t="s">
        <v>5993</v>
      </c>
      <c r="T77" s="16" t="s">
        <v>5994</v>
      </c>
      <c r="U77" s="15">
        <v>10</v>
      </c>
      <c r="V77" s="15">
        <v>2014</v>
      </c>
      <c r="W77" s="15"/>
      <c r="X77" s="16"/>
      <c r="Y77" s="16"/>
      <c r="Z77" s="92"/>
    </row>
    <row r="78" spans="1:26" ht="16.5" customHeight="1" x14ac:dyDescent="0.2">
      <c r="A78" s="193">
        <v>76</v>
      </c>
      <c r="B78" s="193">
        <v>20659</v>
      </c>
      <c r="C78" s="99" t="s">
        <v>2436</v>
      </c>
      <c r="D78" s="99" t="s">
        <v>1792</v>
      </c>
      <c r="E78" s="150" t="s">
        <v>5995</v>
      </c>
      <c r="F78" s="99" t="s">
        <v>884</v>
      </c>
      <c r="G78" s="99" t="s">
        <v>726</v>
      </c>
      <c r="H78" s="150" t="s">
        <v>4587</v>
      </c>
      <c r="I78" s="150" t="s">
        <v>5996</v>
      </c>
      <c r="J78" s="99" t="s">
        <v>4588</v>
      </c>
      <c r="K78" s="99" t="s">
        <v>4592</v>
      </c>
      <c r="L78" s="186" t="s">
        <v>4593</v>
      </c>
      <c r="M78" s="16" t="s">
        <v>5997</v>
      </c>
      <c r="N78" s="107" t="s">
        <v>5493</v>
      </c>
      <c r="O78" s="113" t="s">
        <v>94</v>
      </c>
      <c r="P78" s="16" t="s">
        <v>5998</v>
      </c>
      <c r="Q78" s="113" t="s">
        <v>5651</v>
      </c>
      <c r="R78" s="15" t="s">
        <v>5999</v>
      </c>
      <c r="S78" s="16" t="s">
        <v>6000</v>
      </c>
      <c r="T78" s="16" t="s">
        <v>6001</v>
      </c>
      <c r="U78" s="15">
        <v>11</v>
      </c>
      <c r="V78" s="15">
        <v>2014</v>
      </c>
      <c r="W78" s="15"/>
      <c r="X78" s="16"/>
      <c r="Y78" s="16"/>
      <c r="Z78" s="92"/>
    </row>
    <row r="79" spans="1:26" ht="16.5" customHeight="1" x14ac:dyDescent="0.2">
      <c r="A79" s="193">
        <v>77</v>
      </c>
      <c r="B79" s="193">
        <v>20660</v>
      </c>
      <c r="C79" s="99" t="s">
        <v>4597</v>
      </c>
      <c r="D79" s="99" t="s">
        <v>1547</v>
      </c>
      <c r="E79" s="150" t="s">
        <v>6002</v>
      </c>
      <c r="F79" s="99" t="s">
        <v>1148</v>
      </c>
      <c r="G79" s="99" t="s">
        <v>1148</v>
      </c>
      <c r="H79" s="150" t="s">
        <v>4598</v>
      </c>
      <c r="I79" s="150" t="s">
        <v>6003</v>
      </c>
      <c r="J79" s="99" t="s">
        <v>6004</v>
      </c>
      <c r="K79" s="99" t="s">
        <v>6005</v>
      </c>
      <c r="L79" s="186" t="s">
        <v>6006</v>
      </c>
      <c r="M79" s="16" t="s">
        <v>4600</v>
      </c>
      <c r="N79" s="107" t="s">
        <v>5493</v>
      </c>
      <c r="O79" s="113" t="s">
        <v>94</v>
      </c>
      <c r="P79" s="16" t="s">
        <v>5998</v>
      </c>
      <c r="Q79" s="113" t="s">
        <v>5651</v>
      </c>
      <c r="R79" s="15" t="s">
        <v>6007</v>
      </c>
      <c r="S79" s="16" t="s">
        <v>6000</v>
      </c>
      <c r="T79" s="16" t="s">
        <v>6001</v>
      </c>
      <c r="U79" s="15">
        <v>11</v>
      </c>
      <c r="V79" s="15">
        <v>2014</v>
      </c>
      <c r="W79" s="15"/>
      <c r="X79" s="16"/>
      <c r="Y79" s="16"/>
      <c r="Z79" s="92"/>
    </row>
    <row r="80" spans="1:26" ht="16.5" customHeight="1" x14ac:dyDescent="0.2">
      <c r="A80" s="193">
        <v>78</v>
      </c>
      <c r="B80" s="193">
        <v>20661</v>
      </c>
      <c r="C80" s="99" t="s">
        <v>4605</v>
      </c>
      <c r="D80" s="99" t="s">
        <v>70</v>
      </c>
      <c r="E80" s="150" t="s">
        <v>6008</v>
      </c>
      <c r="F80" s="99" t="s">
        <v>5597</v>
      </c>
      <c r="G80" s="63" t="s">
        <v>856</v>
      </c>
      <c r="H80" s="104" t="s">
        <v>4606</v>
      </c>
      <c r="I80" s="104" t="s">
        <v>6009</v>
      </c>
      <c r="J80" s="63" t="s">
        <v>6010</v>
      </c>
      <c r="K80" s="63" t="s">
        <v>6011</v>
      </c>
      <c r="L80" s="35" t="s">
        <v>6012</v>
      </c>
      <c r="M80" s="16" t="s">
        <v>4608</v>
      </c>
      <c r="N80" s="107" t="s">
        <v>5493</v>
      </c>
      <c r="O80" s="113" t="s">
        <v>94</v>
      </c>
      <c r="P80" s="16" t="s">
        <v>5998</v>
      </c>
      <c r="Q80" s="113" t="s">
        <v>5651</v>
      </c>
      <c r="R80" s="15" t="s">
        <v>6013</v>
      </c>
      <c r="S80" s="16" t="s">
        <v>6014</v>
      </c>
      <c r="T80" s="16" t="s">
        <v>6015</v>
      </c>
      <c r="U80" s="15">
        <v>11</v>
      </c>
      <c r="V80" s="15">
        <v>2014</v>
      </c>
      <c r="W80" s="15"/>
      <c r="X80" s="16"/>
      <c r="Y80" s="16"/>
      <c r="Z80" s="92"/>
    </row>
    <row r="81" spans="1:26" ht="16.5" customHeight="1" x14ac:dyDescent="0.2">
      <c r="A81" s="193">
        <v>79</v>
      </c>
      <c r="B81" s="193">
        <v>20674</v>
      </c>
      <c r="C81" s="99" t="s">
        <v>801</v>
      </c>
      <c r="D81" s="99" t="s">
        <v>667</v>
      </c>
      <c r="E81" s="150" t="s">
        <v>6016</v>
      </c>
      <c r="F81" s="99" t="s">
        <v>726</v>
      </c>
      <c r="G81" s="99" t="s">
        <v>726</v>
      </c>
      <c r="H81" s="150" t="s">
        <v>4686</v>
      </c>
      <c r="I81" s="150" t="s">
        <v>6017</v>
      </c>
      <c r="J81" s="99" t="s">
        <v>4687</v>
      </c>
      <c r="K81" s="99" t="s">
        <v>6018</v>
      </c>
      <c r="L81" s="186" t="s">
        <v>4692</v>
      </c>
      <c r="M81" s="16" t="s">
        <v>4690</v>
      </c>
      <c r="N81" s="107" t="s">
        <v>5649</v>
      </c>
      <c r="O81" s="113" t="s">
        <v>94</v>
      </c>
      <c r="P81" s="16" t="s">
        <v>5531</v>
      </c>
      <c r="Q81" s="113" t="s">
        <v>5651</v>
      </c>
      <c r="R81" s="15" t="s">
        <v>6019</v>
      </c>
      <c r="S81" s="16" t="s">
        <v>5987</v>
      </c>
      <c r="T81" s="16" t="s">
        <v>5554</v>
      </c>
      <c r="U81" s="15">
        <v>11</v>
      </c>
      <c r="V81" s="15">
        <v>2014</v>
      </c>
      <c r="W81" s="15"/>
      <c r="X81" s="16"/>
      <c r="Y81" s="16"/>
      <c r="Z81" s="92"/>
    </row>
    <row r="82" spans="1:26" ht="16.5" customHeight="1" x14ac:dyDescent="0.2">
      <c r="A82" s="193">
        <v>80</v>
      </c>
      <c r="B82" s="193">
        <v>20675</v>
      </c>
      <c r="C82" s="99" t="s">
        <v>2870</v>
      </c>
      <c r="D82" s="99" t="s">
        <v>191</v>
      </c>
      <c r="E82" s="104" t="s">
        <v>6020</v>
      </c>
      <c r="F82" s="99" t="s">
        <v>1148</v>
      </c>
      <c r="G82" s="99" t="s">
        <v>1148</v>
      </c>
      <c r="H82" s="150" t="s">
        <v>4695</v>
      </c>
      <c r="I82" s="150" t="s">
        <v>6021</v>
      </c>
      <c r="J82" s="99" t="s">
        <v>4696</v>
      </c>
      <c r="K82" s="99" t="s">
        <v>4699</v>
      </c>
      <c r="L82" s="186" t="s">
        <v>4700</v>
      </c>
      <c r="M82" s="16" t="s">
        <v>4698</v>
      </c>
      <c r="N82" s="107" t="s">
        <v>458</v>
      </c>
      <c r="O82" s="113" t="s">
        <v>94</v>
      </c>
      <c r="P82" s="16" t="s">
        <v>6022</v>
      </c>
      <c r="Q82" s="113" t="s">
        <v>5651</v>
      </c>
      <c r="R82" s="15" t="s">
        <v>6023</v>
      </c>
      <c r="S82" s="16" t="s">
        <v>6024</v>
      </c>
      <c r="T82" s="16" t="s">
        <v>6025</v>
      </c>
      <c r="U82" s="15">
        <v>12</v>
      </c>
      <c r="V82" s="15">
        <v>2013</v>
      </c>
      <c r="W82" s="15"/>
      <c r="X82" s="16"/>
      <c r="Y82" s="16"/>
      <c r="Z82" s="92"/>
    </row>
    <row r="83" spans="1:26" ht="16.5" customHeight="1" x14ac:dyDescent="0.2">
      <c r="A83" s="193">
        <v>81</v>
      </c>
      <c r="B83" s="151">
        <v>20676</v>
      </c>
      <c r="C83" s="135" t="s">
        <v>2705</v>
      </c>
      <c r="D83" s="135" t="s">
        <v>287</v>
      </c>
      <c r="E83" s="114" t="s">
        <v>6026</v>
      </c>
      <c r="F83" s="135" t="s">
        <v>6027</v>
      </c>
      <c r="G83" s="135" t="s">
        <v>3004</v>
      </c>
      <c r="H83" s="114" t="s">
        <v>4703</v>
      </c>
      <c r="I83" s="114" t="s">
        <v>6028</v>
      </c>
      <c r="J83" s="135" t="s">
        <v>4704</v>
      </c>
      <c r="K83" s="135" t="s">
        <v>4708</v>
      </c>
      <c r="L83" s="176" t="s">
        <v>4709</v>
      </c>
      <c r="M83" s="17" t="s">
        <v>4707</v>
      </c>
      <c r="N83" s="130" t="s">
        <v>6029</v>
      </c>
      <c r="O83" s="77" t="s">
        <v>94</v>
      </c>
      <c r="P83" s="17" t="s">
        <v>6022</v>
      </c>
      <c r="Q83" s="77" t="s">
        <v>5651</v>
      </c>
      <c r="R83" s="188"/>
      <c r="S83" s="17" t="s">
        <v>6024</v>
      </c>
      <c r="T83" s="17" t="s">
        <v>6030</v>
      </c>
      <c r="U83" s="188">
        <v>12</v>
      </c>
      <c r="V83" s="188">
        <v>2014</v>
      </c>
      <c r="W83" s="188"/>
      <c r="X83" s="17"/>
      <c r="Y83" s="17"/>
      <c r="Z83" s="185" t="s">
        <v>5513</v>
      </c>
    </row>
    <row r="84" spans="1:26" ht="16.5" customHeight="1" x14ac:dyDescent="0.2">
      <c r="A84" s="193">
        <v>82</v>
      </c>
      <c r="B84" s="151">
        <v>20681</v>
      </c>
      <c r="C84" s="135" t="s">
        <v>4734</v>
      </c>
      <c r="D84" s="135" t="s">
        <v>1428</v>
      </c>
      <c r="E84" s="114" t="s">
        <v>6031</v>
      </c>
      <c r="F84" s="135" t="s">
        <v>824</v>
      </c>
      <c r="G84" s="135" t="s">
        <v>1103</v>
      </c>
      <c r="H84" s="114" t="s">
        <v>4735</v>
      </c>
      <c r="I84" s="114" t="s">
        <v>6032</v>
      </c>
      <c r="J84" s="135" t="s">
        <v>4736</v>
      </c>
      <c r="K84" s="135" t="s">
        <v>6033</v>
      </c>
      <c r="L84" s="176" t="s">
        <v>4739</v>
      </c>
      <c r="M84" s="17" t="s">
        <v>6034</v>
      </c>
      <c r="N84" s="130" t="s">
        <v>5493</v>
      </c>
      <c r="O84" s="77" t="s">
        <v>94</v>
      </c>
      <c r="P84" s="17" t="s">
        <v>6035</v>
      </c>
      <c r="Q84" s="77" t="s">
        <v>5651</v>
      </c>
      <c r="R84" s="188"/>
      <c r="S84" s="17" t="s">
        <v>6036</v>
      </c>
      <c r="T84" s="17" t="s">
        <v>6037</v>
      </c>
      <c r="U84" s="188">
        <v>1</v>
      </c>
      <c r="V84" s="188">
        <v>2015</v>
      </c>
      <c r="W84" s="188"/>
      <c r="X84" s="17"/>
      <c r="Y84" s="17"/>
      <c r="Z84" s="185" t="s">
        <v>5513</v>
      </c>
    </row>
    <row r="85" spans="1:26" ht="16.5" customHeight="1" x14ac:dyDescent="0.2">
      <c r="A85" s="193">
        <v>83</v>
      </c>
      <c r="B85" s="151">
        <v>20683</v>
      </c>
      <c r="C85" s="135" t="s">
        <v>587</v>
      </c>
      <c r="D85" s="135" t="s">
        <v>4749</v>
      </c>
      <c r="E85" s="114" t="s">
        <v>6038</v>
      </c>
      <c r="F85" s="135" t="s">
        <v>1255</v>
      </c>
      <c r="G85" s="135" t="s">
        <v>1255</v>
      </c>
      <c r="H85" s="114" t="s">
        <v>4750</v>
      </c>
      <c r="I85" s="114" t="s">
        <v>6039</v>
      </c>
      <c r="J85" s="135" t="s">
        <v>1795</v>
      </c>
      <c r="K85" s="135" t="s">
        <v>4753</v>
      </c>
      <c r="L85" s="176" t="s">
        <v>4754</v>
      </c>
      <c r="M85" s="17" t="s">
        <v>4752</v>
      </c>
      <c r="N85" s="130" t="s">
        <v>5493</v>
      </c>
      <c r="O85" s="77" t="s">
        <v>94</v>
      </c>
      <c r="P85" s="17" t="s">
        <v>6035</v>
      </c>
      <c r="Q85" s="77" t="s">
        <v>5651</v>
      </c>
      <c r="R85" s="188"/>
      <c r="S85" s="17" t="s">
        <v>6036</v>
      </c>
      <c r="T85" s="17" t="s">
        <v>6037</v>
      </c>
      <c r="U85" s="188">
        <v>1</v>
      </c>
      <c r="V85" s="188">
        <v>2015</v>
      </c>
      <c r="W85" s="188"/>
      <c r="X85" s="17"/>
      <c r="Y85" s="17"/>
      <c r="Z85" s="185" t="s">
        <v>5513</v>
      </c>
    </row>
    <row r="86" spans="1:26" ht="16.5" customHeight="1" x14ac:dyDescent="0.2">
      <c r="A86" s="193">
        <v>84</v>
      </c>
      <c r="B86" s="151">
        <v>20684</v>
      </c>
      <c r="C86" s="135" t="s">
        <v>265</v>
      </c>
      <c r="D86" s="135" t="s">
        <v>535</v>
      </c>
      <c r="E86" s="114" t="s">
        <v>6040</v>
      </c>
      <c r="F86" s="135" t="s">
        <v>1255</v>
      </c>
      <c r="G86" s="135" t="s">
        <v>1255</v>
      </c>
      <c r="H86" s="114" t="s">
        <v>4757</v>
      </c>
      <c r="I86" s="114" t="s">
        <v>6041</v>
      </c>
      <c r="J86" s="135" t="s">
        <v>1795</v>
      </c>
      <c r="K86" s="135" t="s">
        <v>6042</v>
      </c>
      <c r="L86" s="176" t="s">
        <v>4762</v>
      </c>
      <c r="M86" s="17" t="s">
        <v>4760</v>
      </c>
      <c r="N86" s="130" t="s">
        <v>5493</v>
      </c>
      <c r="O86" s="77" t="s">
        <v>94</v>
      </c>
      <c r="P86" s="17" t="s">
        <v>6035</v>
      </c>
      <c r="Q86" s="77" t="s">
        <v>5651</v>
      </c>
      <c r="R86" s="188" t="s">
        <v>6043</v>
      </c>
      <c r="S86" s="17" t="s">
        <v>6036</v>
      </c>
      <c r="T86" s="17" t="s">
        <v>6037</v>
      </c>
      <c r="U86" s="188">
        <v>1</v>
      </c>
      <c r="V86" s="188">
        <v>2015</v>
      </c>
      <c r="W86" s="188"/>
      <c r="X86" s="17"/>
      <c r="Y86" s="17"/>
      <c r="Z86" s="185" t="s">
        <v>5513</v>
      </c>
    </row>
    <row r="87" spans="1:26" ht="16.5" customHeight="1" x14ac:dyDescent="0.2">
      <c r="A87" s="193">
        <v>85</v>
      </c>
      <c r="B87" s="151">
        <v>20689</v>
      </c>
      <c r="C87" s="135" t="s">
        <v>1337</v>
      </c>
      <c r="D87" s="135" t="s">
        <v>607</v>
      </c>
      <c r="E87" s="114" t="s">
        <v>6044</v>
      </c>
      <c r="F87" s="135" t="s">
        <v>1045</v>
      </c>
      <c r="G87" s="135" t="s">
        <v>1045</v>
      </c>
      <c r="H87" s="114" t="s">
        <v>4793</v>
      </c>
      <c r="I87" s="114" t="s">
        <v>6045</v>
      </c>
      <c r="J87" s="135" t="s">
        <v>4794</v>
      </c>
      <c r="K87" s="135" t="s">
        <v>6046</v>
      </c>
      <c r="L87" s="176" t="s">
        <v>4797</v>
      </c>
      <c r="M87" s="17" t="s">
        <v>4795</v>
      </c>
      <c r="N87" s="130" t="s">
        <v>5493</v>
      </c>
      <c r="O87" s="77" t="s">
        <v>94</v>
      </c>
      <c r="P87" s="17" t="s">
        <v>6047</v>
      </c>
      <c r="Q87" s="77" t="s">
        <v>5651</v>
      </c>
      <c r="R87" s="188"/>
      <c r="S87" s="17" t="s">
        <v>6036</v>
      </c>
      <c r="T87" s="17" t="s">
        <v>6037</v>
      </c>
      <c r="U87" s="188">
        <v>1</v>
      </c>
      <c r="V87" s="188">
        <v>2015</v>
      </c>
      <c r="W87" s="188"/>
      <c r="X87" s="17"/>
      <c r="Y87" s="17"/>
      <c r="Z87" s="185" t="s">
        <v>5513</v>
      </c>
    </row>
    <row r="88" spans="1:26" ht="16.5" customHeight="1" x14ac:dyDescent="0.2">
      <c r="A88" s="193">
        <v>86</v>
      </c>
      <c r="B88" s="193">
        <v>20697</v>
      </c>
      <c r="C88" s="99" t="s">
        <v>3784</v>
      </c>
      <c r="D88" s="99" t="s">
        <v>685</v>
      </c>
      <c r="E88" s="150" t="s">
        <v>6048</v>
      </c>
      <c r="F88" s="99" t="s">
        <v>52</v>
      </c>
      <c r="G88" s="99" t="s">
        <v>303</v>
      </c>
      <c r="H88" s="150" t="s">
        <v>4841</v>
      </c>
      <c r="I88" s="150" t="s">
        <v>6049</v>
      </c>
      <c r="J88" s="99" t="s">
        <v>3389</v>
      </c>
      <c r="K88" s="99" t="s">
        <v>6050</v>
      </c>
      <c r="L88" s="186" t="s">
        <v>4845</v>
      </c>
      <c r="M88" s="16" t="s">
        <v>4843</v>
      </c>
      <c r="N88" s="107" t="s">
        <v>5649</v>
      </c>
      <c r="O88" s="113" t="s">
        <v>94</v>
      </c>
      <c r="P88" s="16" t="s">
        <v>6051</v>
      </c>
      <c r="Q88" s="113" t="s">
        <v>2322</v>
      </c>
      <c r="R88" s="15"/>
      <c r="S88" s="16" t="s">
        <v>6051</v>
      </c>
      <c r="T88" s="16" t="s">
        <v>5799</v>
      </c>
      <c r="U88" s="15">
        <v>1</v>
      </c>
      <c r="V88" s="15">
        <v>2014</v>
      </c>
      <c r="W88" s="15"/>
      <c r="X88" s="16"/>
      <c r="Y88" s="16"/>
      <c r="Z88" s="92"/>
    </row>
    <row r="89" spans="1:26" ht="16.5" customHeight="1" x14ac:dyDescent="0.2">
      <c r="A89" s="193">
        <v>87</v>
      </c>
      <c r="B89" s="193">
        <v>20705</v>
      </c>
      <c r="C89" s="99" t="s">
        <v>587</v>
      </c>
      <c r="D89" s="99" t="s">
        <v>643</v>
      </c>
      <c r="E89" s="150" t="s">
        <v>6052</v>
      </c>
      <c r="F89" s="99" t="s">
        <v>1103</v>
      </c>
      <c r="G89" s="99" t="s">
        <v>1103</v>
      </c>
      <c r="H89" s="150" t="s">
        <v>4887</v>
      </c>
      <c r="I89" s="150" t="s">
        <v>6053</v>
      </c>
      <c r="J89" s="99" t="s">
        <v>4888</v>
      </c>
      <c r="K89" s="99" t="s">
        <v>6054</v>
      </c>
      <c r="L89" s="186" t="s">
        <v>4894</v>
      </c>
      <c r="M89" s="16" t="s">
        <v>4892</v>
      </c>
      <c r="N89" s="107" t="s">
        <v>6055</v>
      </c>
      <c r="O89" s="113" t="s">
        <v>51</v>
      </c>
      <c r="P89" s="16" t="s">
        <v>6056</v>
      </c>
      <c r="Q89" s="113" t="s">
        <v>2322</v>
      </c>
      <c r="R89" s="15"/>
      <c r="S89" s="16" t="s">
        <v>6056</v>
      </c>
      <c r="T89" s="16" t="s">
        <v>6057</v>
      </c>
      <c r="U89" s="15">
        <v>1</v>
      </c>
      <c r="V89" s="15">
        <v>2014</v>
      </c>
      <c r="W89" s="15"/>
      <c r="X89" s="16"/>
      <c r="Y89" s="16"/>
      <c r="Z89" s="92"/>
    </row>
    <row r="90" spans="1:26" ht="16.5" customHeight="1" x14ac:dyDescent="0.2">
      <c r="A90" s="193">
        <v>88</v>
      </c>
      <c r="B90" s="193">
        <v>20714</v>
      </c>
      <c r="C90" s="99" t="s">
        <v>4940</v>
      </c>
      <c r="D90" s="99" t="s">
        <v>939</v>
      </c>
      <c r="E90" s="104" t="s">
        <v>6058</v>
      </c>
      <c r="F90" s="99" t="s">
        <v>884</v>
      </c>
      <c r="G90" s="99" t="s">
        <v>6059</v>
      </c>
      <c r="H90" s="150" t="s">
        <v>4941</v>
      </c>
      <c r="I90" s="150" t="s">
        <v>6060</v>
      </c>
      <c r="J90" s="99" t="s">
        <v>4942</v>
      </c>
      <c r="K90" s="99" t="s">
        <v>6061</v>
      </c>
      <c r="L90" s="186" t="s">
        <v>4946</v>
      </c>
      <c r="M90" s="16" t="s">
        <v>4944</v>
      </c>
      <c r="N90" s="107" t="s">
        <v>5649</v>
      </c>
      <c r="O90" s="113" t="s">
        <v>94</v>
      </c>
      <c r="P90" s="16" t="s">
        <v>6062</v>
      </c>
      <c r="Q90" s="113" t="s">
        <v>2322</v>
      </c>
      <c r="R90" s="15"/>
      <c r="S90" s="16" t="s">
        <v>6062</v>
      </c>
      <c r="T90" s="16" t="s">
        <v>6063</v>
      </c>
      <c r="U90" s="15">
        <v>2</v>
      </c>
      <c r="V90" s="15">
        <v>2014</v>
      </c>
      <c r="W90" s="15"/>
      <c r="X90" s="16"/>
      <c r="Y90" s="16"/>
      <c r="Z90" s="92"/>
    </row>
    <row r="91" spans="1:26" ht="16.5" customHeight="1" x14ac:dyDescent="0.2">
      <c r="A91" s="193">
        <v>89</v>
      </c>
      <c r="B91" s="193">
        <v>20715</v>
      </c>
      <c r="C91" s="99" t="s">
        <v>4947</v>
      </c>
      <c r="D91" s="99" t="s">
        <v>778</v>
      </c>
      <c r="E91" s="104" t="s">
        <v>6064</v>
      </c>
      <c r="F91" s="99" t="s">
        <v>1878</v>
      </c>
      <c r="G91" s="99" t="s">
        <v>6065</v>
      </c>
      <c r="H91" s="150" t="s">
        <v>4948</v>
      </c>
      <c r="I91" s="150" t="s">
        <v>6066</v>
      </c>
      <c r="J91" s="99" t="s">
        <v>3389</v>
      </c>
      <c r="K91" s="99" t="s">
        <v>6067</v>
      </c>
      <c r="L91" s="186" t="s">
        <v>4955</v>
      </c>
      <c r="M91" s="16" t="s">
        <v>4953</v>
      </c>
      <c r="N91" s="107" t="s">
        <v>5649</v>
      </c>
      <c r="O91" s="113" t="s">
        <v>94</v>
      </c>
      <c r="P91" s="16" t="s">
        <v>6062</v>
      </c>
      <c r="Q91" s="113" t="s">
        <v>2322</v>
      </c>
      <c r="R91" s="15"/>
      <c r="S91" s="16" t="s">
        <v>6062</v>
      </c>
      <c r="T91" s="16" t="s">
        <v>6063</v>
      </c>
      <c r="U91" s="15">
        <v>2</v>
      </c>
      <c r="V91" s="15">
        <v>2014</v>
      </c>
      <c r="W91" s="15"/>
      <c r="X91" s="16"/>
      <c r="Y91" s="16"/>
      <c r="Z91" s="92"/>
    </row>
    <row r="92" spans="1:26" ht="16.5" customHeight="1" x14ac:dyDescent="0.2">
      <c r="A92" s="193">
        <v>90</v>
      </c>
      <c r="B92" s="193">
        <v>20720</v>
      </c>
      <c r="C92" s="99" t="s">
        <v>4982</v>
      </c>
      <c r="D92" s="99" t="s">
        <v>160</v>
      </c>
      <c r="E92" s="150" t="s">
        <v>6068</v>
      </c>
      <c r="F92" s="99" t="s">
        <v>1878</v>
      </c>
      <c r="G92" s="99" t="s">
        <v>6069</v>
      </c>
      <c r="H92" s="150" t="s">
        <v>4983</v>
      </c>
      <c r="I92" s="150" t="s">
        <v>6070</v>
      </c>
      <c r="J92" s="99" t="s">
        <v>3389</v>
      </c>
      <c r="K92" s="99" t="s">
        <v>6071</v>
      </c>
      <c r="L92" s="99" t="s">
        <v>6072</v>
      </c>
      <c r="M92" s="5" t="s">
        <v>4986</v>
      </c>
      <c r="N92" s="107" t="s">
        <v>5493</v>
      </c>
      <c r="O92" s="113" t="s">
        <v>94</v>
      </c>
      <c r="P92" s="16" t="s">
        <v>6073</v>
      </c>
      <c r="Q92" s="113" t="s">
        <v>2322</v>
      </c>
      <c r="R92" s="15"/>
      <c r="S92" s="16" t="s">
        <v>6073</v>
      </c>
      <c r="T92" s="16" t="s">
        <v>6074</v>
      </c>
      <c r="U92" s="15">
        <v>3</v>
      </c>
      <c r="V92" s="15">
        <v>2014</v>
      </c>
      <c r="W92" s="15"/>
      <c r="X92" s="16"/>
      <c r="Y92" s="16"/>
      <c r="Z92" s="92"/>
    </row>
    <row r="93" spans="1:26" ht="16.5" customHeight="1" x14ac:dyDescent="0.2">
      <c r="A93" s="193">
        <v>91</v>
      </c>
      <c r="B93" s="193">
        <v>20722</v>
      </c>
      <c r="C93" s="99" t="s">
        <v>4994</v>
      </c>
      <c r="D93" s="99" t="s">
        <v>4995</v>
      </c>
      <c r="E93" s="150" t="s">
        <v>6075</v>
      </c>
      <c r="F93" s="99" t="s">
        <v>1878</v>
      </c>
      <c r="G93" s="99" t="s">
        <v>2613</v>
      </c>
      <c r="H93" s="150" t="s">
        <v>4996</v>
      </c>
      <c r="I93" s="150" t="s">
        <v>6076</v>
      </c>
      <c r="J93" s="99" t="s">
        <v>4997</v>
      </c>
      <c r="K93" s="99" t="s">
        <v>6077</v>
      </c>
      <c r="L93" s="99" t="s">
        <v>5000</v>
      </c>
      <c r="M93" s="186" t="s">
        <v>6078</v>
      </c>
      <c r="N93" s="107" t="s">
        <v>6079</v>
      </c>
      <c r="O93" s="113" t="s">
        <v>51</v>
      </c>
      <c r="P93" s="16" t="s">
        <v>6080</v>
      </c>
      <c r="Q93" s="113" t="s">
        <v>2322</v>
      </c>
      <c r="R93" s="15"/>
      <c r="S93" s="16" t="s">
        <v>6080</v>
      </c>
      <c r="T93" s="16" t="s">
        <v>6081</v>
      </c>
      <c r="U93" s="15">
        <v>2</v>
      </c>
      <c r="V93" s="15">
        <v>2014</v>
      </c>
      <c r="W93" s="15"/>
      <c r="X93" s="16"/>
      <c r="Y93" s="16"/>
      <c r="Z93" s="92"/>
    </row>
    <row r="94" spans="1:26" ht="16.5" customHeight="1" x14ac:dyDescent="0.2">
      <c r="A94" s="193">
        <v>92</v>
      </c>
      <c r="B94" s="193"/>
      <c r="C94" s="149" t="s">
        <v>5118</v>
      </c>
      <c r="D94" s="149" t="s">
        <v>256</v>
      </c>
      <c r="E94" s="150"/>
      <c r="F94" s="99"/>
      <c r="G94" s="99"/>
      <c r="H94" s="150"/>
      <c r="I94" s="150"/>
      <c r="J94" s="99"/>
      <c r="K94" s="99"/>
      <c r="L94" s="186"/>
      <c r="M94" s="16"/>
      <c r="N94" s="107"/>
      <c r="O94" s="113"/>
      <c r="P94" s="16"/>
      <c r="Q94" s="113"/>
      <c r="R94" s="15"/>
      <c r="S94" s="16"/>
      <c r="T94" s="16"/>
      <c r="U94" s="15"/>
      <c r="V94" s="15"/>
      <c r="W94" s="15"/>
      <c r="X94" s="16"/>
      <c r="Y94" s="16"/>
      <c r="Z94" s="85"/>
    </row>
    <row r="95" spans="1:26" ht="16.5" customHeight="1" x14ac:dyDescent="0.2">
      <c r="A95" s="193">
        <v>93</v>
      </c>
      <c r="B95" s="193"/>
      <c r="C95" s="149" t="s">
        <v>1862</v>
      </c>
      <c r="D95" s="149" t="s">
        <v>685</v>
      </c>
      <c r="E95" s="150"/>
      <c r="F95" s="99"/>
      <c r="G95" s="99"/>
      <c r="H95" s="150"/>
      <c r="I95" s="150"/>
      <c r="J95" s="99"/>
      <c r="K95" s="99"/>
      <c r="L95" s="186"/>
      <c r="M95" s="16"/>
      <c r="N95" s="15"/>
      <c r="O95" s="15"/>
      <c r="P95" s="16"/>
      <c r="Q95" s="113"/>
      <c r="R95" s="113"/>
      <c r="S95" s="89"/>
      <c r="T95" s="89"/>
      <c r="U95" s="113"/>
      <c r="V95" s="113"/>
      <c r="W95" s="113"/>
      <c r="X95" s="89"/>
      <c r="Y95" s="89"/>
      <c r="Z95" s="85"/>
    </row>
    <row r="96" spans="1:26" ht="16.5" customHeight="1" x14ac:dyDescent="0.2">
      <c r="A96" s="193">
        <v>94</v>
      </c>
      <c r="B96" s="193"/>
      <c r="C96" s="149" t="s">
        <v>5139</v>
      </c>
      <c r="D96" s="149" t="s">
        <v>93</v>
      </c>
      <c r="E96" s="150"/>
      <c r="F96" s="99"/>
      <c r="G96" s="99"/>
      <c r="H96" s="150"/>
      <c r="I96" s="150"/>
      <c r="J96" s="99"/>
      <c r="K96" s="99"/>
      <c r="L96" s="186"/>
      <c r="M96" s="16"/>
      <c r="N96" s="15"/>
      <c r="O96" s="15"/>
      <c r="P96" s="16"/>
      <c r="Q96" s="113"/>
      <c r="R96" s="113"/>
      <c r="S96" s="89"/>
      <c r="T96" s="89"/>
      <c r="U96" s="113"/>
      <c r="V96" s="113"/>
      <c r="W96" s="113"/>
      <c r="X96" s="89"/>
      <c r="Y96" s="89"/>
      <c r="Z96" s="85"/>
    </row>
    <row r="97" spans="1:26" ht="16.5" customHeight="1" x14ac:dyDescent="0.2">
      <c r="A97" s="193"/>
      <c r="B97" s="175"/>
      <c r="C97" s="111"/>
      <c r="D97" s="111"/>
      <c r="E97" s="9"/>
      <c r="F97" s="111"/>
      <c r="G97" s="111"/>
      <c r="H97" s="9"/>
      <c r="I97" s="9"/>
      <c r="J97" s="111"/>
      <c r="K97" s="111"/>
      <c r="L97" s="187"/>
      <c r="M97" s="16"/>
      <c r="N97" s="15"/>
      <c r="O97" s="15"/>
      <c r="P97" s="16"/>
      <c r="Q97" s="174"/>
      <c r="R97" s="174"/>
      <c r="S97" s="59"/>
      <c r="T97" s="59"/>
      <c r="U97" s="174"/>
      <c r="V97" s="174"/>
      <c r="W97" s="174"/>
      <c r="X97" s="59"/>
      <c r="Y97" s="59"/>
      <c r="Z97" s="92"/>
    </row>
    <row r="98" spans="1:26" ht="16.5" customHeight="1" x14ac:dyDescent="0.2">
      <c r="A98" s="193"/>
      <c r="B98" s="175"/>
      <c r="C98" s="111"/>
      <c r="D98" s="111"/>
      <c r="E98" s="9"/>
      <c r="F98" s="111"/>
      <c r="G98" s="111"/>
      <c r="H98" s="9"/>
      <c r="I98" s="9"/>
      <c r="J98" s="111"/>
      <c r="K98" s="111"/>
      <c r="L98" s="187"/>
      <c r="M98" s="16"/>
      <c r="N98" s="15"/>
      <c r="O98" s="15"/>
      <c r="P98" s="16"/>
      <c r="Q98" s="174"/>
      <c r="R98" s="174"/>
      <c r="S98" s="59"/>
      <c r="T98" s="59"/>
      <c r="U98" s="174"/>
      <c r="V98" s="174"/>
      <c r="W98" s="174"/>
      <c r="X98" s="59"/>
      <c r="Y98" s="59"/>
      <c r="Z98" s="92"/>
    </row>
    <row r="99" spans="1:26" ht="16.5" customHeight="1" x14ac:dyDescent="0.2">
      <c r="A99" s="193"/>
      <c r="B99" s="175"/>
      <c r="C99" s="111"/>
      <c r="D99" s="111"/>
      <c r="E99" s="9"/>
      <c r="F99" s="111"/>
      <c r="G99" s="111"/>
      <c r="H99" s="9"/>
      <c r="I99" s="9"/>
      <c r="J99" s="111"/>
      <c r="K99" s="111"/>
      <c r="L99" s="187"/>
      <c r="M99" s="16"/>
      <c r="N99" s="15"/>
      <c r="O99" s="15"/>
      <c r="P99" s="16"/>
      <c r="Q99" s="174"/>
      <c r="R99" s="174"/>
      <c r="S99" s="59"/>
      <c r="T99" s="59"/>
      <c r="U99" s="174"/>
      <c r="V99" s="174"/>
      <c r="W99" s="174"/>
      <c r="X99" s="59"/>
      <c r="Y99" s="59"/>
      <c r="Z99" s="92"/>
    </row>
    <row r="100" spans="1:26" ht="16.5" customHeight="1" x14ac:dyDescent="0.2">
      <c r="A100" s="193"/>
      <c r="B100" s="175"/>
      <c r="C100" s="111"/>
      <c r="D100" s="111"/>
      <c r="E100" s="9"/>
      <c r="F100" s="111"/>
      <c r="G100" s="111"/>
      <c r="H100" s="9"/>
      <c r="I100" s="9"/>
      <c r="J100" s="111"/>
      <c r="K100" s="111"/>
      <c r="L100" s="187"/>
      <c r="M100" s="16"/>
      <c r="N100" s="15"/>
      <c r="O100" s="15"/>
      <c r="P100" s="16"/>
      <c r="Q100" s="174"/>
      <c r="R100" s="174"/>
      <c r="S100" s="59"/>
      <c r="T100" s="59"/>
      <c r="U100" s="174"/>
      <c r="V100" s="174"/>
      <c r="W100" s="174"/>
      <c r="X100" s="59"/>
      <c r="Y100" s="59"/>
      <c r="Z100" s="92"/>
    </row>
    <row r="101" spans="1:26" ht="16.5" customHeight="1" x14ac:dyDescent="0.2">
      <c r="A101" s="193"/>
      <c r="B101" s="175"/>
      <c r="C101" s="111"/>
      <c r="D101" s="111"/>
      <c r="E101" s="9"/>
      <c r="F101" s="111"/>
      <c r="G101" s="111"/>
      <c r="H101" s="9"/>
      <c r="I101" s="9"/>
      <c r="J101" s="111"/>
      <c r="K101" s="111"/>
      <c r="L101" s="187"/>
      <c r="M101" s="16"/>
      <c r="N101" s="15"/>
      <c r="O101" s="15"/>
      <c r="P101" s="16"/>
      <c r="Q101" s="174"/>
      <c r="R101" s="174"/>
      <c r="S101" s="59"/>
      <c r="T101" s="59"/>
      <c r="U101" s="174"/>
      <c r="V101" s="174"/>
      <c r="W101" s="174"/>
      <c r="X101" s="59"/>
      <c r="Y101" s="59"/>
      <c r="Z101" s="92"/>
    </row>
    <row r="102" spans="1:26" ht="16.5" customHeight="1" x14ac:dyDescent="0.2">
      <c r="A102" s="193"/>
      <c r="B102" s="175"/>
      <c r="C102" s="111"/>
      <c r="D102" s="111"/>
      <c r="E102" s="9"/>
      <c r="F102" s="111"/>
      <c r="G102" s="111"/>
      <c r="H102" s="9"/>
      <c r="I102" s="9"/>
      <c r="J102" s="111"/>
      <c r="K102" s="111"/>
      <c r="L102" s="187"/>
      <c r="M102" s="16"/>
      <c r="N102" s="15"/>
      <c r="O102" s="15"/>
      <c r="P102" s="16"/>
      <c r="Q102" s="174"/>
      <c r="R102" s="174"/>
      <c r="S102" s="59"/>
      <c r="T102" s="59"/>
      <c r="U102" s="174"/>
      <c r="V102" s="174"/>
      <c r="W102" s="174"/>
      <c r="X102" s="59"/>
      <c r="Y102" s="59"/>
      <c r="Z102" s="92"/>
    </row>
    <row r="103" spans="1:26" ht="16.5" customHeight="1" x14ac:dyDescent="0.2">
      <c r="A103" s="193"/>
      <c r="B103" s="175"/>
      <c r="C103" s="111"/>
      <c r="D103" s="111"/>
      <c r="E103" s="9"/>
      <c r="F103" s="111"/>
      <c r="G103" s="111"/>
      <c r="H103" s="9"/>
      <c r="I103" s="9"/>
      <c r="J103" s="111"/>
      <c r="K103" s="111"/>
      <c r="L103" s="187"/>
      <c r="M103" s="16"/>
      <c r="N103" s="15"/>
      <c r="O103" s="15"/>
      <c r="P103" s="16"/>
      <c r="Q103" s="174"/>
      <c r="R103" s="174"/>
      <c r="S103" s="59"/>
      <c r="T103" s="59"/>
      <c r="U103" s="174"/>
      <c r="V103" s="174"/>
      <c r="W103" s="174"/>
      <c r="X103" s="59"/>
      <c r="Y103" s="59"/>
      <c r="Z103" s="92"/>
    </row>
    <row r="104" spans="1:26" ht="16.5" customHeight="1" x14ac:dyDescent="0.2">
      <c r="A104" s="193"/>
      <c r="B104" s="175"/>
      <c r="C104" s="111"/>
      <c r="D104" s="111"/>
      <c r="E104" s="9"/>
      <c r="F104" s="111"/>
      <c r="G104" s="111"/>
      <c r="H104" s="9"/>
      <c r="I104" s="9"/>
      <c r="J104" s="111"/>
      <c r="K104" s="111"/>
      <c r="L104" s="187"/>
      <c r="M104" s="16"/>
      <c r="N104" s="15"/>
      <c r="O104" s="15"/>
      <c r="P104" s="16"/>
      <c r="Q104" s="174"/>
      <c r="R104" s="174"/>
      <c r="S104" s="59"/>
      <c r="T104" s="59"/>
      <c r="U104" s="174"/>
      <c r="V104" s="174"/>
      <c r="W104" s="174"/>
      <c r="X104" s="59"/>
      <c r="Y104" s="59"/>
      <c r="Z104" s="92"/>
    </row>
    <row r="105" spans="1:26" ht="16.5" customHeight="1" x14ac:dyDescent="0.2">
      <c r="A105" s="193"/>
      <c r="B105" s="175"/>
      <c r="C105" s="111"/>
      <c r="D105" s="111"/>
      <c r="E105" s="9"/>
      <c r="F105" s="111"/>
      <c r="G105" s="111"/>
      <c r="H105" s="9"/>
      <c r="I105" s="9"/>
      <c r="J105" s="111"/>
      <c r="K105" s="111"/>
      <c r="L105" s="187"/>
      <c r="M105" s="16"/>
      <c r="N105" s="15"/>
      <c r="O105" s="15"/>
      <c r="P105" s="16"/>
      <c r="Q105" s="174"/>
      <c r="R105" s="174"/>
      <c r="S105" s="59"/>
      <c r="T105" s="59"/>
      <c r="U105" s="174"/>
      <c r="V105" s="174"/>
      <c r="W105" s="174"/>
      <c r="X105" s="59"/>
      <c r="Y105" s="59"/>
      <c r="Z105" s="92"/>
    </row>
    <row r="106" spans="1:26" ht="16.5" customHeight="1" x14ac:dyDescent="0.2">
      <c r="A106" s="193"/>
      <c r="B106" s="175"/>
      <c r="C106" s="111"/>
      <c r="D106" s="111"/>
      <c r="E106" s="9"/>
      <c r="F106" s="111"/>
      <c r="G106" s="111"/>
      <c r="H106" s="9"/>
      <c r="I106" s="9"/>
      <c r="J106" s="111"/>
      <c r="K106" s="111"/>
      <c r="L106" s="187"/>
      <c r="M106" s="16"/>
      <c r="N106" s="15"/>
      <c r="O106" s="15"/>
      <c r="P106" s="16"/>
      <c r="Q106" s="174"/>
      <c r="R106" s="174"/>
      <c r="S106" s="59"/>
      <c r="T106" s="59"/>
      <c r="U106" s="174"/>
      <c r="V106" s="174"/>
      <c r="W106" s="174"/>
      <c r="X106" s="59"/>
      <c r="Y106" s="59"/>
      <c r="Z106" s="92"/>
    </row>
    <row r="107" spans="1:26" ht="16.5" customHeight="1" x14ac:dyDescent="0.2">
      <c r="A107" s="193"/>
      <c r="B107" s="175"/>
      <c r="C107" s="111"/>
      <c r="D107" s="111"/>
      <c r="E107" s="9"/>
      <c r="F107" s="111"/>
      <c r="G107" s="111"/>
      <c r="H107" s="9"/>
      <c r="I107" s="9"/>
      <c r="J107" s="111"/>
      <c r="K107" s="111"/>
      <c r="L107" s="187"/>
      <c r="M107" s="16"/>
      <c r="N107" s="15"/>
      <c r="O107" s="15"/>
      <c r="P107" s="16"/>
      <c r="Q107" s="174"/>
      <c r="R107" s="174"/>
      <c r="S107" s="59"/>
      <c r="T107" s="59"/>
      <c r="U107" s="174"/>
      <c r="V107" s="174"/>
      <c r="W107" s="174"/>
      <c r="X107" s="59"/>
      <c r="Y107" s="59"/>
      <c r="Z107" s="92"/>
    </row>
    <row r="108" spans="1:26" ht="16.5" customHeight="1" x14ac:dyDescent="0.2">
      <c r="A108" s="193"/>
      <c r="B108" s="175"/>
      <c r="C108" s="111"/>
      <c r="D108" s="111"/>
      <c r="E108" s="9"/>
      <c r="F108" s="111"/>
      <c r="G108" s="111"/>
      <c r="H108" s="9"/>
      <c r="I108" s="9"/>
      <c r="J108" s="111"/>
      <c r="K108" s="111"/>
      <c r="L108" s="187"/>
      <c r="M108" s="16"/>
      <c r="N108" s="15"/>
      <c r="O108" s="15"/>
      <c r="P108" s="16"/>
      <c r="Q108" s="174"/>
      <c r="R108" s="174"/>
      <c r="S108" s="59"/>
      <c r="T108" s="59"/>
      <c r="U108" s="174"/>
      <c r="V108" s="174"/>
      <c r="W108" s="174"/>
      <c r="X108" s="59"/>
      <c r="Y108" s="59"/>
      <c r="Z108" s="92"/>
    </row>
    <row r="109" spans="1:26" ht="16.5" customHeight="1" x14ac:dyDescent="0.2">
      <c r="A109" s="193"/>
      <c r="B109" s="175"/>
      <c r="C109" s="111"/>
      <c r="D109" s="111"/>
      <c r="E109" s="9"/>
      <c r="F109" s="111"/>
      <c r="G109" s="111"/>
      <c r="H109" s="9"/>
      <c r="I109" s="9"/>
      <c r="J109" s="111"/>
      <c r="K109" s="111"/>
      <c r="L109" s="187"/>
      <c r="M109" s="16"/>
      <c r="N109" s="15"/>
      <c r="O109" s="15"/>
      <c r="P109" s="16"/>
      <c r="Q109" s="174"/>
      <c r="R109" s="174"/>
      <c r="S109" s="59"/>
      <c r="T109" s="59"/>
      <c r="U109" s="174"/>
      <c r="V109" s="174"/>
      <c r="W109" s="174"/>
      <c r="X109" s="59"/>
      <c r="Y109" s="59"/>
      <c r="Z109" s="92"/>
    </row>
    <row r="110" spans="1:26" ht="16.5" customHeight="1" x14ac:dyDescent="0.2">
      <c r="A110" s="193"/>
      <c r="B110" s="175"/>
      <c r="C110" s="111"/>
      <c r="D110" s="111"/>
      <c r="E110" s="9"/>
      <c r="F110" s="111"/>
      <c r="G110" s="111"/>
      <c r="H110" s="9"/>
      <c r="I110" s="9"/>
      <c r="J110" s="111"/>
      <c r="K110" s="111"/>
      <c r="L110" s="187"/>
      <c r="M110" s="16"/>
      <c r="N110" s="15"/>
      <c r="O110" s="15"/>
      <c r="P110" s="16"/>
      <c r="Q110" s="174"/>
      <c r="R110" s="174"/>
      <c r="S110" s="59"/>
      <c r="T110" s="59"/>
      <c r="U110" s="174"/>
      <c r="V110" s="174"/>
      <c r="W110" s="174"/>
      <c r="X110" s="59"/>
      <c r="Y110" s="59"/>
      <c r="Z110" s="92"/>
    </row>
    <row r="111" spans="1:26" ht="16.5" customHeight="1" x14ac:dyDescent="0.2">
      <c r="A111" s="193"/>
      <c r="B111" s="175"/>
      <c r="C111" s="111"/>
      <c r="D111" s="111"/>
      <c r="E111" s="9"/>
      <c r="F111" s="111"/>
      <c r="G111" s="111"/>
      <c r="H111" s="9"/>
      <c r="I111" s="9"/>
      <c r="J111" s="111"/>
      <c r="K111" s="111"/>
      <c r="L111" s="187"/>
      <c r="M111" s="16"/>
      <c r="N111" s="15"/>
      <c r="O111" s="15"/>
      <c r="P111" s="16"/>
      <c r="Q111" s="174"/>
      <c r="R111" s="174"/>
      <c r="S111" s="59"/>
      <c r="T111" s="59"/>
      <c r="U111" s="174"/>
      <c r="V111" s="174"/>
      <c r="W111" s="174"/>
      <c r="X111" s="59"/>
      <c r="Y111" s="59"/>
      <c r="Z111" s="92"/>
    </row>
    <row r="112" spans="1:26" ht="16.5" customHeight="1" x14ac:dyDescent="0.2">
      <c r="A112" s="193"/>
      <c r="B112" s="175"/>
      <c r="C112" s="111"/>
      <c r="D112" s="111"/>
      <c r="E112" s="9"/>
      <c r="F112" s="111"/>
      <c r="G112" s="111"/>
      <c r="H112" s="9"/>
      <c r="I112" s="9"/>
      <c r="J112" s="111"/>
      <c r="K112" s="111"/>
      <c r="L112" s="187"/>
      <c r="M112" s="16"/>
      <c r="N112" s="15"/>
      <c r="O112" s="15"/>
      <c r="P112" s="16"/>
      <c r="Q112" s="174"/>
      <c r="R112" s="174"/>
      <c r="S112" s="59"/>
      <c r="T112" s="59"/>
      <c r="U112" s="174"/>
      <c r="V112" s="174"/>
      <c r="W112" s="174"/>
      <c r="X112" s="59"/>
      <c r="Y112" s="59"/>
      <c r="Z112" s="92"/>
    </row>
    <row r="113" spans="1:26" ht="16.5" customHeight="1" x14ac:dyDescent="0.2">
      <c r="A113" s="193"/>
      <c r="B113" s="175"/>
      <c r="C113" s="111"/>
      <c r="D113" s="111"/>
      <c r="E113" s="9"/>
      <c r="F113" s="111"/>
      <c r="G113" s="111"/>
      <c r="H113" s="9"/>
      <c r="I113" s="9"/>
      <c r="J113" s="111"/>
      <c r="K113" s="111"/>
      <c r="L113" s="187"/>
      <c r="M113" s="16"/>
      <c r="N113" s="15"/>
      <c r="O113" s="15"/>
      <c r="P113" s="16"/>
      <c r="Q113" s="174"/>
      <c r="R113" s="174"/>
      <c r="S113" s="59"/>
      <c r="T113" s="59"/>
      <c r="U113" s="174"/>
      <c r="V113" s="174"/>
      <c r="W113" s="174"/>
      <c r="X113" s="59"/>
      <c r="Y113" s="59"/>
      <c r="Z113" s="92"/>
    </row>
    <row r="114" spans="1:26" ht="16.5" customHeight="1" x14ac:dyDescent="0.2">
      <c r="A114" s="193"/>
      <c r="B114" s="175"/>
      <c r="C114" s="111"/>
      <c r="D114" s="111"/>
      <c r="E114" s="9"/>
      <c r="F114" s="111"/>
      <c r="G114" s="111"/>
      <c r="H114" s="9"/>
      <c r="I114" s="9"/>
      <c r="J114" s="111"/>
      <c r="K114" s="111"/>
      <c r="L114" s="187"/>
      <c r="M114" s="16"/>
      <c r="N114" s="15"/>
      <c r="O114" s="15"/>
      <c r="P114" s="16"/>
      <c r="Q114" s="174"/>
      <c r="R114" s="174"/>
      <c r="S114" s="59"/>
      <c r="T114" s="59"/>
      <c r="U114" s="174"/>
      <c r="V114" s="174"/>
      <c r="W114" s="174"/>
      <c r="X114" s="59"/>
      <c r="Y114" s="59"/>
      <c r="Z114" s="92"/>
    </row>
    <row r="115" spans="1:26" ht="16.5" customHeight="1" x14ac:dyDescent="0.2">
      <c r="A115" s="193"/>
      <c r="B115" s="175"/>
      <c r="C115" s="111"/>
      <c r="D115" s="111"/>
      <c r="E115" s="9"/>
      <c r="F115" s="111"/>
      <c r="G115" s="111"/>
      <c r="H115" s="9"/>
      <c r="I115" s="9"/>
      <c r="J115" s="111"/>
      <c r="K115" s="111"/>
      <c r="L115" s="187"/>
      <c r="M115" s="16"/>
      <c r="N115" s="15"/>
      <c r="O115" s="15"/>
      <c r="P115" s="16"/>
      <c r="Q115" s="174"/>
      <c r="R115" s="174"/>
      <c r="S115" s="59"/>
      <c r="T115" s="59"/>
      <c r="U115" s="174"/>
      <c r="V115" s="174"/>
      <c r="W115" s="174"/>
      <c r="X115" s="59"/>
      <c r="Y115" s="59"/>
      <c r="Z115" s="92"/>
    </row>
    <row r="116" spans="1:26" ht="16.5" customHeight="1" x14ac:dyDescent="0.2">
      <c r="A116" s="193"/>
      <c r="B116" s="175"/>
      <c r="C116" s="111"/>
      <c r="D116" s="111"/>
      <c r="E116" s="9"/>
      <c r="F116" s="111"/>
      <c r="G116" s="111"/>
      <c r="H116" s="9"/>
      <c r="I116" s="9"/>
      <c r="J116" s="111"/>
      <c r="K116" s="111"/>
      <c r="L116" s="187"/>
      <c r="M116" s="16"/>
      <c r="N116" s="15"/>
      <c r="O116" s="15"/>
      <c r="P116" s="16"/>
      <c r="Q116" s="174"/>
      <c r="R116" s="174"/>
      <c r="S116" s="59"/>
      <c r="T116" s="59"/>
      <c r="U116" s="174"/>
      <c r="V116" s="174"/>
      <c r="W116" s="174"/>
      <c r="X116" s="59"/>
      <c r="Y116" s="59"/>
      <c r="Z116" s="92"/>
    </row>
    <row r="117" spans="1:26" ht="16.5" customHeight="1" x14ac:dyDescent="0.2">
      <c r="A117" s="193"/>
      <c r="B117" s="175"/>
      <c r="C117" s="111"/>
      <c r="D117" s="111"/>
      <c r="E117" s="9"/>
      <c r="F117" s="111"/>
      <c r="G117" s="111"/>
      <c r="H117" s="9"/>
      <c r="I117" s="9"/>
      <c r="J117" s="111"/>
      <c r="K117" s="111"/>
      <c r="L117" s="187"/>
      <c r="M117" s="16"/>
      <c r="N117" s="15"/>
      <c r="O117" s="15"/>
      <c r="P117" s="16"/>
      <c r="Q117" s="174"/>
      <c r="R117" s="174"/>
      <c r="S117" s="59"/>
      <c r="T117" s="59"/>
      <c r="U117" s="174"/>
      <c r="V117" s="174"/>
      <c r="W117" s="174"/>
      <c r="X117" s="59"/>
      <c r="Y117" s="59"/>
      <c r="Z117" s="92"/>
    </row>
    <row r="118" spans="1:26" ht="16.5" customHeight="1" x14ac:dyDescent="0.2">
      <c r="A118" s="193"/>
      <c r="B118" s="175"/>
      <c r="C118" s="111"/>
      <c r="D118" s="111"/>
      <c r="E118" s="9"/>
      <c r="F118" s="111"/>
      <c r="G118" s="111"/>
      <c r="H118" s="9"/>
      <c r="I118" s="9"/>
      <c r="J118" s="111"/>
      <c r="K118" s="111"/>
      <c r="L118" s="187"/>
      <c r="M118" s="16"/>
      <c r="N118" s="15"/>
      <c r="O118" s="15"/>
      <c r="P118" s="16"/>
      <c r="Q118" s="174"/>
      <c r="R118" s="174"/>
      <c r="S118" s="59"/>
      <c r="T118" s="59"/>
      <c r="U118" s="174"/>
      <c r="V118" s="174"/>
      <c r="W118" s="174"/>
      <c r="X118" s="59"/>
      <c r="Y118" s="59"/>
      <c r="Z118" s="92"/>
    </row>
    <row r="119" spans="1:26" ht="16.5" customHeight="1" x14ac:dyDescent="0.2">
      <c r="A119" s="193"/>
      <c r="B119" s="175"/>
      <c r="C119" s="111"/>
      <c r="D119" s="111"/>
      <c r="E119" s="9"/>
      <c r="F119" s="111"/>
      <c r="G119" s="111"/>
      <c r="H119" s="9"/>
      <c r="I119" s="9"/>
      <c r="J119" s="111"/>
      <c r="K119" s="111"/>
      <c r="L119" s="187"/>
      <c r="M119" s="16"/>
      <c r="N119" s="15"/>
      <c r="O119" s="15"/>
      <c r="P119" s="16"/>
      <c r="Q119" s="174"/>
      <c r="R119" s="174"/>
      <c r="S119" s="59"/>
      <c r="T119" s="59"/>
      <c r="U119" s="174"/>
      <c r="V119" s="174"/>
      <c r="W119" s="174"/>
      <c r="X119" s="59"/>
      <c r="Y119" s="59"/>
      <c r="Z119" s="92"/>
    </row>
    <row r="120" spans="1:26" ht="16.5" customHeight="1" x14ac:dyDescent="0.2">
      <c r="A120" s="193"/>
      <c r="B120" s="175"/>
      <c r="C120" s="111"/>
      <c r="D120" s="111"/>
      <c r="E120" s="9"/>
      <c r="F120" s="111"/>
      <c r="G120" s="111"/>
      <c r="H120" s="9"/>
      <c r="I120" s="9"/>
      <c r="J120" s="111"/>
      <c r="K120" s="111"/>
      <c r="L120" s="187"/>
      <c r="M120" s="16"/>
      <c r="N120" s="15"/>
      <c r="O120" s="15"/>
      <c r="P120" s="16"/>
      <c r="Q120" s="174"/>
      <c r="R120" s="174"/>
      <c r="S120" s="59"/>
      <c r="T120" s="59"/>
      <c r="U120" s="174"/>
      <c r="V120" s="174"/>
      <c r="W120" s="174"/>
      <c r="X120" s="59"/>
      <c r="Y120" s="59"/>
      <c r="Z120" s="92"/>
    </row>
    <row r="121" spans="1:26" ht="16.5" customHeight="1" x14ac:dyDescent="0.2">
      <c r="A121" s="193"/>
      <c r="B121" s="175"/>
      <c r="C121" s="111"/>
      <c r="D121" s="111"/>
      <c r="E121" s="9"/>
      <c r="F121" s="111"/>
      <c r="G121" s="111"/>
      <c r="H121" s="9"/>
      <c r="I121" s="9"/>
      <c r="J121" s="111"/>
      <c r="K121" s="111"/>
      <c r="L121" s="187"/>
      <c r="M121" s="16"/>
      <c r="N121" s="15"/>
      <c r="O121" s="15"/>
      <c r="P121" s="16"/>
      <c r="Q121" s="174"/>
      <c r="R121" s="174"/>
      <c r="S121" s="59"/>
      <c r="T121" s="59"/>
      <c r="U121" s="174"/>
      <c r="V121" s="174"/>
      <c r="W121" s="174"/>
      <c r="X121" s="59"/>
      <c r="Y121" s="59"/>
      <c r="Z121" s="92"/>
    </row>
    <row r="122" spans="1:26" ht="16.5" customHeight="1" x14ac:dyDescent="0.2">
      <c r="A122" s="193"/>
      <c r="B122" s="175"/>
      <c r="C122" s="111"/>
      <c r="D122" s="111"/>
      <c r="E122" s="9"/>
      <c r="F122" s="111"/>
      <c r="G122" s="111"/>
      <c r="H122" s="9"/>
      <c r="I122" s="9"/>
      <c r="J122" s="111"/>
      <c r="K122" s="111"/>
      <c r="L122" s="187"/>
      <c r="M122" s="16"/>
      <c r="N122" s="15"/>
      <c r="O122" s="15"/>
      <c r="P122" s="16"/>
      <c r="Q122" s="174"/>
      <c r="R122" s="174"/>
      <c r="S122" s="59"/>
      <c r="T122" s="59"/>
      <c r="U122" s="174"/>
      <c r="V122" s="174"/>
      <c r="W122" s="174"/>
      <c r="X122" s="59"/>
      <c r="Y122" s="59"/>
      <c r="Z122" s="92"/>
    </row>
    <row r="123" spans="1:26" ht="16.5" customHeight="1" x14ac:dyDescent="0.2">
      <c r="A123" s="193"/>
      <c r="B123" s="175"/>
      <c r="C123" s="111"/>
      <c r="D123" s="111"/>
      <c r="E123" s="9"/>
      <c r="F123" s="111"/>
      <c r="G123" s="111"/>
      <c r="H123" s="9"/>
      <c r="I123" s="9"/>
      <c r="J123" s="111"/>
      <c r="K123" s="111"/>
      <c r="L123" s="187"/>
      <c r="M123" s="16"/>
      <c r="N123" s="15"/>
      <c r="O123" s="15"/>
      <c r="P123" s="16"/>
      <c r="Q123" s="174"/>
      <c r="R123" s="174"/>
      <c r="S123" s="59"/>
      <c r="T123" s="59"/>
      <c r="U123" s="174"/>
      <c r="V123" s="174"/>
      <c r="W123" s="174"/>
      <c r="X123" s="59"/>
      <c r="Y123" s="59"/>
      <c r="Z123" s="92"/>
    </row>
    <row r="124" spans="1:26" ht="16.5" customHeight="1" x14ac:dyDescent="0.2">
      <c r="A124" s="193"/>
      <c r="B124" s="175"/>
      <c r="C124" s="111"/>
      <c r="D124" s="111"/>
      <c r="E124" s="9"/>
      <c r="F124" s="111"/>
      <c r="G124" s="111"/>
      <c r="H124" s="9"/>
      <c r="I124" s="9"/>
      <c r="J124" s="111"/>
      <c r="K124" s="111"/>
      <c r="L124" s="187"/>
      <c r="M124" s="16"/>
      <c r="N124" s="15"/>
      <c r="O124" s="15"/>
      <c r="P124" s="16"/>
      <c r="Q124" s="174"/>
      <c r="R124" s="174"/>
      <c r="S124" s="59"/>
      <c r="T124" s="59"/>
      <c r="U124" s="174"/>
      <c r="V124" s="174"/>
      <c r="W124" s="174"/>
      <c r="X124" s="59"/>
      <c r="Y124" s="59"/>
      <c r="Z124" s="92"/>
    </row>
    <row r="125" spans="1:26" ht="16.5" customHeight="1" x14ac:dyDescent="0.2">
      <c r="A125" s="193"/>
      <c r="B125" s="175"/>
      <c r="C125" s="111"/>
      <c r="D125" s="111"/>
      <c r="E125" s="9"/>
      <c r="F125" s="111"/>
      <c r="G125" s="111"/>
      <c r="H125" s="9"/>
      <c r="I125" s="9"/>
      <c r="J125" s="111"/>
      <c r="K125" s="111"/>
      <c r="L125" s="187"/>
      <c r="M125" s="16"/>
      <c r="N125" s="15"/>
      <c r="O125" s="15"/>
      <c r="P125" s="16"/>
      <c r="Q125" s="174"/>
      <c r="R125" s="174"/>
      <c r="S125" s="59"/>
      <c r="T125" s="59"/>
      <c r="U125" s="174"/>
      <c r="V125" s="174"/>
      <c r="W125" s="174"/>
      <c r="X125" s="59"/>
      <c r="Y125" s="59"/>
      <c r="Z125" s="92"/>
    </row>
    <row r="126" spans="1:26" ht="16.5" customHeight="1" x14ac:dyDescent="0.2">
      <c r="A126" s="193"/>
      <c r="B126" s="175"/>
      <c r="C126" s="111"/>
      <c r="D126" s="111"/>
      <c r="E126" s="9"/>
      <c r="F126" s="111"/>
      <c r="G126" s="111"/>
      <c r="H126" s="9"/>
      <c r="I126" s="9"/>
      <c r="J126" s="111"/>
      <c r="K126" s="111"/>
      <c r="L126" s="187"/>
      <c r="M126" s="16"/>
      <c r="N126" s="15"/>
      <c r="O126" s="15"/>
      <c r="P126" s="16"/>
      <c r="Q126" s="174"/>
      <c r="R126" s="174"/>
      <c r="S126" s="59"/>
      <c r="T126" s="59"/>
      <c r="U126" s="174"/>
      <c r="V126" s="174"/>
      <c r="W126" s="174"/>
      <c r="X126" s="59"/>
      <c r="Y126" s="59"/>
      <c r="Z126" s="92"/>
    </row>
    <row r="127" spans="1:26" ht="16.5" customHeight="1" x14ac:dyDescent="0.2">
      <c r="A127" s="193"/>
      <c r="B127" s="175"/>
      <c r="C127" s="111"/>
      <c r="D127" s="111"/>
      <c r="E127" s="9"/>
      <c r="F127" s="111"/>
      <c r="G127" s="111"/>
      <c r="H127" s="9"/>
      <c r="I127" s="9"/>
      <c r="J127" s="111"/>
      <c r="K127" s="111"/>
      <c r="L127" s="187"/>
      <c r="M127" s="16"/>
      <c r="N127" s="15"/>
      <c r="O127" s="15"/>
      <c r="P127" s="16"/>
      <c r="Q127" s="174"/>
      <c r="R127" s="174"/>
      <c r="S127" s="59"/>
      <c r="T127" s="59"/>
      <c r="U127" s="174"/>
      <c r="V127" s="174"/>
      <c r="W127" s="174"/>
      <c r="X127" s="59"/>
      <c r="Y127" s="59"/>
      <c r="Z127" s="92"/>
    </row>
    <row r="128" spans="1:26" ht="16.5" customHeight="1" x14ac:dyDescent="0.2">
      <c r="A128" s="193"/>
      <c r="B128" s="175"/>
      <c r="C128" s="111"/>
      <c r="D128" s="111"/>
      <c r="E128" s="9"/>
      <c r="F128" s="111"/>
      <c r="G128" s="111"/>
      <c r="H128" s="9"/>
      <c r="I128" s="9"/>
      <c r="J128" s="111"/>
      <c r="K128" s="111"/>
      <c r="L128" s="187"/>
      <c r="M128" s="16"/>
      <c r="N128" s="15"/>
      <c r="O128" s="15"/>
      <c r="P128" s="16"/>
      <c r="Q128" s="174"/>
      <c r="R128" s="174"/>
      <c r="S128" s="59"/>
      <c r="T128" s="59"/>
      <c r="U128" s="174"/>
      <c r="V128" s="174"/>
      <c r="W128" s="174"/>
      <c r="X128" s="59"/>
      <c r="Y128" s="59"/>
      <c r="Z128" s="92"/>
    </row>
    <row r="129" spans="1:26" ht="16.5" customHeight="1" x14ac:dyDescent="0.2">
      <c r="A129" s="193"/>
      <c r="B129" s="175"/>
      <c r="C129" s="111"/>
      <c r="D129" s="111"/>
      <c r="E129" s="9"/>
      <c r="F129" s="111"/>
      <c r="G129" s="111"/>
      <c r="H129" s="9"/>
      <c r="I129" s="9"/>
      <c r="J129" s="111"/>
      <c r="K129" s="111"/>
      <c r="L129" s="187"/>
      <c r="M129" s="16"/>
      <c r="N129" s="15"/>
      <c r="O129" s="15"/>
      <c r="P129" s="16"/>
      <c r="Q129" s="174"/>
      <c r="R129" s="174"/>
      <c r="S129" s="59"/>
      <c r="T129" s="59"/>
      <c r="U129" s="174"/>
      <c r="V129" s="174"/>
      <c r="W129" s="174"/>
      <c r="X129" s="59"/>
      <c r="Y129" s="59"/>
      <c r="Z129" s="92"/>
    </row>
    <row r="130" spans="1:26" ht="16.5" customHeight="1" x14ac:dyDescent="0.2">
      <c r="A130" s="193"/>
      <c r="B130" s="175"/>
      <c r="C130" s="111"/>
      <c r="D130" s="111"/>
      <c r="E130" s="9"/>
      <c r="F130" s="111"/>
      <c r="G130" s="111"/>
      <c r="H130" s="9"/>
      <c r="I130" s="9"/>
      <c r="J130" s="111"/>
      <c r="K130" s="111"/>
      <c r="L130" s="187"/>
      <c r="M130" s="16"/>
      <c r="N130" s="15"/>
      <c r="O130" s="15"/>
      <c r="P130" s="16"/>
      <c r="Q130" s="174"/>
      <c r="R130" s="174"/>
      <c r="S130" s="59"/>
      <c r="T130" s="59"/>
      <c r="U130" s="174"/>
      <c r="V130" s="174"/>
      <c r="W130" s="174"/>
      <c r="X130" s="59"/>
      <c r="Y130" s="59"/>
      <c r="Z130" s="92"/>
    </row>
    <row r="131" spans="1:26" ht="16.5" customHeight="1" x14ac:dyDescent="0.2">
      <c r="A131" s="193"/>
      <c r="B131" s="175"/>
      <c r="C131" s="111"/>
      <c r="D131" s="111"/>
      <c r="E131" s="9"/>
      <c r="F131" s="111"/>
      <c r="G131" s="111"/>
      <c r="H131" s="9"/>
      <c r="I131" s="9"/>
      <c r="J131" s="111"/>
      <c r="K131" s="111"/>
      <c r="L131" s="187"/>
      <c r="M131" s="16"/>
      <c r="N131" s="15"/>
      <c r="O131" s="15"/>
      <c r="P131" s="16"/>
      <c r="Q131" s="174"/>
      <c r="R131" s="174"/>
      <c r="S131" s="59"/>
      <c r="T131" s="59"/>
      <c r="U131" s="174"/>
      <c r="V131" s="174"/>
      <c r="W131" s="174"/>
      <c r="X131" s="59"/>
      <c r="Y131" s="59"/>
      <c r="Z131" s="92"/>
    </row>
    <row r="132" spans="1:26" ht="16.5" customHeight="1" x14ac:dyDescent="0.2">
      <c r="A132" s="193"/>
      <c r="B132" s="175"/>
      <c r="C132" s="111"/>
      <c r="D132" s="111"/>
      <c r="E132" s="9"/>
      <c r="F132" s="111"/>
      <c r="G132" s="111"/>
      <c r="H132" s="9"/>
      <c r="I132" s="9"/>
      <c r="J132" s="111"/>
      <c r="K132" s="111"/>
      <c r="L132" s="187"/>
      <c r="M132" s="16"/>
      <c r="N132" s="15"/>
      <c r="O132" s="15"/>
      <c r="P132" s="16"/>
      <c r="Q132" s="174"/>
      <c r="R132" s="174"/>
      <c r="S132" s="59"/>
      <c r="T132" s="59"/>
      <c r="U132" s="174"/>
      <c r="V132" s="174"/>
      <c r="W132" s="174"/>
      <c r="X132" s="59"/>
      <c r="Y132" s="59"/>
      <c r="Z132" s="92"/>
    </row>
    <row r="133" spans="1:26" ht="16.5" customHeight="1" x14ac:dyDescent="0.2">
      <c r="A133" s="193"/>
      <c r="B133" s="175"/>
      <c r="C133" s="111"/>
      <c r="D133" s="111"/>
      <c r="E133" s="9"/>
      <c r="F133" s="111"/>
      <c r="G133" s="111"/>
      <c r="H133" s="9"/>
      <c r="I133" s="9"/>
      <c r="J133" s="111"/>
      <c r="K133" s="111"/>
      <c r="L133" s="187"/>
      <c r="M133" s="16"/>
      <c r="N133" s="15"/>
      <c r="O133" s="15"/>
      <c r="P133" s="16"/>
      <c r="Q133" s="174"/>
      <c r="R133" s="174"/>
      <c r="S133" s="59"/>
      <c r="T133" s="59"/>
      <c r="U133" s="174"/>
      <c r="V133" s="174"/>
      <c r="W133" s="174"/>
      <c r="X133" s="59"/>
      <c r="Y133" s="59"/>
      <c r="Z133" s="92"/>
    </row>
    <row r="134" spans="1:26" ht="16.5" customHeight="1" x14ac:dyDescent="0.2">
      <c r="A134" s="193"/>
      <c r="B134" s="175"/>
      <c r="C134" s="111"/>
      <c r="D134" s="111"/>
      <c r="E134" s="9"/>
      <c r="F134" s="111"/>
      <c r="G134" s="111"/>
      <c r="H134" s="9"/>
      <c r="I134" s="9"/>
      <c r="J134" s="111"/>
      <c r="K134" s="111"/>
      <c r="L134" s="187"/>
      <c r="M134" s="16"/>
      <c r="N134" s="15"/>
      <c r="O134" s="15"/>
      <c r="P134" s="16"/>
      <c r="Q134" s="174"/>
      <c r="R134" s="174"/>
      <c r="S134" s="59"/>
      <c r="T134" s="59"/>
      <c r="U134" s="174"/>
      <c r="V134" s="174"/>
      <c r="W134" s="174"/>
      <c r="X134" s="59"/>
      <c r="Y134" s="59"/>
      <c r="Z134" s="92"/>
    </row>
    <row r="135" spans="1:26" ht="16.5" customHeight="1" x14ac:dyDescent="0.2">
      <c r="A135" s="193"/>
      <c r="B135" s="175"/>
      <c r="C135" s="111"/>
      <c r="D135" s="111"/>
      <c r="E135" s="9"/>
      <c r="F135" s="111"/>
      <c r="G135" s="111"/>
      <c r="H135" s="9"/>
      <c r="I135" s="9"/>
      <c r="J135" s="111"/>
      <c r="K135" s="111"/>
      <c r="L135" s="187"/>
      <c r="M135" s="16"/>
      <c r="N135" s="15"/>
      <c r="O135" s="15"/>
      <c r="P135" s="16"/>
      <c r="Q135" s="174"/>
      <c r="R135" s="174"/>
      <c r="S135" s="59"/>
      <c r="T135" s="59"/>
      <c r="U135" s="174"/>
      <c r="V135" s="174"/>
      <c r="W135" s="174"/>
      <c r="X135" s="59"/>
      <c r="Y135" s="59"/>
      <c r="Z135" s="92"/>
    </row>
    <row r="136" spans="1:26" ht="16.5" customHeight="1" x14ac:dyDescent="0.2">
      <c r="A136" s="193"/>
      <c r="B136" s="175"/>
      <c r="C136" s="111"/>
      <c r="D136" s="111"/>
      <c r="E136" s="9"/>
      <c r="F136" s="111"/>
      <c r="G136" s="111"/>
      <c r="H136" s="9"/>
      <c r="I136" s="9"/>
      <c r="J136" s="111"/>
      <c r="K136" s="111"/>
      <c r="L136" s="187"/>
      <c r="M136" s="16"/>
      <c r="N136" s="15"/>
      <c r="O136" s="15"/>
      <c r="P136" s="16"/>
      <c r="Q136" s="174"/>
      <c r="R136" s="174"/>
      <c r="S136" s="59"/>
      <c r="T136" s="59"/>
      <c r="U136" s="174"/>
      <c r="V136" s="174"/>
      <c r="W136" s="174"/>
      <c r="X136" s="59"/>
      <c r="Y136" s="59"/>
      <c r="Z136" s="92"/>
    </row>
    <row r="137" spans="1:26" ht="16.5" customHeight="1" x14ac:dyDescent="0.2">
      <c r="A137" s="193"/>
      <c r="B137" s="175"/>
      <c r="C137" s="111"/>
      <c r="D137" s="111"/>
      <c r="E137" s="9"/>
      <c r="F137" s="111"/>
      <c r="G137" s="111"/>
      <c r="H137" s="9"/>
      <c r="I137" s="9"/>
      <c r="J137" s="111"/>
      <c r="K137" s="111"/>
      <c r="L137" s="187"/>
      <c r="M137" s="16"/>
      <c r="N137" s="15"/>
      <c r="O137" s="15"/>
      <c r="P137" s="16"/>
      <c r="Q137" s="174"/>
      <c r="R137" s="174"/>
      <c r="S137" s="59"/>
      <c r="T137" s="59"/>
      <c r="U137" s="174"/>
      <c r="V137" s="174"/>
      <c r="W137" s="174"/>
      <c r="X137" s="59"/>
      <c r="Y137" s="59"/>
      <c r="Z137" s="92"/>
    </row>
    <row r="138" spans="1:26" ht="16.5" customHeight="1" x14ac:dyDescent="0.2">
      <c r="A138" s="193"/>
      <c r="B138" s="175"/>
      <c r="C138" s="111"/>
      <c r="D138" s="111"/>
      <c r="E138" s="9"/>
      <c r="F138" s="111"/>
      <c r="G138" s="111"/>
      <c r="H138" s="9"/>
      <c r="I138" s="9"/>
      <c r="J138" s="111"/>
      <c r="K138" s="111"/>
      <c r="L138" s="187"/>
      <c r="M138" s="16"/>
      <c r="N138" s="15"/>
      <c r="O138" s="15"/>
      <c r="P138" s="16"/>
      <c r="Q138" s="174"/>
      <c r="R138" s="174"/>
      <c r="S138" s="59"/>
      <c r="T138" s="59"/>
      <c r="U138" s="174"/>
      <c r="V138" s="174"/>
      <c r="W138" s="174"/>
      <c r="X138" s="59"/>
      <c r="Y138" s="59"/>
      <c r="Z138" s="92"/>
    </row>
    <row r="139" spans="1:26" ht="16.5" customHeight="1" x14ac:dyDescent="0.2">
      <c r="A139" s="193"/>
      <c r="B139" s="175"/>
      <c r="C139" s="111"/>
      <c r="D139" s="111"/>
      <c r="E139" s="9"/>
      <c r="F139" s="111"/>
      <c r="G139" s="111"/>
      <c r="H139" s="9"/>
      <c r="I139" s="9"/>
      <c r="J139" s="111"/>
      <c r="K139" s="111"/>
      <c r="L139" s="187"/>
      <c r="M139" s="16"/>
      <c r="N139" s="15"/>
      <c r="O139" s="15"/>
      <c r="P139" s="16"/>
      <c r="Q139" s="174"/>
      <c r="R139" s="174"/>
      <c r="S139" s="59"/>
      <c r="T139" s="59"/>
      <c r="U139" s="174"/>
      <c r="V139" s="174"/>
      <c r="W139" s="174"/>
      <c r="X139" s="59"/>
      <c r="Y139" s="59"/>
      <c r="Z139" s="92"/>
    </row>
    <row r="140" spans="1:26" ht="16.5" customHeight="1" x14ac:dyDescent="0.2">
      <c r="A140" s="193"/>
      <c r="B140" s="175"/>
      <c r="C140" s="111"/>
      <c r="D140" s="111"/>
      <c r="E140" s="9"/>
      <c r="F140" s="111"/>
      <c r="G140" s="111"/>
      <c r="H140" s="9"/>
      <c r="I140" s="9"/>
      <c r="J140" s="111"/>
      <c r="K140" s="111"/>
      <c r="L140" s="187"/>
      <c r="M140" s="16"/>
      <c r="N140" s="15"/>
      <c r="O140" s="15"/>
      <c r="P140" s="16"/>
      <c r="Q140" s="174"/>
      <c r="R140" s="174"/>
      <c r="S140" s="59"/>
      <c r="T140" s="59"/>
      <c r="U140" s="174"/>
      <c r="V140" s="174"/>
      <c r="W140" s="174"/>
      <c r="X140" s="59"/>
      <c r="Y140" s="59"/>
      <c r="Z140" s="92"/>
    </row>
    <row r="141" spans="1:26" ht="16.5" customHeight="1" x14ac:dyDescent="0.2">
      <c r="A141" s="193"/>
      <c r="B141" s="175"/>
      <c r="C141" s="111"/>
      <c r="D141" s="111"/>
      <c r="E141" s="9"/>
      <c r="F141" s="111"/>
      <c r="G141" s="111"/>
      <c r="H141" s="9"/>
      <c r="I141" s="9"/>
      <c r="J141" s="111"/>
      <c r="K141" s="111"/>
      <c r="L141" s="187"/>
      <c r="M141" s="16"/>
      <c r="N141" s="15"/>
      <c r="O141" s="15"/>
      <c r="P141" s="16"/>
      <c r="Q141" s="174"/>
      <c r="R141" s="174"/>
      <c r="S141" s="59"/>
      <c r="T141" s="59"/>
      <c r="U141" s="174"/>
      <c r="V141" s="174"/>
      <c r="W141" s="174"/>
      <c r="X141" s="59"/>
      <c r="Y141" s="59"/>
      <c r="Z141" s="92"/>
    </row>
    <row r="142" spans="1:26" ht="16.5" customHeight="1" x14ac:dyDescent="0.2">
      <c r="A142" s="193"/>
      <c r="B142" s="175"/>
      <c r="C142" s="111"/>
      <c r="D142" s="111"/>
      <c r="E142" s="9"/>
      <c r="F142" s="111"/>
      <c r="G142" s="111"/>
      <c r="H142" s="9"/>
      <c r="I142" s="9"/>
      <c r="J142" s="111"/>
      <c r="K142" s="111"/>
      <c r="L142" s="187"/>
      <c r="M142" s="16"/>
      <c r="N142" s="15"/>
      <c r="O142" s="15"/>
      <c r="P142" s="16"/>
      <c r="Q142" s="174"/>
      <c r="R142" s="174"/>
      <c r="S142" s="59"/>
      <c r="T142" s="59"/>
      <c r="U142" s="174"/>
      <c r="V142" s="174"/>
      <c r="W142" s="174"/>
      <c r="X142" s="59"/>
      <c r="Y142" s="59"/>
      <c r="Z142" s="92"/>
    </row>
    <row r="143" spans="1:26" ht="16.5" customHeight="1" x14ac:dyDescent="0.2">
      <c r="A143" s="193"/>
      <c r="B143" s="175"/>
      <c r="C143" s="111"/>
      <c r="D143" s="111"/>
      <c r="E143" s="9"/>
      <c r="F143" s="111"/>
      <c r="G143" s="111"/>
      <c r="H143" s="9"/>
      <c r="I143" s="9"/>
      <c r="J143" s="111"/>
      <c r="K143" s="111"/>
      <c r="L143" s="187"/>
      <c r="M143" s="16"/>
      <c r="N143" s="15"/>
      <c r="O143" s="15"/>
      <c r="P143" s="16"/>
      <c r="Q143" s="174"/>
      <c r="R143" s="174"/>
      <c r="S143" s="59"/>
      <c r="T143" s="59"/>
      <c r="U143" s="174"/>
      <c r="V143" s="174"/>
      <c r="W143" s="174"/>
      <c r="X143" s="59"/>
      <c r="Y143" s="59"/>
      <c r="Z143" s="92"/>
    </row>
    <row r="144" spans="1:26" ht="16.5" customHeight="1" x14ac:dyDescent="0.2">
      <c r="A144" s="193"/>
      <c r="B144" s="175"/>
      <c r="C144" s="111"/>
      <c r="D144" s="111"/>
      <c r="E144" s="9"/>
      <c r="F144" s="111"/>
      <c r="G144" s="111"/>
      <c r="H144" s="9"/>
      <c r="I144" s="9"/>
      <c r="J144" s="111"/>
      <c r="K144" s="111"/>
      <c r="L144" s="187"/>
      <c r="M144" s="16"/>
      <c r="N144" s="15"/>
      <c r="O144" s="15"/>
      <c r="P144" s="16"/>
      <c r="Q144" s="174"/>
      <c r="R144" s="174"/>
      <c r="S144" s="59"/>
      <c r="T144" s="59"/>
      <c r="U144" s="174"/>
      <c r="V144" s="174"/>
      <c r="W144" s="174"/>
      <c r="X144" s="59"/>
      <c r="Y144" s="59"/>
      <c r="Z144" s="92"/>
    </row>
    <row r="145" spans="1:26" ht="16.5" customHeight="1" x14ac:dyDescent="0.2">
      <c r="A145" s="193"/>
      <c r="B145" s="175"/>
      <c r="C145" s="111"/>
      <c r="D145" s="111"/>
      <c r="E145" s="9"/>
      <c r="F145" s="111"/>
      <c r="G145" s="111"/>
      <c r="H145" s="9"/>
      <c r="I145" s="9"/>
      <c r="J145" s="111"/>
      <c r="K145" s="111"/>
      <c r="L145" s="187"/>
      <c r="M145" s="16"/>
      <c r="N145" s="15"/>
      <c r="O145" s="15"/>
      <c r="P145" s="16"/>
      <c r="Q145" s="174"/>
      <c r="R145" s="174"/>
      <c r="S145" s="59"/>
      <c r="T145" s="59"/>
      <c r="U145" s="174"/>
      <c r="V145" s="174"/>
      <c r="W145" s="174"/>
      <c r="X145" s="59"/>
      <c r="Y145" s="59"/>
      <c r="Z145" s="92"/>
    </row>
    <row r="146" spans="1:26" ht="16.5" customHeight="1" x14ac:dyDescent="0.2">
      <c r="A146" s="193"/>
      <c r="B146" s="175"/>
      <c r="C146" s="111"/>
      <c r="D146" s="111"/>
      <c r="E146" s="9"/>
      <c r="F146" s="111"/>
      <c r="G146" s="111"/>
      <c r="H146" s="9"/>
      <c r="I146" s="9"/>
      <c r="J146" s="111"/>
      <c r="K146" s="111"/>
      <c r="L146" s="187"/>
      <c r="M146" s="16"/>
      <c r="N146" s="15"/>
      <c r="O146" s="15"/>
      <c r="P146" s="16"/>
      <c r="Q146" s="174"/>
      <c r="R146" s="174"/>
      <c r="S146" s="59"/>
      <c r="T146" s="59"/>
      <c r="U146" s="174"/>
      <c r="V146" s="174"/>
      <c r="W146" s="174"/>
      <c r="X146" s="59"/>
      <c r="Y146" s="59"/>
      <c r="Z146" s="92"/>
    </row>
    <row r="147" spans="1:26" ht="16.5" customHeight="1" x14ac:dyDescent="0.2">
      <c r="A147" s="193"/>
      <c r="B147" s="175"/>
      <c r="C147" s="111"/>
      <c r="D147" s="111"/>
      <c r="E147" s="9"/>
      <c r="F147" s="111"/>
      <c r="G147" s="111"/>
      <c r="H147" s="9"/>
      <c r="I147" s="9"/>
      <c r="J147" s="111"/>
      <c r="K147" s="111"/>
      <c r="L147" s="187"/>
      <c r="M147" s="16"/>
      <c r="N147" s="15"/>
      <c r="O147" s="15"/>
      <c r="P147" s="16"/>
      <c r="Q147" s="174"/>
      <c r="R147" s="174"/>
      <c r="S147" s="59"/>
      <c r="T147" s="59"/>
      <c r="U147" s="174"/>
      <c r="V147" s="174"/>
      <c r="W147" s="174"/>
      <c r="X147" s="59"/>
      <c r="Y147" s="59"/>
      <c r="Z147" s="92"/>
    </row>
    <row r="148" spans="1:26" ht="16.5" customHeight="1" x14ac:dyDescent="0.2">
      <c r="A148" s="193"/>
      <c r="B148" s="175"/>
      <c r="C148" s="111"/>
      <c r="D148" s="111"/>
      <c r="E148" s="9"/>
      <c r="F148" s="111"/>
      <c r="G148" s="111"/>
      <c r="H148" s="9"/>
      <c r="I148" s="9"/>
      <c r="J148" s="111"/>
      <c r="K148" s="111"/>
      <c r="L148" s="187"/>
      <c r="M148" s="16"/>
      <c r="N148" s="15"/>
      <c r="O148" s="15"/>
      <c r="P148" s="16"/>
      <c r="Q148" s="174"/>
      <c r="R148" s="174"/>
      <c r="S148" s="59"/>
      <c r="T148" s="59"/>
      <c r="U148" s="174"/>
      <c r="V148" s="174"/>
      <c r="W148" s="174"/>
      <c r="X148" s="59"/>
      <c r="Y148" s="59"/>
      <c r="Z148" s="92"/>
    </row>
    <row r="149" spans="1:26" ht="16.5" customHeight="1" x14ac:dyDescent="0.2">
      <c r="A149" s="193"/>
      <c r="B149" s="175"/>
      <c r="C149" s="111"/>
      <c r="D149" s="111"/>
      <c r="E149" s="9"/>
      <c r="F149" s="111"/>
      <c r="G149" s="111"/>
      <c r="H149" s="9"/>
      <c r="I149" s="9"/>
      <c r="J149" s="111"/>
      <c r="K149" s="111"/>
      <c r="L149" s="187"/>
      <c r="M149" s="16"/>
      <c r="N149" s="15"/>
      <c r="O149" s="15"/>
      <c r="P149" s="16"/>
      <c r="Q149" s="174"/>
      <c r="R149" s="174"/>
      <c r="S149" s="59"/>
      <c r="T149" s="59"/>
      <c r="U149" s="174"/>
      <c r="V149" s="174"/>
      <c r="W149" s="174"/>
      <c r="X149" s="59"/>
      <c r="Y149" s="59"/>
      <c r="Z149" s="92"/>
    </row>
    <row r="150" spans="1:26" ht="16.5" customHeight="1" x14ac:dyDescent="0.2">
      <c r="A150" s="193"/>
      <c r="B150" s="175"/>
      <c r="C150" s="111"/>
      <c r="D150" s="111"/>
      <c r="E150" s="9"/>
      <c r="F150" s="111"/>
      <c r="G150" s="111"/>
      <c r="H150" s="9"/>
      <c r="I150" s="9"/>
      <c r="J150" s="111"/>
      <c r="K150" s="111"/>
      <c r="L150" s="187"/>
      <c r="M150" s="16"/>
      <c r="N150" s="15"/>
      <c r="O150" s="15"/>
      <c r="P150" s="16"/>
      <c r="Q150" s="174"/>
      <c r="R150" s="174"/>
      <c r="S150" s="59"/>
      <c r="T150" s="59"/>
      <c r="U150" s="174"/>
      <c r="V150" s="174"/>
      <c r="W150" s="174"/>
      <c r="X150" s="59"/>
      <c r="Y150" s="59"/>
      <c r="Z150" s="92"/>
    </row>
    <row r="151" spans="1:26" ht="16.5" customHeight="1" x14ac:dyDescent="0.2">
      <c r="A151" s="193"/>
      <c r="B151" s="175"/>
      <c r="C151" s="111"/>
      <c r="D151" s="111"/>
      <c r="E151" s="9"/>
      <c r="F151" s="111"/>
      <c r="G151" s="111"/>
      <c r="H151" s="9"/>
      <c r="I151" s="9"/>
      <c r="J151" s="111"/>
      <c r="K151" s="111"/>
      <c r="L151" s="187"/>
      <c r="M151" s="16"/>
      <c r="N151" s="15"/>
      <c r="O151" s="15"/>
      <c r="P151" s="16"/>
      <c r="Q151" s="174"/>
      <c r="R151" s="174"/>
      <c r="S151" s="59"/>
      <c r="T151" s="59"/>
      <c r="U151" s="174"/>
      <c r="V151" s="174"/>
      <c r="W151" s="174"/>
      <c r="X151" s="59"/>
      <c r="Y151" s="59"/>
      <c r="Z151" s="92"/>
    </row>
    <row r="152" spans="1:26" ht="16.5" customHeight="1" x14ac:dyDescent="0.2">
      <c r="A152" s="193"/>
      <c r="B152" s="175"/>
      <c r="C152" s="111"/>
      <c r="D152" s="111"/>
      <c r="E152" s="9"/>
      <c r="F152" s="111"/>
      <c r="G152" s="111"/>
      <c r="H152" s="9"/>
      <c r="I152" s="9"/>
      <c r="J152" s="111"/>
      <c r="K152" s="111"/>
      <c r="L152" s="187"/>
      <c r="M152" s="16"/>
      <c r="N152" s="15"/>
      <c r="O152" s="15"/>
      <c r="P152" s="16"/>
      <c r="Q152" s="174"/>
      <c r="R152" s="174"/>
      <c r="S152" s="59"/>
      <c r="T152" s="59"/>
      <c r="U152" s="174"/>
      <c r="V152" s="174"/>
      <c r="W152" s="174"/>
      <c r="X152" s="59"/>
      <c r="Y152" s="59"/>
      <c r="Z152" s="92"/>
    </row>
    <row r="153" spans="1:26" ht="16.5" customHeight="1" x14ac:dyDescent="0.2">
      <c r="A153" s="193"/>
      <c r="B153" s="175"/>
      <c r="C153" s="111"/>
      <c r="D153" s="111"/>
      <c r="E153" s="9"/>
      <c r="F153" s="111"/>
      <c r="G153" s="111"/>
      <c r="H153" s="9"/>
      <c r="I153" s="9"/>
      <c r="J153" s="111"/>
      <c r="K153" s="111"/>
      <c r="L153" s="187"/>
      <c r="M153" s="16"/>
      <c r="N153" s="15"/>
      <c r="O153" s="15"/>
      <c r="P153" s="16"/>
      <c r="Q153" s="174"/>
      <c r="R153" s="174"/>
      <c r="S153" s="59"/>
      <c r="T153" s="59"/>
      <c r="U153" s="174"/>
      <c r="V153" s="174"/>
      <c r="W153" s="174"/>
      <c r="X153" s="59"/>
      <c r="Y153" s="59"/>
      <c r="Z153" s="92"/>
    </row>
    <row r="154" spans="1:26" ht="16.5" customHeight="1" x14ac:dyDescent="0.2">
      <c r="A154" s="193"/>
      <c r="B154" s="175"/>
      <c r="C154" s="111"/>
      <c r="D154" s="111"/>
      <c r="E154" s="9"/>
      <c r="F154" s="111"/>
      <c r="G154" s="111"/>
      <c r="H154" s="9"/>
      <c r="I154" s="9"/>
      <c r="J154" s="111"/>
      <c r="K154" s="111"/>
      <c r="L154" s="187"/>
      <c r="M154" s="16"/>
      <c r="N154" s="15"/>
      <c r="O154" s="15"/>
      <c r="P154" s="16"/>
      <c r="Q154" s="174"/>
      <c r="R154" s="174"/>
      <c r="S154" s="59"/>
      <c r="T154" s="59"/>
      <c r="U154" s="174"/>
      <c r="V154" s="174"/>
      <c r="W154" s="174"/>
      <c r="X154" s="59"/>
      <c r="Y154" s="59"/>
      <c r="Z154" s="92"/>
    </row>
    <row r="155" spans="1:26" ht="16.5" customHeight="1" x14ac:dyDescent="0.2">
      <c r="A155" s="193"/>
      <c r="B155" s="175"/>
      <c r="C155" s="111"/>
      <c r="D155" s="111"/>
      <c r="E155" s="9"/>
      <c r="F155" s="111"/>
      <c r="G155" s="111"/>
      <c r="H155" s="9"/>
      <c r="I155" s="9"/>
      <c r="J155" s="111"/>
      <c r="K155" s="111"/>
      <c r="L155" s="187"/>
      <c r="M155" s="16"/>
      <c r="N155" s="15"/>
      <c r="O155" s="15"/>
      <c r="P155" s="16"/>
      <c r="Q155" s="174"/>
      <c r="R155" s="174"/>
      <c r="S155" s="59"/>
      <c r="T155" s="59"/>
      <c r="U155" s="174"/>
      <c r="V155" s="174"/>
      <c r="W155" s="174"/>
      <c r="X155" s="59"/>
      <c r="Y155" s="59"/>
      <c r="Z155" s="92"/>
    </row>
    <row r="156" spans="1:26" ht="16.5" customHeight="1" x14ac:dyDescent="0.2">
      <c r="A156" s="193"/>
      <c r="B156" s="175"/>
      <c r="C156" s="111"/>
      <c r="D156" s="111"/>
      <c r="E156" s="9"/>
      <c r="F156" s="111"/>
      <c r="G156" s="111"/>
      <c r="H156" s="9"/>
      <c r="I156" s="9"/>
      <c r="J156" s="111"/>
      <c r="K156" s="111"/>
      <c r="L156" s="187"/>
      <c r="M156" s="16"/>
      <c r="N156" s="15"/>
      <c r="O156" s="15"/>
      <c r="P156" s="16"/>
      <c r="Q156" s="174"/>
      <c r="R156" s="174"/>
      <c r="S156" s="59"/>
      <c r="T156" s="59"/>
      <c r="U156" s="174"/>
      <c r="V156" s="174"/>
      <c r="W156" s="174"/>
      <c r="X156" s="59"/>
      <c r="Y156" s="59"/>
      <c r="Z156" s="92"/>
    </row>
    <row r="157" spans="1:26" ht="16.5" customHeight="1" x14ac:dyDescent="0.2">
      <c r="A157" s="193"/>
      <c r="B157" s="175"/>
      <c r="C157" s="111"/>
      <c r="D157" s="111"/>
      <c r="E157" s="9"/>
      <c r="F157" s="111"/>
      <c r="G157" s="111"/>
      <c r="H157" s="9"/>
      <c r="I157" s="9"/>
      <c r="J157" s="111"/>
      <c r="K157" s="111"/>
      <c r="L157" s="187"/>
      <c r="M157" s="16"/>
      <c r="N157" s="15"/>
      <c r="O157" s="15"/>
      <c r="P157" s="16"/>
      <c r="Q157" s="174"/>
      <c r="R157" s="174"/>
      <c r="S157" s="59"/>
      <c r="T157" s="59"/>
      <c r="U157" s="174"/>
      <c r="V157" s="174"/>
      <c r="W157" s="174"/>
      <c r="X157" s="59"/>
      <c r="Y157" s="59"/>
      <c r="Z157" s="92"/>
    </row>
    <row r="158" spans="1:26" ht="16.5" customHeight="1" x14ac:dyDescent="0.2">
      <c r="A158" s="193"/>
      <c r="B158" s="175"/>
      <c r="C158" s="111"/>
      <c r="D158" s="111"/>
      <c r="E158" s="9"/>
      <c r="F158" s="111"/>
      <c r="G158" s="111"/>
      <c r="H158" s="9"/>
      <c r="I158" s="9"/>
      <c r="J158" s="111"/>
      <c r="K158" s="111"/>
      <c r="L158" s="187"/>
      <c r="M158" s="16"/>
      <c r="N158" s="15"/>
      <c r="O158" s="15"/>
      <c r="P158" s="16"/>
      <c r="Q158" s="174"/>
      <c r="R158" s="174"/>
      <c r="S158" s="59"/>
      <c r="T158" s="59"/>
      <c r="U158" s="174"/>
      <c r="V158" s="174"/>
      <c r="W158" s="174"/>
      <c r="X158" s="59"/>
      <c r="Y158" s="59"/>
      <c r="Z158" s="92"/>
    </row>
    <row r="159" spans="1:26" ht="16.5" customHeight="1" x14ac:dyDescent="0.2">
      <c r="A159" s="193"/>
      <c r="B159" s="175"/>
      <c r="C159" s="111"/>
      <c r="D159" s="111"/>
      <c r="E159" s="9"/>
      <c r="F159" s="111"/>
      <c r="G159" s="111"/>
      <c r="H159" s="9"/>
      <c r="I159" s="9"/>
      <c r="J159" s="111"/>
      <c r="K159" s="111"/>
      <c r="L159" s="187"/>
      <c r="M159" s="16"/>
      <c r="N159" s="15"/>
      <c r="O159" s="15"/>
      <c r="P159" s="16"/>
      <c r="Q159" s="174"/>
      <c r="R159" s="174"/>
      <c r="S159" s="59"/>
      <c r="T159" s="59"/>
      <c r="U159" s="174"/>
      <c r="V159" s="174"/>
      <c r="W159" s="174"/>
      <c r="X159" s="59"/>
      <c r="Y159" s="59"/>
      <c r="Z159" s="92"/>
    </row>
    <row r="160" spans="1:26" ht="16.5" customHeight="1" x14ac:dyDescent="0.2">
      <c r="A160" s="193"/>
      <c r="B160" s="175"/>
      <c r="C160" s="111"/>
      <c r="D160" s="111"/>
      <c r="E160" s="9"/>
      <c r="F160" s="111"/>
      <c r="G160" s="111"/>
      <c r="H160" s="9"/>
      <c r="I160" s="9"/>
      <c r="J160" s="111"/>
      <c r="K160" s="111"/>
      <c r="L160" s="187"/>
      <c r="M160" s="16"/>
      <c r="N160" s="15"/>
      <c r="O160" s="15"/>
      <c r="P160" s="16"/>
      <c r="Q160" s="174"/>
      <c r="R160" s="174"/>
      <c r="S160" s="59"/>
      <c r="T160" s="59"/>
      <c r="U160" s="174"/>
      <c r="V160" s="174"/>
      <c r="W160" s="174"/>
      <c r="X160" s="59"/>
      <c r="Y160" s="59"/>
      <c r="Z160" s="92"/>
    </row>
    <row r="161" spans="1:26" ht="16.5" customHeight="1" x14ac:dyDescent="0.2">
      <c r="A161" s="193"/>
      <c r="B161" s="175"/>
      <c r="C161" s="111"/>
      <c r="D161" s="111"/>
      <c r="E161" s="9"/>
      <c r="F161" s="111"/>
      <c r="G161" s="111"/>
      <c r="H161" s="9"/>
      <c r="I161" s="9"/>
      <c r="J161" s="111"/>
      <c r="K161" s="111"/>
      <c r="L161" s="187"/>
      <c r="M161" s="16"/>
      <c r="N161" s="15"/>
      <c r="O161" s="15"/>
      <c r="P161" s="16"/>
      <c r="Q161" s="174"/>
      <c r="R161" s="174"/>
      <c r="S161" s="59"/>
      <c r="T161" s="59"/>
      <c r="U161" s="174"/>
      <c r="V161" s="174"/>
      <c r="W161" s="174"/>
      <c r="X161" s="59"/>
      <c r="Y161" s="59"/>
      <c r="Z161" s="92"/>
    </row>
    <row r="162" spans="1:26" ht="16.5" customHeight="1" x14ac:dyDescent="0.2">
      <c r="A162" s="193"/>
      <c r="B162" s="175"/>
      <c r="C162" s="111"/>
      <c r="D162" s="111"/>
      <c r="E162" s="9"/>
      <c r="F162" s="111"/>
      <c r="G162" s="111"/>
      <c r="H162" s="9"/>
      <c r="I162" s="9"/>
      <c r="J162" s="111"/>
      <c r="K162" s="111"/>
      <c r="L162" s="187"/>
      <c r="M162" s="16"/>
      <c r="N162" s="15"/>
      <c r="O162" s="15"/>
      <c r="P162" s="16"/>
      <c r="Q162" s="174"/>
      <c r="R162" s="174"/>
      <c r="S162" s="59"/>
      <c r="T162" s="59"/>
      <c r="U162" s="174"/>
      <c r="V162" s="174"/>
      <c r="W162" s="174"/>
      <c r="X162" s="59"/>
      <c r="Y162" s="59"/>
      <c r="Z162" s="92"/>
    </row>
    <row r="163" spans="1:26" ht="16.5" customHeight="1" x14ac:dyDescent="0.2">
      <c r="A163" s="193"/>
      <c r="B163" s="175"/>
      <c r="C163" s="111"/>
      <c r="D163" s="111"/>
      <c r="E163" s="9"/>
      <c r="F163" s="111"/>
      <c r="G163" s="111"/>
      <c r="H163" s="9"/>
      <c r="I163" s="9"/>
      <c r="J163" s="111"/>
      <c r="K163" s="111"/>
      <c r="L163" s="187"/>
      <c r="M163" s="16"/>
      <c r="N163" s="15"/>
      <c r="O163" s="15"/>
      <c r="P163" s="16"/>
      <c r="Q163" s="174"/>
      <c r="R163" s="174"/>
      <c r="S163" s="59"/>
      <c r="T163" s="59"/>
      <c r="U163" s="174"/>
      <c r="V163" s="174"/>
      <c r="W163" s="174"/>
      <c r="X163" s="59"/>
      <c r="Y163" s="59"/>
      <c r="Z163" s="92"/>
    </row>
    <row r="164" spans="1:26" ht="16.5" customHeight="1" x14ac:dyDescent="0.2">
      <c r="A164" s="193"/>
      <c r="B164" s="175"/>
      <c r="C164" s="111"/>
      <c r="D164" s="111"/>
      <c r="E164" s="9"/>
      <c r="F164" s="111"/>
      <c r="G164" s="111"/>
      <c r="H164" s="9"/>
      <c r="I164" s="9"/>
      <c r="J164" s="111"/>
      <c r="K164" s="111"/>
      <c r="L164" s="187"/>
      <c r="M164" s="16"/>
      <c r="N164" s="15"/>
      <c r="O164" s="15"/>
      <c r="P164" s="16"/>
      <c r="Q164" s="174"/>
      <c r="R164" s="174"/>
      <c r="S164" s="59"/>
      <c r="T164" s="59"/>
      <c r="U164" s="174"/>
      <c r="V164" s="174"/>
      <c r="W164" s="174"/>
      <c r="X164" s="59"/>
      <c r="Y164" s="59"/>
      <c r="Z164" s="92"/>
    </row>
    <row r="165" spans="1:26" ht="16.5" customHeight="1" x14ac:dyDescent="0.2">
      <c r="A165" s="193"/>
      <c r="B165" s="175"/>
      <c r="C165" s="111"/>
      <c r="D165" s="111"/>
      <c r="E165" s="9"/>
      <c r="F165" s="111"/>
      <c r="G165" s="111"/>
      <c r="H165" s="9"/>
      <c r="I165" s="9"/>
      <c r="J165" s="111"/>
      <c r="K165" s="111"/>
      <c r="L165" s="187"/>
      <c r="M165" s="16"/>
      <c r="N165" s="15"/>
      <c r="O165" s="15"/>
      <c r="P165" s="16"/>
      <c r="Q165" s="174"/>
      <c r="R165" s="174"/>
      <c r="S165" s="59"/>
      <c r="T165" s="59"/>
      <c r="U165" s="174"/>
      <c r="V165" s="174"/>
      <c r="W165" s="174"/>
      <c r="X165" s="59"/>
      <c r="Y165" s="59"/>
      <c r="Z165" s="92"/>
    </row>
    <row r="166" spans="1:26" ht="16.5" customHeight="1" x14ac:dyDescent="0.2">
      <c r="A166" s="193"/>
      <c r="B166" s="175"/>
      <c r="C166" s="111"/>
      <c r="D166" s="111"/>
      <c r="E166" s="9"/>
      <c r="F166" s="111"/>
      <c r="G166" s="111"/>
      <c r="H166" s="9"/>
      <c r="I166" s="9"/>
      <c r="J166" s="111"/>
      <c r="K166" s="111"/>
      <c r="L166" s="187"/>
      <c r="M166" s="16"/>
      <c r="N166" s="15"/>
      <c r="O166" s="15"/>
      <c r="P166" s="16"/>
      <c r="Q166" s="174"/>
      <c r="R166" s="174"/>
      <c r="S166" s="59"/>
      <c r="T166" s="59"/>
      <c r="U166" s="174"/>
      <c r="V166" s="174"/>
      <c r="W166" s="174"/>
      <c r="X166" s="59"/>
      <c r="Y166" s="59"/>
      <c r="Z166" s="92"/>
    </row>
    <row r="167" spans="1:26" ht="16.5" customHeight="1" x14ac:dyDescent="0.2">
      <c r="A167" s="193"/>
      <c r="B167" s="175"/>
      <c r="C167" s="111"/>
      <c r="D167" s="111"/>
      <c r="E167" s="9"/>
      <c r="F167" s="111"/>
      <c r="G167" s="111"/>
      <c r="H167" s="9"/>
      <c r="I167" s="9"/>
      <c r="J167" s="111"/>
      <c r="K167" s="111"/>
      <c r="L167" s="187"/>
      <c r="M167" s="16"/>
      <c r="N167" s="15"/>
      <c r="O167" s="15"/>
      <c r="P167" s="16"/>
      <c r="Q167" s="174"/>
      <c r="R167" s="174"/>
      <c r="S167" s="59"/>
      <c r="T167" s="59"/>
      <c r="U167" s="174"/>
      <c r="V167" s="174"/>
      <c r="W167" s="174"/>
      <c r="X167" s="59"/>
      <c r="Y167" s="59"/>
      <c r="Z167" s="92"/>
    </row>
    <row r="168" spans="1:26" ht="16.5" customHeight="1" x14ac:dyDescent="0.2">
      <c r="A168" s="193"/>
      <c r="B168" s="175"/>
      <c r="C168" s="111"/>
      <c r="D168" s="111"/>
      <c r="E168" s="9"/>
      <c r="F168" s="111"/>
      <c r="G168" s="111"/>
      <c r="H168" s="9"/>
      <c r="I168" s="9"/>
      <c r="J168" s="111"/>
      <c r="K168" s="111"/>
      <c r="L168" s="187"/>
      <c r="M168" s="16"/>
      <c r="N168" s="15"/>
      <c r="O168" s="15"/>
      <c r="P168" s="16"/>
      <c r="Q168" s="174"/>
      <c r="R168" s="174"/>
      <c r="S168" s="59"/>
      <c r="T168" s="59"/>
      <c r="U168" s="174"/>
      <c r="V168" s="174"/>
      <c r="W168" s="174"/>
      <c r="X168" s="59"/>
      <c r="Y168" s="59"/>
      <c r="Z168" s="92"/>
    </row>
    <row r="169" spans="1:26" ht="16.5" customHeight="1" x14ac:dyDescent="0.2">
      <c r="A169" s="193"/>
      <c r="B169" s="175"/>
      <c r="C169" s="111"/>
      <c r="D169" s="111"/>
      <c r="E169" s="9"/>
      <c r="F169" s="111"/>
      <c r="G169" s="111"/>
      <c r="H169" s="9"/>
      <c r="I169" s="9"/>
      <c r="J169" s="111"/>
      <c r="K169" s="111"/>
      <c r="L169" s="187"/>
      <c r="M169" s="16"/>
      <c r="N169" s="15"/>
      <c r="O169" s="15"/>
      <c r="P169" s="16"/>
      <c r="Q169" s="174"/>
      <c r="R169" s="174"/>
      <c r="S169" s="59"/>
      <c r="T169" s="59"/>
      <c r="U169" s="174"/>
      <c r="V169" s="174"/>
      <c r="W169" s="174"/>
      <c r="X169" s="59"/>
      <c r="Y169" s="59"/>
      <c r="Z169" s="92"/>
    </row>
    <row r="170" spans="1:26" ht="16.5" customHeight="1" x14ac:dyDescent="0.2">
      <c r="A170" s="193"/>
      <c r="B170" s="175"/>
      <c r="C170" s="111"/>
      <c r="D170" s="111"/>
      <c r="E170" s="9"/>
      <c r="F170" s="111"/>
      <c r="G170" s="111"/>
      <c r="H170" s="9"/>
      <c r="I170" s="9"/>
      <c r="J170" s="111"/>
      <c r="K170" s="111"/>
      <c r="L170" s="187"/>
      <c r="M170" s="16"/>
      <c r="N170" s="15"/>
      <c r="O170" s="15"/>
      <c r="P170" s="16"/>
      <c r="Q170" s="174"/>
      <c r="R170" s="174"/>
      <c r="S170" s="59"/>
      <c r="T170" s="59"/>
      <c r="U170" s="174"/>
      <c r="V170" s="174"/>
      <c r="W170" s="174"/>
      <c r="X170" s="59"/>
      <c r="Y170" s="59"/>
      <c r="Z170" s="92"/>
    </row>
    <row r="171" spans="1:26" ht="16.5" customHeight="1" x14ac:dyDescent="0.2">
      <c r="A171" s="193"/>
      <c r="B171" s="175"/>
      <c r="C171" s="111"/>
      <c r="D171" s="111"/>
      <c r="E171" s="9"/>
      <c r="F171" s="111"/>
      <c r="G171" s="111"/>
      <c r="H171" s="9"/>
      <c r="I171" s="9"/>
      <c r="J171" s="111"/>
      <c r="K171" s="111"/>
      <c r="L171" s="187"/>
      <c r="M171" s="16"/>
      <c r="N171" s="15"/>
      <c r="O171" s="15"/>
      <c r="P171" s="16"/>
      <c r="Q171" s="174"/>
      <c r="R171" s="174"/>
      <c r="S171" s="59"/>
      <c r="T171" s="59"/>
      <c r="U171" s="174"/>
      <c r="V171" s="174"/>
      <c r="W171" s="174"/>
      <c r="X171" s="59"/>
      <c r="Y171" s="59"/>
      <c r="Z171" s="92"/>
    </row>
    <row r="172" spans="1:26" ht="16.5" customHeight="1" x14ac:dyDescent="0.2">
      <c r="A172" s="193"/>
      <c r="B172" s="175"/>
      <c r="C172" s="111"/>
      <c r="D172" s="111"/>
      <c r="E172" s="9"/>
      <c r="F172" s="111"/>
      <c r="G172" s="111"/>
      <c r="H172" s="9"/>
      <c r="I172" s="9"/>
      <c r="J172" s="111"/>
      <c r="K172" s="111"/>
      <c r="L172" s="187"/>
      <c r="M172" s="16"/>
      <c r="N172" s="15"/>
      <c r="O172" s="15"/>
      <c r="P172" s="16"/>
      <c r="Q172" s="174"/>
      <c r="R172" s="174"/>
      <c r="S172" s="59"/>
      <c r="T172" s="59"/>
      <c r="U172" s="174"/>
      <c r="V172" s="174"/>
      <c r="W172" s="174"/>
      <c r="X172" s="59"/>
      <c r="Y172" s="59"/>
      <c r="Z172" s="92"/>
    </row>
    <row r="173" spans="1:26" ht="16.5" customHeight="1" x14ac:dyDescent="0.2">
      <c r="A173" s="193"/>
      <c r="B173" s="175"/>
      <c r="C173" s="111"/>
      <c r="D173" s="111"/>
      <c r="E173" s="9"/>
      <c r="F173" s="111"/>
      <c r="G173" s="111"/>
      <c r="H173" s="9"/>
      <c r="I173" s="9"/>
      <c r="J173" s="111"/>
      <c r="K173" s="111"/>
      <c r="L173" s="187"/>
      <c r="M173" s="16"/>
      <c r="N173" s="15"/>
      <c r="O173" s="15"/>
      <c r="P173" s="16"/>
      <c r="Q173" s="174"/>
      <c r="R173" s="174"/>
      <c r="S173" s="59"/>
      <c r="T173" s="59"/>
      <c r="U173" s="174"/>
      <c r="V173" s="174"/>
      <c r="W173" s="174"/>
      <c r="X173" s="59"/>
      <c r="Y173" s="59"/>
      <c r="Z173" s="92"/>
    </row>
    <row r="174" spans="1:26" ht="16.5" customHeight="1" x14ac:dyDescent="0.2">
      <c r="A174" s="193"/>
      <c r="B174" s="175"/>
      <c r="C174" s="111"/>
      <c r="D174" s="111"/>
      <c r="E174" s="9"/>
      <c r="F174" s="111"/>
      <c r="G174" s="111"/>
      <c r="H174" s="9"/>
      <c r="I174" s="9"/>
      <c r="J174" s="111"/>
      <c r="K174" s="111"/>
      <c r="L174" s="187"/>
      <c r="M174" s="16"/>
      <c r="N174" s="15"/>
      <c r="O174" s="15"/>
      <c r="P174" s="16"/>
      <c r="Q174" s="174"/>
      <c r="R174" s="174"/>
      <c r="S174" s="59"/>
      <c r="T174" s="59"/>
      <c r="U174" s="174"/>
      <c r="V174" s="174"/>
      <c r="W174" s="174"/>
      <c r="X174" s="59"/>
      <c r="Y174" s="59"/>
      <c r="Z174" s="92"/>
    </row>
    <row r="175" spans="1:26" ht="16.5" customHeight="1" x14ac:dyDescent="0.2">
      <c r="A175" s="193"/>
      <c r="B175" s="175"/>
      <c r="C175" s="111"/>
      <c r="D175" s="111"/>
      <c r="E175" s="9"/>
      <c r="F175" s="111"/>
      <c r="G175" s="111"/>
      <c r="H175" s="9"/>
      <c r="I175" s="9"/>
      <c r="J175" s="111"/>
      <c r="K175" s="111"/>
      <c r="L175" s="187"/>
      <c r="M175" s="16"/>
      <c r="N175" s="15"/>
      <c r="O175" s="15"/>
      <c r="P175" s="16"/>
      <c r="Q175" s="174"/>
      <c r="R175" s="174"/>
      <c r="S175" s="59"/>
      <c r="T175" s="59"/>
      <c r="U175" s="174"/>
      <c r="V175" s="174"/>
      <c r="W175" s="174"/>
      <c r="X175" s="59"/>
      <c r="Y175" s="59"/>
      <c r="Z175" s="92"/>
    </row>
    <row r="176" spans="1:26" ht="16.5" customHeight="1" x14ac:dyDescent="0.2">
      <c r="A176" s="193"/>
      <c r="B176" s="175"/>
      <c r="C176" s="111"/>
      <c r="D176" s="111"/>
      <c r="E176" s="9"/>
      <c r="F176" s="111"/>
      <c r="G176" s="111"/>
      <c r="H176" s="9"/>
      <c r="I176" s="9"/>
      <c r="J176" s="111"/>
      <c r="K176" s="111"/>
      <c r="L176" s="187"/>
      <c r="M176" s="16"/>
      <c r="N176" s="15"/>
      <c r="O176" s="15"/>
      <c r="P176" s="16"/>
      <c r="Q176" s="174"/>
      <c r="R176" s="174"/>
      <c r="S176" s="59"/>
      <c r="T176" s="59"/>
      <c r="U176" s="174"/>
      <c r="V176" s="174"/>
      <c r="W176" s="174"/>
      <c r="X176" s="59"/>
      <c r="Y176" s="59"/>
      <c r="Z176" s="92"/>
    </row>
    <row r="177" spans="1:26" ht="16.5" customHeight="1" x14ac:dyDescent="0.2">
      <c r="A177" s="193"/>
      <c r="B177" s="175"/>
      <c r="C177" s="111"/>
      <c r="D177" s="111"/>
      <c r="E177" s="9"/>
      <c r="F177" s="111"/>
      <c r="G177" s="111"/>
      <c r="H177" s="9"/>
      <c r="I177" s="9"/>
      <c r="J177" s="111"/>
      <c r="K177" s="111"/>
      <c r="L177" s="187"/>
      <c r="M177" s="16"/>
      <c r="N177" s="15"/>
      <c r="O177" s="15"/>
      <c r="P177" s="16"/>
      <c r="Q177" s="174"/>
      <c r="R177" s="174"/>
      <c r="S177" s="59"/>
      <c r="T177" s="59"/>
      <c r="U177" s="174"/>
      <c r="V177" s="174"/>
      <c r="W177" s="174"/>
      <c r="X177" s="59"/>
      <c r="Y177" s="59"/>
      <c r="Z177" s="92"/>
    </row>
    <row r="178" spans="1:26" ht="16.5" customHeight="1" x14ac:dyDescent="0.2">
      <c r="A178" s="193"/>
      <c r="B178" s="175"/>
      <c r="C178" s="111"/>
      <c r="D178" s="111"/>
      <c r="E178" s="9"/>
      <c r="F178" s="111"/>
      <c r="G178" s="111"/>
      <c r="H178" s="9"/>
      <c r="I178" s="9"/>
      <c r="J178" s="111"/>
      <c r="K178" s="111"/>
      <c r="L178" s="187"/>
      <c r="M178" s="16"/>
      <c r="N178" s="15"/>
      <c r="O178" s="15"/>
      <c r="P178" s="16"/>
      <c r="Q178" s="174"/>
      <c r="R178" s="174"/>
      <c r="S178" s="59"/>
      <c r="T178" s="59"/>
      <c r="U178" s="174"/>
      <c r="V178" s="174"/>
      <c r="W178" s="174"/>
      <c r="X178" s="59"/>
      <c r="Y178" s="59"/>
      <c r="Z178" s="92"/>
    </row>
    <row r="179" spans="1:26" ht="16.5" customHeight="1" x14ac:dyDescent="0.2">
      <c r="A179" s="193"/>
      <c r="B179" s="175"/>
      <c r="C179" s="111"/>
      <c r="D179" s="111"/>
      <c r="E179" s="9"/>
      <c r="F179" s="111"/>
      <c r="G179" s="111"/>
      <c r="H179" s="9"/>
      <c r="I179" s="9"/>
      <c r="J179" s="111"/>
      <c r="K179" s="111"/>
      <c r="L179" s="187"/>
      <c r="M179" s="16"/>
      <c r="N179" s="15"/>
      <c r="O179" s="15"/>
      <c r="P179" s="16"/>
      <c r="Q179" s="174"/>
      <c r="R179" s="174"/>
      <c r="S179" s="59"/>
      <c r="T179" s="59"/>
      <c r="U179" s="174"/>
      <c r="V179" s="174"/>
      <c r="W179" s="174"/>
      <c r="X179" s="59"/>
      <c r="Y179" s="59"/>
      <c r="Z179" s="92"/>
    </row>
    <row r="180" spans="1:26" ht="16.5" customHeight="1" x14ac:dyDescent="0.2">
      <c r="A180" s="193"/>
      <c r="B180" s="175"/>
      <c r="C180" s="111"/>
      <c r="D180" s="111"/>
      <c r="E180" s="9"/>
      <c r="F180" s="111"/>
      <c r="G180" s="111"/>
      <c r="H180" s="9"/>
      <c r="I180" s="9"/>
      <c r="J180" s="111"/>
      <c r="K180" s="111"/>
      <c r="L180" s="187"/>
      <c r="M180" s="16"/>
      <c r="N180" s="15"/>
      <c r="O180" s="15"/>
      <c r="P180" s="16"/>
      <c r="Q180" s="174"/>
      <c r="R180" s="174"/>
      <c r="S180" s="59"/>
      <c r="T180" s="59"/>
      <c r="U180" s="174"/>
      <c r="V180" s="174"/>
      <c r="W180" s="174"/>
      <c r="X180" s="59"/>
      <c r="Y180" s="59"/>
      <c r="Z180" s="92"/>
    </row>
    <row r="181" spans="1:26" ht="16.5" customHeight="1" x14ac:dyDescent="0.2">
      <c r="A181" s="193"/>
      <c r="B181" s="175"/>
      <c r="C181" s="111"/>
      <c r="D181" s="111"/>
      <c r="E181" s="9"/>
      <c r="F181" s="111"/>
      <c r="G181" s="111"/>
      <c r="H181" s="9"/>
      <c r="I181" s="9"/>
      <c r="J181" s="111"/>
      <c r="K181" s="111"/>
      <c r="L181" s="187"/>
      <c r="M181" s="16"/>
      <c r="N181" s="15"/>
      <c r="O181" s="15"/>
      <c r="P181" s="16"/>
      <c r="Q181" s="174"/>
      <c r="R181" s="174"/>
      <c r="S181" s="59"/>
      <c r="T181" s="59"/>
      <c r="U181" s="174"/>
      <c r="V181" s="174"/>
      <c r="W181" s="174"/>
      <c r="X181" s="59"/>
      <c r="Y181" s="59"/>
      <c r="Z181" s="92"/>
    </row>
    <row r="182" spans="1:26" ht="16.5" customHeight="1" x14ac:dyDescent="0.2">
      <c r="A182" s="193"/>
      <c r="B182" s="175"/>
      <c r="C182" s="111"/>
      <c r="D182" s="111"/>
      <c r="E182" s="9"/>
      <c r="F182" s="111"/>
      <c r="G182" s="111"/>
      <c r="H182" s="9"/>
      <c r="I182" s="9"/>
      <c r="J182" s="111"/>
      <c r="K182" s="111"/>
      <c r="L182" s="187"/>
      <c r="M182" s="16"/>
      <c r="N182" s="15"/>
      <c r="O182" s="15"/>
      <c r="P182" s="16"/>
      <c r="Q182" s="174"/>
      <c r="R182" s="174"/>
      <c r="S182" s="59"/>
      <c r="T182" s="59"/>
      <c r="U182" s="174"/>
      <c r="V182" s="174"/>
      <c r="W182" s="174"/>
      <c r="X182" s="59"/>
      <c r="Y182" s="59"/>
      <c r="Z182" s="92"/>
    </row>
    <row r="183" spans="1:26" ht="16.5" customHeight="1" x14ac:dyDescent="0.2">
      <c r="A183" s="193"/>
      <c r="B183" s="175"/>
      <c r="C183" s="111"/>
      <c r="D183" s="111"/>
      <c r="E183" s="9"/>
      <c r="F183" s="111"/>
      <c r="G183" s="111"/>
      <c r="H183" s="9"/>
      <c r="I183" s="9"/>
      <c r="J183" s="111"/>
      <c r="K183" s="111"/>
      <c r="L183" s="187"/>
      <c r="M183" s="16"/>
      <c r="N183" s="15"/>
      <c r="O183" s="15"/>
      <c r="P183" s="16"/>
      <c r="Q183" s="174"/>
      <c r="R183" s="174"/>
      <c r="S183" s="59"/>
      <c r="T183" s="59"/>
      <c r="U183" s="174"/>
      <c r="V183" s="174"/>
      <c r="W183" s="174"/>
      <c r="X183" s="59"/>
      <c r="Y183" s="59"/>
      <c r="Z183" s="92"/>
    </row>
    <row r="184" spans="1:26" ht="16.5" customHeight="1" x14ac:dyDescent="0.2">
      <c r="A184" s="193"/>
      <c r="B184" s="175"/>
      <c r="C184" s="111"/>
      <c r="D184" s="111"/>
      <c r="E184" s="9"/>
      <c r="F184" s="111"/>
      <c r="G184" s="111"/>
      <c r="H184" s="9"/>
      <c r="I184" s="9"/>
      <c r="J184" s="111"/>
      <c r="K184" s="111"/>
      <c r="L184" s="187"/>
      <c r="M184" s="16"/>
      <c r="N184" s="15"/>
      <c r="O184" s="15"/>
      <c r="P184" s="16"/>
      <c r="Q184" s="174"/>
      <c r="R184" s="174"/>
      <c r="S184" s="59"/>
      <c r="T184" s="59"/>
      <c r="U184" s="174"/>
      <c r="V184" s="174"/>
      <c r="W184" s="174"/>
      <c r="X184" s="59"/>
      <c r="Y184" s="59"/>
      <c r="Z184" s="92"/>
    </row>
    <row r="185" spans="1:26" ht="16.5" customHeight="1" x14ac:dyDescent="0.2">
      <c r="A185" s="193"/>
      <c r="B185" s="175"/>
      <c r="C185" s="111"/>
      <c r="D185" s="111"/>
      <c r="E185" s="9"/>
      <c r="F185" s="111"/>
      <c r="G185" s="111"/>
      <c r="H185" s="9"/>
      <c r="I185" s="9"/>
      <c r="J185" s="111"/>
      <c r="K185" s="111"/>
      <c r="L185" s="187"/>
      <c r="M185" s="16"/>
      <c r="N185" s="15"/>
      <c r="O185" s="15"/>
      <c r="P185" s="16"/>
      <c r="Q185" s="174"/>
      <c r="R185" s="174"/>
      <c r="S185" s="59"/>
      <c r="T185" s="59"/>
      <c r="U185" s="174"/>
      <c r="V185" s="174"/>
      <c r="W185" s="174"/>
      <c r="X185" s="59"/>
      <c r="Y185" s="59"/>
      <c r="Z185" s="92"/>
    </row>
    <row r="186" spans="1:26" ht="16.5" customHeight="1" x14ac:dyDescent="0.2">
      <c r="A186" s="193"/>
      <c r="B186" s="175"/>
      <c r="C186" s="111"/>
      <c r="D186" s="111"/>
      <c r="E186" s="9"/>
      <c r="F186" s="111"/>
      <c r="G186" s="111"/>
      <c r="H186" s="9"/>
      <c r="I186" s="9"/>
      <c r="J186" s="111"/>
      <c r="K186" s="111"/>
      <c r="L186" s="187"/>
      <c r="M186" s="16"/>
      <c r="N186" s="15"/>
      <c r="O186" s="15"/>
      <c r="P186" s="16"/>
      <c r="Q186" s="174"/>
      <c r="R186" s="174"/>
      <c r="S186" s="59"/>
      <c r="T186" s="59"/>
      <c r="U186" s="174"/>
      <c r="V186" s="174"/>
      <c r="W186" s="174"/>
      <c r="X186" s="59"/>
      <c r="Y186" s="59"/>
      <c r="Z186" s="92"/>
    </row>
    <row r="187" spans="1:26" ht="16.5" customHeight="1" x14ac:dyDescent="0.2">
      <c r="A187" s="193"/>
      <c r="B187" s="175"/>
      <c r="C187" s="111"/>
      <c r="D187" s="111"/>
      <c r="E187" s="9"/>
      <c r="F187" s="111"/>
      <c r="G187" s="111"/>
      <c r="H187" s="9"/>
      <c r="I187" s="9"/>
      <c r="J187" s="111"/>
      <c r="K187" s="111"/>
      <c r="L187" s="187"/>
      <c r="M187" s="16"/>
      <c r="N187" s="15"/>
      <c r="O187" s="15"/>
      <c r="P187" s="16"/>
      <c r="Q187" s="174"/>
      <c r="R187" s="174"/>
      <c r="S187" s="59"/>
      <c r="T187" s="59"/>
      <c r="U187" s="174"/>
      <c r="V187" s="174"/>
      <c r="W187" s="174"/>
      <c r="X187" s="59"/>
      <c r="Y187" s="59"/>
      <c r="Z187" s="92"/>
    </row>
    <row r="188" spans="1:26" ht="16.5" customHeight="1" x14ac:dyDescent="0.2">
      <c r="A188" s="193"/>
      <c r="B188" s="175"/>
      <c r="C188" s="111"/>
      <c r="D188" s="111"/>
      <c r="E188" s="9"/>
      <c r="F188" s="111"/>
      <c r="G188" s="111"/>
      <c r="H188" s="9"/>
      <c r="I188" s="9"/>
      <c r="J188" s="111"/>
      <c r="K188" s="111"/>
      <c r="L188" s="187"/>
      <c r="M188" s="16"/>
      <c r="N188" s="15"/>
      <c r="O188" s="15"/>
      <c r="P188" s="16"/>
      <c r="Q188" s="174"/>
      <c r="R188" s="174"/>
      <c r="S188" s="59"/>
      <c r="T188" s="59"/>
      <c r="U188" s="174"/>
      <c r="V188" s="174"/>
      <c r="W188" s="174"/>
      <c r="X188" s="59"/>
      <c r="Y188" s="59"/>
      <c r="Z188" s="92"/>
    </row>
    <row r="189" spans="1:26" ht="16.5" customHeight="1" x14ac:dyDescent="0.2">
      <c r="A189" s="193"/>
      <c r="B189" s="175"/>
      <c r="C189" s="111"/>
      <c r="D189" s="111"/>
      <c r="E189" s="9"/>
      <c r="F189" s="111"/>
      <c r="G189" s="111"/>
      <c r="H189" s="9"/>
      <c r="I189" s="9"/>
      <c r="J189" s="111"/>
      <c r="K189" s="111"/>
      <c r="L189" s="187"/>
      <c r="M189" s="16"/>
      <c r="N189" s="15"/>
      <c r="O189" s="15"/>
      <c r="P189" s="16"/>
      <c r="Q189" s="174"/>
      <c r="R189" s="174"/>
      <c r="S189" s="59"/>
      <c r="T189" s="59"/>
      <c r="U189" s="174"/>
      <c r="V189" s="174"/>
      <c r="W189" s="174"/>
      <c r="X189" s="59"/>
      <c r="Y189" s="59"/>
      <c r="Z189" s="92"/>
    </row>
    <row r="190" spans="1:26" ht="16.5" customHeight="1" x14ac:dyDescent="0.2">
      <c r="A190" s="193"/>
      <c r="B190" s="175"/>
      <c r="C190" s="111"/>
      <c r="D190" s="111"/>
      <c r="E190" s="9"/>
      <c r="F190" s="111"/>
      <c r="G190" s="111"/>
      <c r="H190" s="9"/>
      <c r="I190" s="9"/>
      <c r="J190" s="111"/>
      <c r="K190" s="111"/>
      <c r="L190" s="187"/>
      <c r="M190" s="16"/>
      <c r="N190" s="15"/>
      <c r="O190" s="15"/>
      <c r="P190" s="16"/>
      <c r="Q190" s="174"/>
      <c r="R190" s="174"/>
      <c r="S190" s="59"/>
      <c r="T190" s="59"/>
      <c r="U190" s="174"/>
      <c r="V190" s="174"/>
      <c r="W190" s="174"/>
      <c r="X190" s="59"/>
      <c r="Y190" s="59"/>
      <c r="Z190" s="92"/>
    </row>
    <row r="191" spans="1:26" ht="16.5" customHeight="1" x14ac:dyDescent="0.2">
      <c r="A191" s="193"/>
      <c r="B191" s="175"/>
      <c r="C191" s="111"/>
      <c r="D191" s="111"/>
      <c r="E191" s="9"/>
      <c r="F191" s="111"/>
      <c r="G191" s="111"/>
      <c r="H191" s="9"/>
      <c r="I191" s="9"/>
      <c r="J191" s="111"/>
      <c r="K191" s="111"/>
      <c r="L191" s="187"/>
      <c r="M191" s="16"/>
      <c r="N191" s="15"/>
      <c r="O191" s="15"/>
      <c r="P191" s="16"/>
      <c r="Q191" s="174"/>
      <c r="R191" s="174"/>
      <c r="S191" s="59"/>
      <c r="T191" s="59"/>
      <c r="U191" s="174"/>
      <c r="V191" s="174"/>
      <c r="W191" s="174"/>
      <c r="X191" s="59"/>
      <c r="Y191" s="59"/>
      <c r="Z191" s="92"/>
    </row>
    <row r="192" spans="1:26" ht="16.5" customHeight="1" x14ac:dyDescent="0.2">
      <c r="A192" s="193"/>
      <c r="B192" s="175"/>
      <c r="C192" s="111"/>
      <c r="D192" s="111"/>
      <c r="E192" s="9"/>
      <c r="F192" s="111"/>
      <c r="G192" s="111"/>
      <c r="H192" s="9"/>
      <c r="I192" s="9"/>
      <c r="J192" s="111"/>
      <c r="K192" s="111"/>
      <c r="L192" s="187"/>
      <c r="M192" s="16"/>
      <c r="N192" s="15"/>
      <c r="O192" s="15"/>
      <c r="P192" s="16"/>
      <c r="Q192" s="174"/>
      <c r="R192" s="174"/>
      <c r="S192" s="59"/>
      <c r="T192" s="59"/>
      <c r="U192" s="174"/>
      <c r="V192" s="174"/>
      <c r="W192" s="174"/>
      <c r="X192" s="59"/>
      <c r="Y192" s="59"/>
      <c r="Z192" s="92"/>
    </row>
    <row r="193" spans="1:26" ht="16.5" customHeight="1" x14ac:dyDescent="0.2">
      <c r="A193" s="193"/>
      <c r="B193" s="175"/>
      <c r="C193" s="111"/>
      <c r="D193" s="111"/>
      <c r="E193" s="9"/>
      <c r="F193" s="111"/>
      <c r="G193" s="111"/>
      <c r="H193" s="9"/>
      <c r="I193" s="9"/>
      <c r="J193" s="111"/>
      <c r="K193" s="111"/>
      <c r="L193" s="187"/>
      <c r="M193" s="16"/>
      <c r="N193" s="15"/>
      <c r="O193" s="15"/>
      <c r="P193" s="16"/>
      <c r="Q193" s="174"/>
      <c r="R193" s="174"/>
      <c r="S193" s="59"/>
      <c r="T193" s="59"/>
      <c r="U193" s="174"/>
      <c r="V193" s="174"/>
      <c r="W193" s="174"/>
      <c r="X193" s="59"/>
      <c r="Y193" s="59"/>
      <c r="Z193" s="92"/>
    </row>
    <row r="194" spans="1:26" ht="16.5" customHeight="1" x14ac:dyDescent="0.2">
      <c r="A194" s="193"/>
      <c r="B194" s="175"/>
      <c r="C194" s="111"/>
      <c r="D194" s="111"/>
      <c r="E194" s="9"/>
      <c r="F194" s="111"/>
      <c r="G194" s="111"/>
      <c r="H194" s="9"/>
      <c r="I194" s="9"/>
      <c r="J194" s="111"/>
      <c r="K194" s="111"/>
      <c r="L194" s="187"/>
      <c r="M194" s="16"/>
      <c r="N194" s="15"/>
      <c r="O194" s="15"/>
      <c r="P194" s="16"/>
      <c r="Q194" s="174"/>
      <c r="R194" s="174"/>
      <c r="S194" s="59"/>
      <c r="T194" s="59"/>
      <c r="U194" s="174"/>
      <c r="V194" s="174"/>
      <c r="W194" s="174"/>
      <c r="X194" s="59"/>
      <c r="Y194" s="59"/>
      <c r="Z194" s="92"/>
    </row>
    <row r="195" spans="1:26" ht="16.5" customHeight="1" x14ac:dyDescent="0.2">
      <c r="A195" s="193"/>
      <c r="B195" s="175"/>
      <c r="C195" s="111"/>
      <c r="D195" s="111"/>
      <c r="E195" s="9"/>
      <c r="F195" s="111"/>
      <c r="G195" s="111"/>
      <c r="H195" s="9"/>
      <c r="I195" s="9"/>
      <c r="J195" s="111"/>
      <c r="K195" s="111"/>
      <c r="L195" s="187"/>
      <c r="M195" s="16"/>
      <c r="N195" s="15"/>
      <c r="O195" s="15"/>
      <c r="P195" s="16"/>
      <c r="Q195" s="174"/>
      <c r="R195" s="174"/>
      <c r="S195" s="59"/>
      <c r="T195" s="59"/>
      <c r="U195" s="174"/>
      <c r="V195" s="174"/>
      <c r="W195" s="174"/>
      <c r="X195" s="59"/>
      <c r="Y195" s="59"/>
      <c r="Z195" s="92"/>
    </row>
    <row r="196" spans="1:26" ht="16.5" customHeight="1" x14ac:dyDescent="0.2">
      <c r="A196" s="193"/>
      <c r="B196" s="175"/>
      <c r="C196" s="111"/>
      <c r="D196" s="111"/>
      <c r="E196" s="9"/>
      <c r="F196" s="111"/>
      <c r="G196" s="111"/>
      <c r="H196" s="9"/>
      <c r="I196" s="9"/>
      <c r="J196" s="111"/>
      <c r="K196" s="111"/>
      <c r="L196" s="187"/>
      <c r="M196" s="16"/>
      <c r="N196" s="15"/>
      <c r="O196" s="15"/>
      <c r="P196" s="16"/>
      <c r="Q196" s="174"/>
      <c r="R196" s="174"/>
      <c r="S196" s="59"/>
      <c r="T196" s="59"/>
      <c r="U196" s="174"/>
      <c r="V196" s="174"/>
      <c r="W196" s="174"/>
      <c r="X196" s="59"/>
      <c r="Y196" s="59"/>
      <c r="Z196" s="92"/>
    </row>
    <row r="197" spans="1:26" ht="16.5" customHeight="1" x14ac:dyDescent="0.2">
      <c r="A197" s="193"/>
      <c r="B197" s="175"/>
      <c r="C197" s="111"/>
      <c r="D197" s="111"/>
      <c r="E197" s="9"/>
      <c r="F197" s="111"/>
      <c r="G197" s="111"/>
      <c r="H197" s="9"/>
      <c r="I197" s="9"/>
      <c r="J197" s="111"/>
      <c r="K197" s="111"/>
      <c r="L197" s="187"/>
      <c r="M197" s="16"/>
      <c r="N197" s="15"/>
      <c r="O197" s="15"/>
      <c r="P197" s="16"/>
      <c r="Q197" s="174"/>
      <c r="R197" s="174"/>
      <c r="S197" s="59"/>
      <c r="T197" s="59"/>
      <c r="U197" s="174"/>
      <c r="V197" s="174"/>
      <c r="W197" s="174"/>
      <c r="X197" s="59"/>
      <c r="Y197" s="59"/>
      <c r="Z197" s="92"/>
    </row>
    <row r="198" spans="1:26" ht="16.5" customHeight="1" x14ac:dyDescent="0.2">
      <c r="A198" s="193"/>
      <c r="B198" s="175"/>
      <c r="C198" s="111"/>
      <c r="D198" s="111"/>
      <c r="E198" s="9"/>
      <c r="F198" s="111"/>
      <c r="G198" s="111"/>
      <c r="H198" s="9"/>
      <c r="I198" s="9"/>
      <c r="J198" s="111"/>
      <c r="K198" s="111"/>
      <c r="L198" s="187"/>
      <c r="M198" s="16"/>
      <c r="N198" s="15"/>
      <c r="O198" s="15"/>
      <c r="P198" s="16"/>
      <c r="Q198" s="174"/>
      <c r="R198" s="174"/>
      <c r="S198" s="59"/>
      <c r="T198" s="59"/>
      <c r="U198" s="174"/>
      <c r="V198" s="174"/>
      <c r="W198" s="174"/>
      <c r="X198" s="59"/>
      <c r="Y198" s="59"/>
      <c r="Z198" s="92"/>
    </row>
    <row r="199" spans="1:26" ht="16.5" customHeight="1" x14ac:dyDescent="0.2">
      <c r="A199" s="193"/>
      <c r="B199" s="175"/>
      <c r="C199" s="111"/>
      <c r="D199" s="111"/>
      <c r="E199" s="9"/>
      <c r="F199" s="111"/>
      <c r="G199" s="111"/>
      <c r="H199" s="9"/>
      <c r="I199" s="9"/>
      <c r="J199" s="111"/>
      <c r="K199" s="111"/>
      <c r="L199" s="187"/>
      <c r="M199" s="16"/>
      <c r="N199" s="15"/>
      <c r="O199" s="15"/>
      <c r="P199" s="16"/>
      <c r="Q199" s="174"/>
      <c r="R199" s="174"/>
      <c r="S199" s="59"/>
      <c r="T199" s="59"/>
      <c r="U199" s="174"/>
      <c r="V199" s="174"/>
      <c r="W199" s="174"/>
      <c r="X199" s="59"/>
      <c r="Y199" s="59"/>
      <c r="Z199" s="92"/>
    </row>
    <row r="200" spans="1:26" ht="16.5" customHeight="1" x14ac:dyDescent="0.2">
      <c r="A200" s="193"/>
      <c r="B200" s="175"/>
      <c r="C200" s="111"/>
      <c r="D200" s="111"/>
      <c r="E200" s="9"/>
      <c r="F200" s="111"/>
      <c r="G200" s="111"/>
      <c r="H200" s="9"/>
      <c r="I200" s="9"/>
      <c r="J200" s="111"/>
      <c r="K200" s="111"/>
      <c r="L200" s="187"/>
      <c r="M200" s="16"/>
      <c r="N200" s="15"/>
      <c r="O200" s="15"/>
      <c r="P200" s="16"/>
      <c r="Q200" s="174"/>
      <c r="R200" s="174"/>
      <c r="S200" s="59"/>
      <c r="T200" s="59"/>
      <c r="U200" s="174"/>
      <c r="V200" s="174"/>
      <c r="W200" s="174"/>
      <c r="X200" s="59"/>
      <c r="Y200" s="59"/>
      <c r="Z200" s="92"/>
    </row>
    <row r="201" spans="1:26" ht="16.5" customHeight="1" x14ac:dyDescent="0.2">
      <c r="A201" s="193"/>
      <c r="B201" s="175"/>
      <c r="C201" s="111"/>
      <c r="D201" s="111"/>
      <c r="E201" s="9"/>
      <c r="F201" s="111"/>
      <c r="G201" s="111"/>
      <c r="H201" s="9"/>
      <c r="I201" s="9"/>
      <c r="J201" s="111"/>
      <c r="K201" s="111"/>
      <c r="L201" s="187"/>
      <c r="M201" s="16"/>
      <c r="N201" s="15"/>
      <c r="O201" s="15"/>
      <c r="P201" s="16"/>
      <c r="Q201" s="174"/>
      <c r="R201" s="174"/>
      <c r="S201" s="59"/>
      <c r="T201" s="59"/>
      <c r="U201" s="174"/>
      <c r="V201" s="174"/>
      <c r="W201" s="174"/>
      <c r="X201" s="59"/>
      <c r="Y201" s="59"/>
      <c r="Z201" s="92"/>
    </row>
    <row r="202" spans="1:26" ht="16.5" customHeight="1" x14ac:dyDescent="0.2">
      <c r="A202" s="193"/>
      <c r="B202" s="175"/>
      <c r="C202" s="111"/>
      <c r="D202" s="111"/>
      <c r="E202" s="9"/>
      <c r="F202" s="111"/>
      <c r="G202" s="111"/>
      <c r="H202" s="9"/>
      <c r="I202" s="9"/>
      <c r="J202" s="111"/>
      <c r="K202" s="111"/>
      <c r="L202" s="187"/>
      <c r="M202" s="16"/>
      <c r="N202" s="15"/>
      <c r="O202" s="15"/>
      <c r="P202" s="16"/>
      <c r="Q202" s="174"/>
      <c r="R202" s="174"/>
      <c r="S202" s="59"/>
      <c r="T202" s="59"/>
      <c r="U202" s="174"/>
      <c r="V202" s="174"/>
      <c r="W202" s="174"/>
      <c r="X202" s="59"/>
      <c r="Y202" s="59"/>
      <c r="Z202" s="92"/>
    </row>
    <row r="203" spans="1:26" ht="16.5" customHeight="1" x14ac:dyDescent="0.2">
      <c r="A203" s="193"/>
      <c r="B203" s="175"/>
      <c r="C203" s="111"/>
      <c r="D203" s="111"/>
      <c r="E203" s="9"/>
      <c r="F203" s="111"/>
      <c r="G203" s="111"/>
      <c r="H203" s="9"/>
      <c r="I203" s="9"/>
      <c r="J203" s="111"/>
      <c r="K203" s="111"/>
      <c r="L203" s="187"/>
      <c r="M203" s="16"/>
      <c r="N203" s="15"/>
      <c r="O203" s="15"/>
      <c r="P203" s="16"/>
      <c r="Q203" s="174"/>
      <c r="R203" s="174"/>
      <c r="S203" s="59"/>
      <c r="T203" s="59"/>
      <c r="U203" s="174"/>
      <c r="V203" s="174"/>
      <c r="W203" s="174"/>
      <c r="X203" s="59"/>
      <c r="Y203" s="59"/>
      <c r="Z203" s="92"/>
    </row>
    <row r="204" spans="1:26" ht="16.5" customHeight="1" x14ac:dyDescent="0.2">
      <c r="A204" s="193"/>
      <c r="B204" s="175"/>
      <c r="C204" s="111"/>
      <c r="D204" s="111"/>
      <c r="E204" s="9"/>
      <c r="F204" s="111"/>
      <c r="G204" s="111"/>
      <c r="H204" s="9"/>
      <c r="I204" s="9"/>
      <c r="J204" s="111"/>
      <c r="K204" s="111"/>
      <c r="L204" s="187"/>
      <c r="M204" s="16"/>
      <c r="N204" s="15"/>
      <c r="O204" s="15"/>
      <c r="P204" s="16"/>
      <c r="Q204" s="174"/>
      <c r="R204" s="174"/>
      <c r="S204" s="59"/>
      <c r="T204" s="59"/>
      <c r="U204" s="174"/>
      <c r="V204" s="174"/>
      <c r="W204" s="174"/>
      <c r="X204" s="59"/>
      <c r="Y204" s="59"/>
      <c r="Z204" s="92"/>
    </row>
    <row r="205" spans="1:26" ht="16.5" customHeight="1" x14ac:dyDescent="0.2">
      <c r="A205" s="193"/>
      <c r="B205" s="175"/>
      <c r="C205" s="111"/>
      <c r="D205" s="111"/>
      <c r="E205" s="9"/>
      <c r="F205" s="111"/>
      <c r="G205" s="111"/>
      <c r="H205" s="9"/>
      <c r="I205" s="9"/>
      <c r="J205" s="111"/>
      <c r="K205" s="111"/>
      <c r="L205" s="187"/>
      <c r="M205" s="16"/>
      <c r="N205" s="15"/>
      <c r="O205" s="15"/>
      <c r="P205" s="16"/>
      <c r="Q205" s="174"/>
      <c r="R205" s="174"/>
      <c r="S205" s="59"/>
      <c r="T205" s="59"/>
      <c r="U205" s="174"/>
      <c r="V205" s="174"/>
      <c r="W205" s="174"/>
      <c r="X205" s="59"/>
      <c r="Y205" s="59"/>
      <c r="Z205" s="92"/>
    </row>
    <row r="206" spans="1:26" ht="16.5" customHeight="1" x14ac:dyDescent="0.2">
      <c r="A206" s="193"/>
      <c r="B206" s="175"/>
      <c r="C206" s="111"/>
      <c r="D206" s="111"/>
      <c r="E206" s="9"/>
      <c r="F206" s="111"/>
      <c r="G206" s="111"/>
      <c r="H206" s="9"/>
      <c r="I206" s="9"/>
      <c r="J206" s="111"/>
      <c r="K206" s="111"/>
      <c r="L206" s="187"/>
      <c r="M206" s="16"/>
      <c r="N206" s="15"/>
      <c r="O206" s="15"/>
      <c r="P206" s="16"/>
      <c r="Q206" s="174"/>
      <c r="R206" s="174"/>
      <c r="S206" s="59"/>
      <c r="T206" s="59"/>
      <c r="U206" s="174"/>
      <c r="V206" s="174"/>
      <c r="W206" s="174"/>
      <c r="X206" s="59"/>
      <c r="Y206" s="59"/>
      <c r="Z206" s="92"/>
    </row>
    <row r="207" spans="1:26" ht="16.5" customHeight="1" x14ac:dyDescent="0.2">
      <c r="A207" s="193"/>
      <c r="B207" s="175"/>
      <c r="C207" s="111"/>
      <c r="D207" s="111"/>
      <c r="E207" s="9"/>
      <c r="F207" s="111"/>
      <c r="G207" s="111"/>
      <c r="H207" s="9"/>
      <c r="I207" s="9"/>
      <c r="J207" s="111"/>
      <c r="K207" s="111"/>
      <c r="L207" s="187"/>
      <c r="M207" s="16"/>
      <c r="N207" s="15"/>
      <c r="O207" s="15"/>
      <c r="P207" s="16"/>
      <c r="Q207" s="174"/>
      <c r="R207" s="174"/>
      <c r="S207" s="59"/>
      <c r="T207" s="59"/>
      <c r="U207" s="174"/>
      <c r="V207" s="174"/>
      <c r="W207" s="174"/>
      <c r="X207" s="59"/>
      <c r="Y207" s="59"/>
      <c r="Z207" s="92"/>
    </row>
    <row r="208" spans="1:26" ht="16.5" customHeight="1" x14ac:dyDescent="0.2">
      <c r="A208" s="193"/>
      <c r="B208" s="175"/>
      <c r="C208" s="111"/>
      <c r="D208" s="111"/>
      <c r="E208" s="9"/>
      <c r="F208" s="111"/>
      <c r="G208" s="111"/>
      <c r="H208" s="9"/>
      <c r="I208" s="9"/>
      <c r="J208" s="111"/>
      <c r="K208" s="111"/>
      <c r="L208" s="187"/>
      <c r="M208" s="16"/>
      <c r="N208" s="15"/>
      <c r="O208" s="15"/>
      <c r="P208" s="16"/>
      <c r="Q208" s="174"/>
      <c r="R208" s="174"/>
      <c r="S208" s="59"/>
      <c r="T208" s="59"/>
      <c r="U208" s="174"/>
      <c r="V208" s="174"/>
      <c r="W208" s="174"/>
      <c r="X208" s="59"/>
      <c r="Y208" s="59"/>
      <c r="Z208" s="92"/>
    </row>
    <row r="209" spans="1:26" ht="16.5" customHeight="1" x14ac:dyDescent="0.2">
      <c r="A209" s="193"/>
      <c r="B209" s="175"/>
      <c r="C209" s="111"/>
      <c r="D209" s="111"/>
      <c r="E209" s="9"/>
      <c r="F209" s="111"/>
      <c r="G209" s="111"/>
      <c r="H209" s="9"/>
      <c r="I209" s="9"/>
      <c r="J209" s="111"/>
      <c r="K209" s="111"/>
      <c r="L209" s="187"/>
      <c r="M209" s="16"/>
      <c r="N209" s="15"/>
      <c r="O209" s="15"/>
      <c r="P209" s="16"/>
      <c r="Q209" s="174"/>
      <c r="R209" s="174"/>
      <c r="S209" s="59"/>
      <c r="T209" s="59"/>
      <c r="U209" s="174"/>
      <c r="V209" s="174"/>
      <c r="W209" s="174"/>
      <c r="X209" s="59"/>
      <c r="Y209" s="59"/>
      <c r="Z209" s="92"/>
    </row>
    <row r="210" spans="1:26" ht="16.5" customHeight="1" x14ac:dyDescent="0.2">
      <c r="A210" s="193"/>
      <c r="B210" s="175"/>
      <c r="C210" s="111"/>
      <c r="D210" s="111"/>
      <c r="E210" s="9"/>
      <c r="F210" s="111"/>
      <c r="G210" s="111"/>
      <c r="H210" s="9"/>
      <c r="I210" s="9"/>
      <c r="J210" s="111"/>
      <c r="K210" s="111"/>
      <c r="L210" s="187"/>
      <c r="M210" s="16"/>
      <c r="N210" s="15"/>
      <c r="O210" s="15"/>
      <c r="P210" s="16"/>
      <c r="Q210" s="174"/>
      <c r="R210" s="174"/>
      <c r="S210" s="59"/>
      <c r="T210" s="59"/>
      <c r="U210" s="174"/>
      <c r="V210" s="174"/>
      <c r="W210" s="174"/>
      <c r="X210" s="59"/>
      <c r="Y210" s="59"/>
      <c r="Z210" s="92"/>
    </row>
    <row r="211" spans="1:26" ht="16.5" customHeight="1" x14ac:dyDescent="0.2">
      <c r="A211" s="193"/>
      <c r="B211" s="175"/>
      <c r="C211" s="111"/>
      <c r="D211" s="111"/>
      <c r="E211" s="9"/>
      <c r="F211" s="111"/>
      <c r="G211" s="111"/>
      <c r="H211" s="9"/>
      <c r="I211" s="9"/>
      <c r="J211" s="111"/>
      <c r="K211" s="111"/>
      <c r="L211" s="187"/>
      <c r="M211" s="16"/>
      <c r="N211" s="15"/>
      <c r="O211" s="15"/>
      <c r="P211" s="16"/>
      <c r="Q211" s="174"/>
      <c r="R211" s="174"/>
      <c r="S211" s="59"/>
      <c r="T211" s="59"/>
      <c r="U211" s="174"/>
      <c r="V211" s="174"/>
      <c r="W211" s="174"/>
      <c r="X211" s="59"/>
      <c r="Y211" s="59"/>
      <c r="Z211" s="92"/>
    </row>
    <row r="212" spans="1:26" ht="16.5" customHeight="1" x14ac:dyDescent="0.2">
      <c r="A212" s="193"/>
      <c r="B212" s="175"/>
      <c r="C212" s="111"/>
      <c r="D212" s="111"/>
      <c r="E212" s="9"/>
      <c r="F212" s="111"/>
      <c r="G212" s="111"/>
      <c r="H212" s="9"/>
      <c r="I212" s="9"/>
      <c r="J212" s="111"/>
      <c r="K212" s="111"/>
      <c r="L212" s="187"/>
      <c r="M212" s="16"/>
      <c r="N212" s="15"/>
      <c r="O212" s="15"/>
      <c r="P212" s="16"/>
      <c r="Q212" s="174"/>
      <c r="R212" s="174"/>
      <c r="S212" s="59"/>
      <c r="T212" s="59"/>
      <c r="U212" s="174"/>
      <c r="V212" s="174"/>
      <c r="W212" s="174"/>
      <c r="X212" s="59"/>
      <c r="Y212" s="59"/>
      <c r="Z212" s="92"/>
    </row>
    <row r="213" spans="1:26" ht="16.5" customHeight="1" x14ac:dyDescent="0.2">
      <c r="A213" s="193"/>
      <c r="B213" s="175"/>
      <c r="C213" s="111"/>
      <c r="D213" s="111"/>
      <c r="E213" s="9"/>
      <c r="F213" s="111"/>
      <c r="G213" s="111"/>
      <c r="H213" s="9"/>
      <c r="I213" s="9"/>
      <c r="J213" s="111"/>
      <c r="K213" s="111"/>
      <c r="L213" s="187"/>
      <c r="M213" s="16"/>
      <c r="N213" s="15"/>
      <c r="O213" s="15"/>
      <c r="P213" s="16"/>
      <c r="Q213" s="174"/>
      <c r="R213" s="174"/>
      <c r="S213" s="59"/>
      <c r="T213" s="59"/>
      <c r="U213" s="174"/>
      <c r="V213" s="174"/>
      <c r="W213" s="174"/>
      <c r="X213" s="59"/>
      <c r="Y213" s="59"/>
      <c r="Z213" s="92"/>
    </row>
  </sheetData>
  <autoFilter ref="A1:Z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213"/>
  <sheetViews>
    <sheetView workbookViewId="0">
      <selection activeCell="I30" sqref="I30"/>
    </sheetView>
  </sheetViews>
  <sheetFormatPr defaultColWidth="17.140625" defaultRowHeight="12.75" customHeight="1" x14ac:dyDescent="0.2"/>
  <cols>
    <col min="1" max="1" width="5.5703125" customWidth="1"/>
    <col min="2" max="2" width="8.85546875" customWidth="1"/>
    <col min="3" max="3" width="17.85546875" customWidth="1"/>
    <col min="4" max="4" width="7.5703125" customWidth="1"/>
    <col min="5" max="5" width="11.42578125" customWidth="1"/>
    <col min="6" max="6" width="11.28515625" customWidth="1"/>
    <col min="7" max="7" width="13.5703125" customWidth="1"/>
    <col min="8" max="8" width="11.42578125" customWidth="1"/>
    <col min="9" max="9" width="10.85546875" customWidth="1"/>
    <col min="10" max="10" width="15.140625" customWidth="1"/>
    <col min="11" max="11" width="63.5703125" customWidth="1"/>
    <col min="12" max="12" width="55" customWidth="1"/>
    <col min="13" max="13" width="12.7109375" customWidth="1"/>
    <col min="14" max="14" width="22.5703125" customWidth="1"/>
    <col min="15" max="15" width="5.5703125" customWidth="1"/>
    <col min="16" max="16" width="14.7109375" customWidth="1"/>
    <col min="18" max="18" width="9.7109375" customWidth="1"/>
    <col min="19" max="20" width="11.140625" customWidth="1"/>
    <col min="21" max="21" width="10.7109375" customWidth="1"/>
    <col min="22" max="22" width="10.42578125" customWidth="1"/>
    <col min="23" max="23" width="9.5703125" customWidth="1"/>
    <col min="24" max="24" width="11.85546875" customWidth="1"/>
    <col min="25" max="25" width="11.5703125" customWidth="1"/>
    <col min="26" max="26" width="14.7109375" customWidth="1"/>
  </cols>
  <sheetData>
    <row r="1" spans="1:26" ht="20.25" customHeight="1" x14ac:dyDescent="0.2">
      <c r="A1" s="189"/>
      <c r="B1" s="189"/>
      <c r="C1" s="189"/>
      <c r="D1" s="189"/>
      <c r="E1" s="171"/>
      <c r="F1" s="31"/>
      <c r="G1" s="31"/>
      <c r="H1" s="4"/>
      <c r="I1" s="4"/>
      <c r="J1" s="4"/>
      <c r="K1" s="31"/>
      <c r="L1" s="32"/>
      <c r="M1" s="131"/>
      <c r="N1" s="131"/>
      <c r="O1" s="131"/>
      <c r="P1" s="131"/>
      <c r="Q1" s="131"/>
      <c r="R1" s="152" t="s">
        <v>5466</v>
      </c>
      <c r="S1" s="152"/>
      <c r="T1" s="152"/>
      <c r="U1" s="152"/>
      <c r="V1" s="110"/>
      <c r="W1" s="167" t="s">
        <v>5467</v>
      </c>
      <c r="X1" s="152"/>
      <c r="Y1" s="152"/>
      <c r="Z1" s="152"/>
    </row>
    <row r="2" spans="1:26" ht="16.5" hidden="1" customHeight="1" x14ac:dyDescent="0.2">
      <c r="A2" s="45" t="s">
        <v>5468</v>
      </c>
      <c r="B2" s="45" t="s">
        <v>5469</v>
      </c>
      <c r="C2" s="45" t="s">
        <v>5470</v>
      </c>
      <c r="D2" s="45" t="s">
        <v>3</v>
      </c>
      <c r="E2" s="14" t="s">
        <v>5471</v>
      </c>
      <c r="F2" s="120" t="s">
        <v>7</v>
      </c>
      <c r="G2" s="120" t="s">
        <v>8</v>
      </c>
      <c r="H2" s="143" t="s">
        <v>9</v>
      </c>
      <c r="I2" s="143" t="s">
        <v>5472</v>
      </c>
      <c r="J2" s="143" t="s">
        <v>11</v>
      </c>
      <c r="K2" s="58" t="s">
        <v>5473</v>
      </c>
      <c r="L2" s="102" t="s">
        <v>5474</v>
      </c>
      <c r="M2" s="14" t="s">
        <v>5475</v>
      </c>
      <c r="N2" s="14" t="s">
        <v>5476</v>
      </c>
      <c r="O2" s="14" t="s">
        <v>5477</v>
      </c>
      <c r="P2" s="14" t="s">
        <v>5478</v>
      </c>
      <c r="Q2" s="74" t="s">
        <v>5479</v>
      </c>
      <c r="R2" s="142" t="s">
        <v>5480</v>
      </c>
      <c r="S2" s="91" t="s">
        <v>5481</v>
      </c>
      <c r="T2" s="91" t="s">
        <v>5482</v>
      </c>
      <c r="U2" s="142" t="s">
        <v>5483</v>
      </c>
      <c r="V2" s="142" t="s">
        <v>5484</v>
      </c>
      <c r="W2" s="142" t="s">
        <v>5480</v>
      </c>
      <c r="X2" s="91" t="s">
        <v>5481</v>
      </c>
      <c r="Y2" s="91" t="s">
        <v>5482</v>
      </c>
      <c r="Z2" s="144" t="s">
        <v>5485</v>
      </c>
    </row>
    <row r="3" spans="1:26" ht="1.5" hidden="1" customHeight="1" x14ac:dyDescent="0.2">
      <c r="A3" s="183">
        <v>1</v>
      </c>
      <c r="B3" s="126">
        <v>10019</v>
      </c>
      <c r="C3" s="160" t="s">
        <v>237</v>
      </c>
      <c r="D3" s="160" t="s">
        <v>238</v>
      </c>
      <c r="E3" s="68" t="s">
        <v>5486</v>
      </c>
      <c r="F3" s="160" t="s">
        <v>241</v>
      </c>
      <c r="G3" s="160"/>
      <c r="H3" s="68" t="s">
        <v>5487</v>
      </c>
      <c r="I3" s="68" t="s">
        <v>5488</v>
      </c>
      <c r="J3" s="160" t="s">
        <v>241</v>
      </c>
      <c r="K3" s="160" t="s">
        <v>5489</v>
      </c>
      <c r="L3" s="100" t="s">
        <v>247</v>
      </c>
      <c r="M3" s="8" t="s">
        <v>245</v>
      </c>
      <c r="N3" s="97" t="s">
        <v>5490</v>
      </c>
      <c r="O3" s="12" t="s">
        <v>94</v>
      </c>
      <c r="P3" s="8" t="s">
        <v>5491</v>
      </c>
      <c r="Q3" s="113" t="s">
        <v>5492</v>
      </c>
      <c r="R3" s="15">
        <v>0</v>
      </c>
      <c r="S3" s="16" t="s">
        <v>320</v>
      </c>
      <c r="T3" s="16" t="s">
        <v>5153</v>
      </c>
      <c r="U3" s="15"/>
      <c r="V3" s="15"/>
      <c r="W3" s="15">
        <v>0</v>
      </c>
      <c r="X3" s="16" t="s">
        <v>5153</v>
      </c>
      <c r="Y3" s="16" t="s">
        <v>5153</v>
      </c>
      <c r="Z3" s="92"/>
    </row>
    <row r="4" spans="1:26" ht="16.5" hidden="1" customHeight="1" x14ac:dyDescent="0.2">
      <c r="A4" s="40">
        <v>2</v>
      </c>
      <c r="B4" s="151">
        <v>20078</v>
      </c>
      <c r="C4" s="135" t="s">
        <v>854</v>
      </c>
      <c r="D4" s="135" t="s">
        <v>855</v>
      </c>
      <c r="E4" s="114"/>
      <c r="F4" s="135"/>
      <c r="G4" s="135"/>
      <c r="H4" s="114"/>
      <c r="I4" s="114"/>
      <c r="J4" s="135"/>
      <c r="K4" s="135"/>
      <c r="L4" s="176"/>
      <c r="M4" s="17"/>
      <c r="N4" s="130" t="s">
        <v>5493</v>
      </c>
      <c r="O4" s="77" t="s">
        <v>94</v>
      </c>
      <c r="P4" s="17" t="s">
        <v>5494</v>
      </c>
      <c r="Q4" s="77" t="s">
        <v>5492</v>
      </c>
      <c r="R4" s="188" t="s">
        <v>5495</v>
      </c>
      <c r="S4" s="17" t="s">
        <v>5496</v>
      </c>
      <c r="T4" s="17" t="s">
        <v>5497</v>
      </c>
      <c r="U4" s="88">
        <v>6</v>
      </c>
      <c r="V4" s="188">
        <v>2013</v>
      </c>
      <c r="W4" s="188" t="s">
        <v>5495</v>
      </c>
      <c r="X4" s="17" t="s">
        <v>5498</v>
      </c>
      <c r="Y4" s="17" t="s">
        <v>5153</v>
      </c>
      <c r="Z4" s="185" t="s">
        <v>5499</v>
      </c>
    </row>
    <row r="5" spans="1:26" ht="16.5" hidden="1" customHeight="1" x14ac:dyDescent="0.2">
      <c r="A5" s="40">
        <v>3</v>
      </c>
      <c r="B5" s="151">
        <v>20083</v>
      </c>
      <c r="C5" s="135" t="s">
        <v>894</v>
      </c>
      <c r="D5" s="135" t="s">
        <v>84</v>
      </c>
      <c r="E5" s="114" t="s">
        <v>5500</v>
      </c>
      <c r="F5" s="135" t="s">
        <v>895</v>
      </c>
      <c r="G5" s="135" t="s">
        <v>412</v>
      </c>
      <c r="H5" s="114" t="s">
        <v>896</v>
      </c>
      <c r="I5" s="114" t="s">
        <v>5501</v>
      </c>
      <c r="J5" s="135" t="s">
        <v>895</v>
      </c>
      <c r="K5" s="135" t="s">
        <v>899</v>
      </c>
      <c r="L5" s="176" t="s">
        <v>900</v>
      </c>
      <c r="M5" s="17" t="s">
        <v>5502</v>
      </c>
      <c r="N5" s="130" t="s">
        <v>5503</v>
      </c>
      <c r="O5" s="77" t="s">
        <v>51</v>
      </c>
      <c r="P5" s="17" t="s">
        <v>5494</v>
      </c>
      <c r="Q5" s="77" t="s">
        <v>5492</v>
      </c>
      <c r="R5" s="188" t="s">
        <v>5504</v>
      </c>
      <c r="S5" s="17" t="s">
        <v>5496</v>
      </c>
      <c r="T5" s="17" t="s">
        <v>5497</v>
      </c>
      <c r="U5" s="188">
        <v>6</v>
      </c>
      <c r="V5" s="188">
        <v>2013</v>
      </c>
      <c r="W5" s="188"/>
      <c r="X5" s="17"/>
      <c r="Y5" s="17"/>
      <c r="Z5" s="185" t="s">
        <v>5499</v>
      </c>
    </row>
    <row r="6" spans="1:26" ht="16.5" hidden="1" customHeight="1" x14ac:dyDescent="0.2">
      <c r="A6" s="40">
        <v>4</v>
      </c>
      <c r="B6" s="151">
        <v>20118</v>
      </c>
      <c r="C6" s="135" t="s">
        <v>1101</v>
      </c>
      <c r="D6" s="135" t="s">
        <v>1102</v>
      </c>
      <c r="E6" s="114" t="s">
        <v>5505</v>
      </c>
      <c r="F6" s="135" t="s">
        <v>241</v>
      </c>
      <c r="G6" s="135" t="s">
        <v>1103</v>
      </c>
      <c r="H6" s="114" t="s">
        <v>1104</v>
      </c>
      <c r="I6" s="114" t="s">
        <v>5506</v>
      </c>
      <c r="J6" s="135" t="s">
        <v>1105</v>
      </c>
      <c r="K6" s="135" t="s">
        <v>1109</v>
      </c>
      <c r="L6" s="176" t="s">
        <v>1110</v>
      </c>
      <c r="M6" s="17" t="s">
        <v>5507</v>
      </c>
      <c r="N6" s="130" t="s">
        <v>5508</v>
      </c>
      <c r="O6" s="77" t="s">
        <v>94</v>
      </c>
      <c r="P6" s="17" t="s">
        <v>5509</v>
      </c>
      <c r="Q6" s="77" t="s">
        <v>5510</v>
      </c>
      <c r="R6" s="188"/>
      <c r="S6" s="17" t="s">
        <v>5511</v>
      </c>
      <c r="T6" s="17" t="s">
        <v>5512</v>
      </c>
      <c r="U6" s="188">
        <v>9</v>
      </c>
      <c r="V6" s="188">
        <v>2013</v>
      </c>
      <c r="W6" s="188"/>
      <c r="X6" s="17"/>
      <c r="Y6" s="17"/>
      <c r="Z6" s="185" t="s">
        <v>5513</v>
      </c>
    </row>
    <row r="7" spans="1:26" ht="16.5" hidden="1" customHeight="1" x14ac:dyDescent="0.2">
      <c r="A7" s="40">
        <v>5</v>
      </c>
      <c r="B7" s="151">
        <v>20122</v>
      </c>
      <c r="C7" s="135" t="s">
        <v>1137</v>
      </c>
      <c r="D7" s="135" t="s">
        <v>920</v>
      </c>
      <c r="E7" s="114" t="s">
        <v>5514</v>
      </c>
      <c r="F7" s="135" t="s">
        <v>5515</v>
      </c>
      <c r="G7" s="135" t="s">
        <v>120</v>
      </c>
      <c r="H7" s="114" t="s">
        <v>1138</v>
      </c>
      <c r="I7" s="114" t="s">
        <v>5516</v>
      </c>
      <c r="J7" s="135" t="s">
        <v>5517</v>
      </c>
      <c r="K7" s="135" t="s">
        <v>5518</v>
      </c>
      <c r="L7" s="176" t="s">
        <v>1144</v>
      </c>
      <c r="M7" s="17" t="s">
        <v>5519</v>
      </c>
      <c r="N7" s="130" t="s">
        <v>5520</v>
      </c>
      <c r="O7" s="77" t="s">
        <v>94</v>
      </c>
      <c r="P7" s="17" t="s">
        <v>5521</v>
      </c>
      <c r="Q7" s="77" t="s">
        <v>5492</v>
      </c>
      <c r="R7" s="188"/>
      <c r="S7" s="17" t="s">
        <v>5511</v>
      </c>
      <c r="T7" s="17" t="s">
        <v>5512</v>
      </c>
      <c r="U7" s="188">
        <v>9</v>
      </c>
      <c r="V7" s="188">
        <v>2013</v>
      </c>
      <c r="W7" s="188"/>
      <c r="X7" s="17"/>
      <c r="Y7" s="17"/>
      <c r="Z7" s="185" t="s">
        <v>5499</v>
      </c>
    </row>
    <row r="8" spans="1:26" ht="16.5" hidden="1" customHeight="1" x14ac:dyDescent="0.2">
      <c r="A8" s="40">
        <v>6</v>
      </c>
      <c r="B8" s="151">
        <v>20126</v>
      </c>
      <c r="C8" s="135" t="s">
        <v>1083</v>
      </c>
      <c r="D8" s="135" t="s">
        <v>496</v>
      </c>
      <c r="E8" s="114"/>
      <c r="F8" s="135"/>
      <c r="G8" s="135"/>
      <c r="H8" s="114"/>
      <c r="I8" s="114"/>
      <c r="J8" s="135"/>
      <c r="K8" s="135"/>
      <c r="L8" s="176"/>
      <c r="M8" s="17"/>
      <c r="N8" s="130" t="s">
        <v>5522</v>
      </c>
      <c r="O8" s="77" t="s">
        <v>94</v>
      </c>
      <c r="P8" s="17" t="s">
        <v>5523</v>
      </c>
      <c r="Q8" s="77" t="s">
        <v>5492</v>
      </c>
      <c r="R8" s="188"/>
      <c r="S8" s="17" t="s">
        <v>5524</v>
      </c>
      <c r="T8" s="17" t="s">
        <v>0</v>
      </c>
      <c r="U8" s="188"/>
      <c r="V8" s="188"/>
      <c r="W8" s="188"/>
      <c r="X8" s="17" t="s">
        <v>5153</v>
      </c>
      <c r="Y8" s="17"/>
      <c r="Z8" s="185" t="s">
        <v>5499</v>
      </c>
    </row>
    <row r="9" spans="1:26" ht="16.5" hidden="1" customHeight="1" x14ac:dyDescent="0.2">
      <c r="A9" s="40">
        <v>7</v>
      </c>
      <c r="B9" s="151">
        <v>20130</v>
      </c>
      <c r="C9" s="135" t="s">
        <v>1208</v>
      </c>
      <c r="D9" s="135" t="s">
        <v>109</v>
      </c>
      <c r="E9" s="114" t="s">
        <v>5525</v>
      </c>
      <c r="F9" s="135" t="s">
        <v>1209</v>
      </c>
      <c r="G9" s="135" t="s">
        <v>1209</v>
      </c>
      <c r="H9" s="114" t="s">
        <v>1211</v>
      </c>
      <c r="I9" s="114" t="s">
        <v>5526</v>
      </c>
      <c r="J9" s="135" t="s">
        <v>1212</v>
      </c>
      <c r="K9" s="135" t="s">
        <v>1216</v>
      </c>
      <c r="L9" s="176" t="s">
        <v>1217</v>
      </c>
      <c r="M9" s="17" t="s">
        <v>1215</v>
      </c>
      <c r="N9" s="130" t="s">
        <v>5527</v>
      </c>
      <c r="O9" s="77" t="s">
        <v>94</v>
      </c>
      <c r="P9" s="17" t="s">
        <v>5523</v>
      </c>
      <c r="Q9" s="77" t="s">
        <v>5492</v>
      </c>
      <c r="R9" s="188"/>
      <c r="S9" s="17" t="s">
        <v>5528</v>
      </c>
      <c r="T9" s="17" t="s">
        <v>5529</v>
      </c>
      <c r="U9" s="188">
        <v>10</v>
      </c>
      <c r="V9" s="188">
        <v>2013</v>
      </c>
      <c r="W9" s="188" t="s">
        <v>5530</v>
      </c>
      <c r="X9" s="17" t="s">
        <v>5531</v>
      </c>
      <c r="Y9" s="17" t="s">
        <v>5153</v>
      </c>
      <c r="Z9" s="185" t="s">
        <v>5499</v>
      </c>
    </row>
    <row r="10" spans="1:26" ht="16.5" hidden="1" customHeight="1" x14ac:dyDescent="0.2">
      <c r="A10" s="40">
        <v>8</v>
      </c>
      <c r="B10" s="193">
        <v>20148</v>
      </c>
      <c r="C10" s="99" t="s">
        <v>1306</v>
      </c>
      <c r="D10" s="99" t="s">
        <v>618</v>
      </c>
      <c r="E10" s="104" t="s">
        <v>5532</v>
      </c>
      <c r="F10" s="63" t="s">
        <v>5533</v>
      </c>
      <c r="G10" s="63" t="s">
        <v>365</v>
      </c>
      <c r="H10" s="104" t="s">
        <v>1309</v>
      </c>
      <c r="I10" s="104" t="s">
        <v>5534</v>
      </c>
      <c r="J10" s="63" t="s">
        <v>5535</v>
      </c>
      <c r="K10" s="63" t="s">
        <v>5536</v>
      </c>
      <c r="L10" s="35" t="s">
        <v>1314</v>
      </c>
      <c r="M10" s="163" t="s">
        <v>5537</v>
      </c>
      <c r="N10" s="107" t="s">
        <v>5522</v>
      </c>
      <c r="O10" s="113" t="s">
        <v>94</v>
      </c>
      <c r="P10" s="16" t="s">
        <v>5538</v>
      </c>
      <c r="Q10" s="113" t="s">
        <v>5510</v>
      </c>
      <c r="R10" s="15"/>
      <c r="S10" s="16" t="s">
        <v>5539</v>
      </c>
      <c r="T10" s="16" t="s">
        <v>5540</v>
      </c>
      <c r="U10" s="15">
        <v>12</v>
      </c>
      <c r="V10" s="15">
        <v>2015</v>
      </c>
      <c r="W10" s="15"/>
      <c r="X10" s="16"/>
      <c r="Y10" s="16"/>
      <c r="Z10" s="92"/>
    </row>
    <row r="11" spans="1:26" ht="16.5" hidden="1" customHeight="1" x14ac:dyDescent="0.2">
      <c r="A11" s="40">
        <v>9</v>
      </c>
      <c r="B11" s="193">
        <v>20155</v>
      </c>
      <c r="C11" s="99" t="s">
        <v>1345</v>
      </c>
      <c r="D11" s="99" t="s">
        <v>576</v>
      </c>
      <c r="E11" s="150" t="s">
        <v>5541</v>
      </c>
      <c r="F11" s="99" t="s">
        <v>5535</v>
      </c>
      <c r="G11" s="50" t="s">
        <v>2213</v>
      </c>
      <c r="H11" s="150" t="s">
        <v>1346</v>
      </c>
      <c r="I11" s="150" t="s">
        <v>5542</v>
      </c>
      <c r="J11" s="63" t="s">
        <v>5535</v>
      </c>
      <c r="K11" s="99" t="s">
        <v>1351</v>
      </c>
      <c r="L11" s="186" t="s">
        <v>1352</v>
      </c>
      <c r="M11" s="16" t="s">
        <v>1350</v>
      </c>
      <c r="N11" s="107" t="s">
        <v>5543</v>
      </c>
      <c r="O11" s="113" t="s">
        <v>94</v>
      </c>
      <c r="P11" s="16" t="s">
        <v>5544</v>
      </c>
      <c r="Q11" s="113" t="s">
        <v>5510</v>
      </c>
      <c r="R11" s="15"/>
      <c r="S11" s="16" t="s">
        <v>5545</v>
      </c>
      <c r="T11" s="16" t="s">
        <v>5546</v>
      </c>
      <c r="U11" s="15">
        <v>12</v>
      </c>
      <c r="V11" s="15">
        <v>1902</v>
      </c>
      <c r="W11" s="15"/>
      <c r="X11" s="16"/>
      <c r="Y11" s="16"/>
      <c r="Z11" s="92"/>
    </row>
    <row r="12" spans="1:26" ht="16.5" hidden="1" customHeight="1" x14ac:dyDescent="0.2">
      <c r="A12" s="40">
        <v>10</v>
      </c>
      <c r="B12" s="40">
        <v>20180</v>
      </c>
      <c r="C12" s="63" t="s">
        <v>965</v>
      </c>
      <c r="D12" s="63" t="s">
        <v>638</v>
      </c>
      <c r="E12" s="104" t="s">
        <v>5547</v>
      </c>
      <c r="F12" s="63" t="s">
        <v>726</v>
      </c>
      <c r="G12" s="63" t="s">
        <v>726</v>
      </c>
      <c r="H12" s="104" t="s">
        <v>1485</v>
      </c>
      <c r="I12" s="104" t="s">
        <v>5548</v>
      </c>
      <c r="J12" s="63" t="s">
        <v>5549</v>
      </c>
      <c r="K12" s="63" t="s">
        <v>1491</v>
      </c>
      <c r="L12" s="63" t="s">
        <v>1491</v>
      </c>
      <c r="M12" s="98" t="s">
        <v>5550</v>
      </c>
      <c r="N12" s="103" t="s">
        <v>5551</v>
      </c>
      <c r="O12" s="39" t="s">
        <v>94</v>
      </c>
      <c r="P12" s="163" t="s">
        <v>5552</v>
      </c>
      <c r="Q12" s="39" t="s">
        <v>5510</v>
      </c>
      <c r="R12" s="146"/>
      <c r="S12" s="163" t="s">
        <v>5553</v>
      </c>
      <c r="T12" s="16" t="s">
        <v>5554</v>
      </c>
      <c r="U12" s="15">
        <v>11</v>
      </c>
      <c r="V12" s="15">
        <v>2014</v>
      </c>
      <c r="W12" s="15"/>
      <c r="X12" s="16"/>
      <c r="Y12" s="16"/>
      <c r="Z12" s="92"/>
    </row>
    <row r="13" spans="1:26" ht="16.5" hidden="1" customHeight="1" x14ac:dyDescent="0.2">
      <c r="A13" s="40">
        <v>11</v>
      </c>
      <c r="B13" s="151">
        <v>20226</v>
      </c>
      <c r="C13" s="135" t="s">
        <v>265</v>
      </c>
      <c r="D13" s="135" t="s">
        <v>396</v>
      </c>
      <c r="E13" s="114" t="s">
        <v>5555</v>
      </c>
      <c r="F13" s="135" t="s">
        <v>132</v>
      </c>
      <c r="G13" s="135" t="s">
        <v>132</v>
      </c>
      <c r="H13" s="114" t="s">
        <v>1760</v>
      </c>
      <c r="I13" s="114" t="s">
        <v>5556</v>
      </c>
      <c r="J13" s="135" t="s">
        <v>1761</v>
      </c>
      <c r="K13" s="135" t="s">
        <v>5557</v>
      </c>
      <c r="L13" s="176" t="s">
        <v>1766</v>
      </c>
      <c r="M13" s="17" t="s">
        <v>5558</v>
      </c>
      <c r="N13" s="130" t="s">
        <v>5559</v>
      </c>
      <c r="O13" s="77" t="s">
        <v>94</v>
      </c>
      <c r="P13" s="17" t="s">
        <v>5560</v>
      </c>
      <c r="Q13" s="77" t="s">
        <v>5510</v>
      </c>
      <c r="R13" s="188"/>
      <c r="S13" s="17" t="s">
        <v>5561</v>
      </c>
      <c r="T13" s="17" t="s">
        <v>5562</v>
      </c>
      <c r="U13" s="188">
        <v>12</v>
      </c>
      <c r="V13" s="188">
        <v>2013</v>
      </c>
      <c r="W13" s="188"/>
      <c r="X13" s="17"/>
      <c r="Y13" s="17"/>
      <c r="Z13" s="185" t="s">
        <v>5513</v>
      </c>
    </row>
    <row r="14" spans="1:26" ht="16.5" hidden="1" customHeight="1" x14ac:dyDescent="0.2">
      <c r="A14" s="40">
        <v>12</v>
      </c>
      <c r="B14" s="193">
        <v>20231</v>
      </c>
      <c r="C14" s="99" t="s">
        <v>1120</v>
      </c>
      <c r="D14" s="99" t="s">
        <v>271</v>
      </c>
      <c r="E14" s="150" t="s">
        <v>5563</v>
      </c>
      <c r="F14" s="99" t="s">
        <v>726</v>
      </c>
      <c r="G14" s="99" t="s">
        <v>726</v>
      </c>
      <c r="H14" s="150" t="s">
        <v>1801</v>
      </c>
      <c r="I14" s="150" t="s">
        <v>5564</v>
      </c>
      <c r="J14" s="99" t="s">
        <v>5565</v>
      </c>
      <c r="K14" s="99" t="s">
        <v>1805</v>
      </c>
      <c r="L14" s="99" t="s">
        <v>1806</v>
      </c>
      <c r="M14" s="5" t="s">
        <v>1804</v>
      </c>
      <c r="N14" s="107" t="s">
        <v>5566</v>
      </c>
      <c r="O14" s="113" t="s">
        <v>94</v>
      </c>
      <c r="P14" s="16" t="s">
        <v>5567</v>
      </c>
      <c r="Q14" s="113" t="s">
        <v>5510</v>
      </c>
      <c r="R14" s="15"/>
      <c r="S14" s="16" t="s">
        <v>5568</v>
      </c>
      <c r="T14" s="16" t="s">
        <v>5569</v>
      </c>
      <c r="U14" s="15">
        <v>10</v>
      </c>
      <c r="V14" s="15">
        <v>2014</v>
      </c>
      <c r="W14" s="15"/>
      <c r="X14" s="16"/>
      <c r="Y14" s="16"/>
      <c r="Z14" s="92"/>
    </row>
    <row r="15" spans="1:26" ht="16.5" hidden="1" customHeight="1" x14ac:dyDescent="0.2">
      <c r="A15" s="40">
        <v>13</v>
      </c>
      <c r="B15" s="193">
        <v>20241</v>
      </c>
      <c r="C15" s="99" t="s">
        <v>1869</v>
      </c>
      <c r="D15" s="99" t="s">
        <v>920</v>
      </c>
      <c r="E15" s="150" t="s">
        <v>5570</v>
      </c>
      <c r="F15" s="99" t="s">
        <v>1870</v>
      </c>
      <c r="G15" s="99" t="s">
        <v>379</v>
      </c>
      <c r="H15" s="150" t="s">
        <v>1871</v>
      </c>
      <c r="I15" s="150" t="s">
        <v>5571</v>
      </c>
      <c r="J15" s="99" t="s">
        <v>1870</v>
      </c>
      <c r="K15" s="99" t="s">
        <v>1874</v>
      </c>
      <c r="L15" s="186" t="s">
        <v>1875</v>
      </c>
      <c r="M15" s="16" t="s">
        <v>5572</v>
      </c>
      <c r="N15" s="107" t="s">
        <v>5559</v>
      </c>
      <c r="O15" s="113" t="s">
        <v>94</v>
      </c>
      <c r="P15" s="16" t="s">
        <v>5573</v>
      </c>
      <c r="Q15" s="113" t="s">
        <v>5510</v>
      </c>
      <c r="R15" s="15"/>
      <c r="S15" s="16" t="s">
        <v>5574</v>
      </c>
      <c r="T15" s="16" t="s">
        <v>5575</v>
      </c>
      <c r="U15" s="15">
        <v>12</v>
      </c>
      <c r="V15" s="15">
        <v>2014</v>
      </c>
      <c r="W15" s="15"/>
      <c r="X15" s="16"/>
      <c r="Y15" s="16"/>
      <c r="Z15" s="92"/>
    </row>
    <row r="16" spans="1:26" ht="16.5" hidden="1" customHeight="1" x14ac:dyDescent="0.2">
      <c r="A16" s="40">
        <v>14</v>
      </c>
      <c r="B16" s="193">
        <v>20252</v>
      </c>
      <c r="C16" s="99" t="s">
        <v>801</v>
      </c>
      <c r="D16" s="99" t="s">
        <v>364</v>
      </c>
      <c r="E16" s="150" t="s">
        <v>5576</v>
      </c>
      <c r="F16" s="99" t="s">
        <v>1148</v>
      </c>
      <c r="G16" s="99" t="s">
        <v>1148</v>
      </c>
      <c r="H16" s="150" t="s">
        <v>1946</v>
      </c>
      <c r="I16" s="150" t="s">
        <v>5577</v>
      </c>
      <c r="J16" s="99" t="s">
        <v>1105</v>
      </c>
      <c r="K16" s="99" t="s">
        <v>5578</v>
      </c>
      <c r="L16" s="99" t="s">
        <v>1949</v>
      </c>
      <c r="M16" s="5" t="s">
        <v>5579</v>
      </c>
      <c r="N16" s="107" t="s">
        <v>5580</v>
      </c>
      <c r="O16" s="113" t="s">
        <v>94</v>
      </c>
      <c r="P16" s="16" t="s">
        <v>5581</v>
      </c>
      <c r="Q16" s="113" t="s">
        <v>5510</v>
      </c>
      <c r="R16" s="15"/>
      <c r="S16" s="16" t="s">
        <v>5582</v>
      </c>
      <c r="T16" s="16" t="s">
        <v>5583</v>
      </c>
      <c r="U16" s="15">
        <v>3</v>
      </c>
      <c r="V16" s="15">
        <v>2015</v>
      </c>
      <c r="W16" s="15"/>
      <c r="X16" s="16"/>
      <c r="Y16" s="16"/>
      <c r="Z16" s="92"/>
    </row>
    <row r="17" spans="1:26" ht="16.5" hidden="1" customHeight="1" x14ac:dyDescent="0.2">
      <c r="A17" s="40">
        <v>15</v>
      </c>
      <c r="B17" s="193">
        <v>20253</v>
      </c>
      <c r="C17" s="99" t="s">
        <v>1950</v>
      </c>
      <c r="D17" s="99" t="s">
        <v>1951</v>
      </c>
      <c r="E17" s="150" t="s">
        <v>5584</v>
      </c>
      <c r="F17" s="99" t="s">
        <v>954</v>
      </c>
      <c r="G17" s="99" t="s">
        <v>954</v>
      </c>
      <c r="H17" s="150" t="s">
        <v>1952</v>
      </c>
      <c r="I17" s="150" t="s">
        <v>5585</v>
      </c>
      <c r="J17" s="99" t="s">
        <v>1105</v>
      </c>
      <c r="K17" s="149" t="s">
        <v>5586</v>
      </c>
      <c r="L17" s="149" t="s">
        <v>1956</v>
      </c>
      <c r="M17" s="5" t="s">
        <v>5587</v>
      </c>
      <c r="N17" s="107" t="s">
        <v>5588</v>
      </c>
      <c r="O17" s="113" t="s">
        <v>94</v>
      </c>
      <c r="P17" s="16" t="s">
        <v>5589</v>
      </c>
      <c r="Q17" s="113" t="s">
        <v>5510</v>
      </c>
      <c r="R17" s="15"/>
      <c r="S17" s="16" t="s">
        <v>5582</v>
      </c>
      <c r="T17" s="16" t="s">
        <v>5583</v>
      </c>
      <c r="U17" s="15">
        <v>3</v>
      </c>
      <c r="V17" s="15">
        <v>2015</v>
      </c>
      <c r="W17" s="15"/>
      <c r="X17" s="16"/>
      <c r="Y17" s="16"/>
      <c r="Z17" s="92"/>
    </row>
    <row r="18" spans="1:26" ht="16.5" hidden="1" customHeight="1" x14ac:dyDescent="0.2">
      <c r="A18" s="40">
        <v>16</v>
      </c>
      <c r="B18" s="193">
        <v>20256</v>
      </c>
      <c r="C18" s="99" t="s">
        <v>1965</v>
      </c>
      <c r="D18" s="99" t="s">
        <v>1966</v>
      </c>
      <c r="E18" s="150" t="s">
        <v>5590</v>
      </c>
      <c r="F18" s="99" t="s">
        <v>1967</v>
      </c>
      <c r="G18" s="99" t="s">
        <v>1967</v>
      </c>
      <c r="H18" s="150" t="s">
        <v>1969</v>
      </c>
      <c r="I18" s="150" t="s">
        <v>5591</v>
      </c>
      <c r="J18" s="99" t="s">
        <v>1967</v>
      </c>
      <c r="K18" s="99" t="s">
        <v>1973</v>
      </c>
      <c r="L18" s="186" t="s">
        <v>1974</v>
      </c>
      <c r="M18" s="16" t="s">
        <v>1972</v>
      </c>
      <c r="N18" s="107" t="s">
        <v>5592</v>
      </c>
      <c r="O18" s="113" t="s">
        <v>94</v>
      </c>
      <c r="P18" s="16" t="s">
        <v>5593</v>
      </c>
      <c r="Q18" s="113" t="s">
        <v>5510</v>
      </c>
      <c r="R18" s="15"/>
      <c r="S18" s="16" t="s">
        <v>5594</v>
      </c>
      <c r="T18" s="16" t="s">
        <v>5595</v>
      </c>
      <c r="U18" s="15">
        <v>3</v>
      </c>
      <c r="V18" s="15">
        <v>2015</v>
      </c>
      <c r="W18" s="15"/>
      <c r="X18" s="16"/>
      <c r="Y18" s="16"/>
      <c r="Z18" s="92"/>
    </row>
    <row r="19" spans="1:26" ht="16.5" hidden="1" customHeight="1" x14ac:dyDescent="0.2">
      <c r="A19" s="40">
        <v>17</v>
      </c>
      <c r="B19" s="193">
        <v>20268</v>
      </c>
      <c r="C19" s="99" t="s">
        <v>2044</v>
      </c>
      <c r="D19" s="99" t="s">
        <v>2045</v>
      </c>
      <c r="E19" s="150" t="s">
        <v>5596</v>
      </c>
      <c r="F19" s="99" t="s">
        <v>5597</v>
      </c>
      <c r="G19" s="99" t="s">
        <v>5597</v>
      </c>
      <c r="H19" s="150" t="s">
        <v>2048</v>
      </c>
      <c r="I19" s="150" t="s">
        <v>5598</v>
      </c>
      <c r="J19" s="99" t="s">
        <v>2252</v>
      </c>
      <c r="K19" s="99" t="s">
        <v>5599</v>
      </c>
      <c r="L19" s="186" t="s">
        <v>5600</v>
      </c>
      <c r="M19" s="16" t="s">
        <v>5601</v>
      </c>
      <c r="N19" s="107" t="s">
        <v>5493</v>
      </c>
      <c r="O19" s="113" t="s">
        <v>94</v>
      </c>
      <c r="P19" s="16" t="s">
        <v>5602</v>
      </c>
      <c r="Q19" s="113" t="s">
        <v>5510</v>
      </c>
      <c r="R19" s="15"/>
      <c r="S19" s="16" t="s">
        <v>5603</v>
      </c>
      <c r="T19" s="16" t="s">
        <v>5604</v>
      </c>
      <c r="U19" s="15">
        <v>6</v>
      </c>
      <c r="V19" s="15">
        <v>2015</v>
      </c>
      <c r="W19" s="15"/>
      <c r="X19" s="16"/>
      <c r="Y19" s="16"/>
      <c r="Z19" s="92"/>
    </row>
    <row r="20" spans="1:26" ht="16.5" hidden="1" customHeight="1" x14ac:dyDescent="0.2">
      <c r="A20" s="40">
        <v>18</v>
      </c>
      <c r="B20" s="193">
        <v>20286</v>
      </c>
      <c r="C20" s="99" t="s">
        <v>2159</v>
      </c>
      <c r="D20" s="99" t="s">
        <v>170</v>
      </c>
      <c r="E20" s="150" t="s">
        <v>5605</v>
      </c>
      <c r="F20" s="99" t="s">
        <v>1829</v>
      </c>
      <c r="G20" s="99" t="s">
        <v>824</v>
      </c>
      <c r="H20" s="150" t="s">
        <v>2160</v>
      </c>
      <c r="I20" s="150" t="s">
        <v>5606</v>
      </c>
      <c r="J20" s="99" t="s">
        <v>1829</v>
      </c>
      <c r="K20" s="99" t="s">
        <v>2164</v>
      </c>
      <c r="L20" s="186" t="s">
        <v>2165</v>
      </c>
      <c r="M20" s="16" t="s">
        <v>5607</v>
      </c>
      <c r="N20" s="107" t="s">
        <v>5559</v>
      </c>
      <c r="O20" s="113" t="s">
        <v>94</v>
      </c>
      <c r="P20" s="16" t="s">
        <v>5608</v>
      </c>
      <c r="Q20" s="113" t="s">
        <v>5510</v>
      </c>
      <c r="R20" s="15" t="s">
        <v>5609</v>
      </c>
      <c r="S20" s="16" t="s">
        <v>5610</v>
      </c>
      <c r="T20" s="16" t="s">
        <v>5611</v>
      </c>
      <c r="U20" s="15">
        <v>8</v>
      </c>
      <c r="V20" s="15">
        <v>2015</v>
      </c>
      <c r="W20" s="15"/>
      <c r="X20" s="16"/>
      <c r="Y20" s="16"/>
      <c r="Z20" s="92"/>
    </row>
    <row r="21" spans="1:26" ht="16.5" hidden="1" customHeight="1" x14ac:dyDescent="0.2">
      <c r="A21" s="40">
        <v>19</v>
      </c>
      <c r="B21" s="193">
        <v>20294</v>
      </c>
      <c r="C21" s="99" t="s">
        <v>801</v>
      </c>
      <c r="D21" s="99" t="s">
        <v>287</v>
      </c>
      <c r="E21" s="150" t="s">
        <v>5612</v>
      </c>
      <c r="F21" s="99" t="s">
        <v>1829</v>
      </c>
      <c r="G21" s="99" t="s">
        <v>2213</v>
      </c>
      <c r="H21" s="150" t="s">
        <v>2214</v>
      </c>
      <c r="I21" s="150" t="s">
        <v>5613</v>
      </c>
      <c r="J21" s="99" t="s">
        <v>2215</v>
      </c>
      <c r="K21" s="99" t="s">
        <v>2218</v>
      </c>
      <c r="L21" s="99" t="s">
        <v>2218</v>
      </c>
      <c r="M21" s="5" t="s">
        <v>5614</v>
      </c>
      <c r="N21" s="107" t="s">
        <v>5615</v>
      </c>
      <c r="O21" s="113" t="s">
        <v>94</v>
      </c>
      <c r="P21" s="16" t="s">
        <v>5616</v>
      </c>
      <c r="Q21" s="113" t="s">
        <v>5510</v>
      </c>
      <c r="R21" s="15" t="s">
        <v>5617</v>
      </c>
      <c r="S21" s="16" t="s">
        <v>5618</v>
      </c>
      <c r="T21" s="16" t="s">
        <v>5619</v>
      </c>
      <c r="U21" s="15">
        <v>10</v>
      </c>
      <c r="V21" s="15">
        <v>2015</v>
      </c>
      <c r="W21" s="15"/>
      <c r="X21" s="16"/>
      <c r="Y21" s="16"/>
      <c r="Z21" s="92"/>
    </row>
    <row r="22" spans="1:26" ht="16.5" hidden="1" customHeight="1" x14ac:dyDescent="0.2">
      <c r="A22" s="40">
        <v>20</v>
      </c>
      <c r="B22" s="182">
        <v>20297</v>
      </c>
      <c r="C22" s="195" t="s">
        <v>2236</v>
      </c>
      <c r="D22" s="195" t="s">
        <v>486</v>
      </c>
      <c r="E22" s="24" t="s">
        <v>5620</v>
      </c>
      <c r="F22" s="51" t="s">
        <v>1186</v>
      </c>
      <c r="G22" s="177" t="s">
        <v>1186</v>
      </c>
      <c r="H22" s="24" t="s">
        <v>2237</v>
      </c>
      <c r="I22" s="24" t="s">
        <v>5621</v>
      </c>
      <c r="J22" s="99" t="s">
        <v>1105</v>
      </c>
      <c r="K22" s="195" t="s">
        <v>2243</v>
      </c>
      <c r="L22" s="195" t="s">
        <v>2244</v>
      </c>
      <c r="M22" s="11" t="s">
        <v>5622</v>
      </c>
      <c r="N22" s="107" t="s">
        <v>5566</v>
      </c>
      <c r="O22" s="113" t="s">
        <v>51</v>
      </c>
      <c r="P22" s="16" t="s">
        <v>5623</v>
      </c>
      <c r="Q22" s="113" t="s">
        <v>5510</v>
      </c>
      <c r="R22" s="15" t="s">
        <v>5624</v>
      </c>
      <c r="S22" s="16" t="s">
        <v>5625</v>
      </c>
      <c r="T22" s="16" t="s">
        <v>5626</v>
      </c>
      <c r="U22" s="15">
        <v>9</v>
      </c>
      <c r="V22" s="15">
        <v>2015</v>
      </c>
      <c r="W22" s="15"/>
      <c r="X22" s="16"/>
      <c r="Y22" s="16"/>
      <c r="Z22" s="92"/>
    </row>
    <row r="23" spans="1:26" ht="16.5" hidden="1" customHeight="1" x14ac:dyDescent="0.2">
      <c r="A23" s="40">
        <v>21</v>
      </c>
      <c r="B23" s="193">
        <v>20302</v>
      </c>
      <c r="C23" s="99" t="s">
        <v>2272</v>
      </c>
      <c r="D23" s="99" t="s">
        <v>778</v>
      </c>
      <c r="E23" s="150" t="s">
        <v>5627</v>
      </c>
      <c r="F23" s="99" t="s">
        <v>884</v>
      </c>
      <c r="G23" s="99" t="s">
        <v>5628</v>
      </c>
      <c r="H23" s="150" t="s">
        <v>2274</v>
      </c>
      <c r="I23" s="150" t="s">
        <v>5629</v>
      </c>
      <c r="J23" s="99" t="s">
        <v>5628</v>
      </c>
      <c r="K23" s="99" t="s">
        <v>2279</v>
      </c>
      <c r="L23" s="186" t="s">
        <v>2280</v>
      </c>
      <c r="M23" s="16" t="s">
        <v>5630</v>
      </c>
      <c r="N23" s="107" t="s">
        <v>5631</v>
      </c>
      <c r="O23" s="113" t="s">
        <v>94</v>
      </c>
      <c r="P23" s="16" t="s">
        <v>5632</v>
      </c>
      <c r="Q23" s="113" t="s">
        <v>5510</v>
      </c>
      <c r="R23" s="15" t="s">
        <v>5633</v>
      </c>
      <c r="S23" s="16" t="s">
        <v>5634</v>
      </c>
      <c r="T23" s="16" t="s">
        <v>5635</v>
      </c>
      <c r="U23" s="15">
        <v>10</v>
      </c>
      <c r="V23" s="15">
        <v>2015</v>
      </c>
      <c r="W23" s="15"/>
      <c r="X23" s="16"/>
      <c r="Y23" s="16"/>
      <c r="Z23" s="92"/>
    </row>
    <row r="24" spans="1:26" ht="16.5" hidden="1" customHeight="1" x14ac:dyDescent="0.2">
      <c r="A24" s="40">
        <v>22</v>
      </c>
      <c r="B24" s="193">
        <v>20317</v>
      </c>
      <c r="C24" s="99" t="s">
        <v>2366</v>
      </c>
      <c r="D24" s="99" t="s">
        <v>2367</v>
      </c>
      <c r="E24" s="150" t="s">
        <v>5636</v>
      </c>
      <c r="F24" s="99" t="s">
        <v>379</v>
      </c>
      <c r="G24" s="99" t="s">
        <v>379</v>
      </c>
      <c r="H24" s="150" t="s">
        <v>2368</v>
      </c>
      <c r="I24" s="150" t="s">
        <v>5637</v>
      </c>
      <c r="J24" s="99" t="s">
        <v>379</v>
      </c>
      <c r="K24" s="99" t="s">
        <v>2371</v>
      </c>
      <c r="L24" s="99" t="s">
        <v>2372</v>
      </c>
      <c r="M24" s="5" t="s">
        <v>5638</v>
      </c>
      <c r="N24" s="107" t="s">
        <v>5639</v>
      </c>
      <c r="O24" s="113" t="s">
        <v>94</v>
      </c>
      <c r="P24" s="16" t="s">
        <v>5640</v>
      </c>
      <c r="Q24" s="113" t="s">
        <v>5510</v>
      </c>
      <c r="R24" s="15" t="s">
        <v>5641</v>
      </c>
      <c r="S24" s="16" t="s">
        <v>5642</v>
      </c>
      <c r="T24" s="16" t="s">
        <v>5643</v>
      </c>
      <c r="U24" s="15">
        <v>12</v>
      </c>
      <c r="V24" s="15">
        <v>2015</v>
      </c>
      <c r="W24" s="15"/>
      <c r="X24" s="16"/>
      <c r="Y24" s="16"/>
      <c r="Z24" s="92"/>
    </row>
    <row r="25" spans="1:26" ht="16.5" hidden="1" customHeight="1" x14ac:dyDescent="0.2">
      <c r="A25" s="40">
        <v>23</v>
      </c>
      <c r="B25" s="193">
        <v>20323</v>
      </c>
      <c r="C25" s="99" t="s">
        <v>2399</v>
      </c>
      <c r="D25" s="99" t="s">
        <v>618</v>
      </c>
      <c r="E25" s="150" t="s">
        <v>5644</v>
      </c>
      <c r="F25" s="99" t="s">
        <v>1456</v>
      </c>
      <c r="G25" s="99" t="s">
        <v>1186</v>
      </c>
      <c r="H25" s="104" t="s">
        <v>2400</v>
      </c>
      <c r="I25" s="150" t="s">
        <v>5645</v>
      </c>
      <c r="J25" s="99" t="s">
        <v>5646</v>
      </c>
      <c r="K25" s="99" t="s">
        <v>5647</v>
      </c>
      <c r="L25" s="186" t="s">
        <v>2405</v>
      </c>
      <c r="M25" s="16" t="s">
        <v>5648</v>
      </c>
      <c r="N25" s="107" t="s">
        <v>5649</v>
      </c>
      <c r="O25" s="113" t="s">
        <v>94</v>
      </c>
      <c r="P25" s="16" t="s">
        <v>5650</v>
      </c>
      <c r="Q25" s="113" t="s">
        <v>5651</v>
      </c>
      <c r="R25" s="15" t="s">
        <v>5652</v>
      </c>
      <c r="S25" s="16" t="s">
        <v>5653</v>
      </c>
      <c r="T25" s="16" t="s">
        <v>5654</v>
      </c>
      <c r="U25" s="15">
        <v>9</v>
      </c>
      <c r="V25" s="15">
        <v>2014</v>
      </c>
      <c r="W25" s="15"/>
      <c r="X25" s="16"/>
      <c r="Y25" s="16"/>
      <c r="Z25" s="92"/>
    </row>
    <row r="26" spans="1:26" ht="16.5" hidden="1" customHeight="1" x14ac:dyDescent="0.2">
      <c r="A26" s="40">
        <v>24</v>
      </c>
      <c r="B26" s="193">
        <v>20324</v>
      </c>
      <c r="C26" s="99" t="s">
        <v>2406</v>
      </c>
      <c r="D26" s="99" t="s">
        <v>2407</v>
      </c>
      <c r="E26" s="150" t="s">
        <v>5655</v>
      </c>
      <c r="F26" s="99" t="s">
        <v>921</v>
      </c>
      <c r="G26" s="99" t="s">
        <v>921</v>
      </c>
      <c r="H26" s="150" t="s">
        <v>2408</v>
      </c>
      <c r="I26" s="150" t="s">
        <v>5656</v>
      </c>
      <c r="J26" s="99" t="s">
        <v>921</v>
      </c>
      <c r="K26" s="99" t="s">
        <v>2412</v>
      </c>
      <c r="L26" s="35" t="s">
        <v>2413</v>
      </c>
      <c r="M26" s="163" t="s">
        <v>2411</v>
      </c>
      <c r="N26" s="107" t="s">
        <v>5649</v>
      </c>
      <c r="O26" s="113" t="s">
        <v>94</v>
      </c>
      <c r="P26" s="16" t="s">
        <v>5568</v>
      </c>
      <c r="Q26" s="113" t="s">
        <v>5510</v>
      </c>
      <c r="R26" s="15" t="s">
        <v>5657</v>
      </c>
      <c r="S26" s="16" t="s">
        <v>5658</v>
      </c>
      <c r="T26" s="16" t="s">
        <v>5659</v>
      </c>
      <c r="U26" s="15">
        <v>1</v>
      </c>
      <c r="V26" s="15">
        <v>2016</v>
      </c>
      <c r="W26" s="15"/>
      <c r="X26" s="16"/>
      <c r="Y26" s="16"/>
      <c r="Z26" s="92"/>
    </row>
    <row r="27" spans="1:26" ht="16.5" hidden="1" customHeight="1" x14ac:dyDescent="0.2">
      <c r="A27" s="40">
        <v>25</v>
      </c>
      <c r="B27" s="193">
        <v>20334</v>
      </c>
      <c r="C27" s="99" t="s">
        <v>2475</v>
      </c>
      <c r="D27" s="99" t="s">
        <v>256</v>
      </c>
      <c r="E27" s="150" t="s">
        <v>5660</v>
      </c>
      <c r="F27" s="99" t="s">
        <v>1456</v>
      </c>
      <c r="G27" s="99" t="s">
        <v>171</v>
      </c>
      <c r="H27" s="150" t="s">
        <v>2477</v>
      </c>
      <c r="I27" s="150" t="s">
        <v>5661</v>
      </c>
      <c r="J27" s="99" t="s">
        <v>1456</v>
      </c>
      <c r="K27" s="99" t="s">
        <v>2482</v>
      </c>
      <c r="L27" s="186" t="s">
        <v>2482</v>
      </c>
      <c r="M27" s="16" t="s">
        <v>2481</v>
      </c>
      <c r="N27" s="107" t="s">
        <v>5649</v>
      </c>
      <c r="O27" s="113" t="s">
        <v>94</v>
      </c>
      <c r="P27" s="16" t="s">
        <v>5662</v>
      </c>
      <c r="Q27" s="113" t="s">
        <v>5510</v>
      </c>
      <c r="R27" s="15" t="s">
        <v>5663</v>
      </c>
      <c r="S27" s="16" t="s">
        <v>5664</v>
      </c>
      <c r="T27" s="16" t="s">
        <v>5665</v>
      </c>
      <c r="U27" s="15">
        <v>1</v>
      </c>
      <c r="V27" s="15">
        <v>2016</v>
      </c>
      <c r="W27" s="15"/>
      <c r="X27" s="16"/>
      <c r="Y27" s="16"/>
      <c r="Z27" s="92"/>
    </row>
    <row r="28" spans="1:26" ht="16.5" hidden="1" customHeight="1" x14ac:dyDescent="0.2">
      <c r="A28" s="40">
        <v>26</v>
      </c>
      <c r="B28" s="193">
        <v>20336</v>
      </c>
      <c r="C28" s="99" t="s">
        <v>2488</v>
      </c>
      <c r="D28" s="99" t="s">
        <v>2489</v>
      </c>
      <c r="E28" s="150" t="s">
        <v>5666</v>
      </c>
      <c r="F28" s="99" t="s">
        <v>2056</v>
      </c>
      <c r="G28" s="63" t="s">
        <v>1255</v>
      </c>
      <c r="H28" s="150" t="s">
        <v>2491</v>
      </c>
      <c r="I28" s="150" t="s">
        <v>5667</v>
      </c>
      <c r="J28" s="99" t="s">
        <v>2056</v>
      </c>
      <c r="K28" s="99" t="s">
        <v>2495</v>
      </c>
      <c r="L28" s="186" t="s">
        <v>2496</v>
      </c>
      <c r="M28" s="163" t="s">
        <v>5668</v>
      </c>
      <c r="N28" s="107" t="s">
        <v>5592</v>
      </c>
      <c r="O28" s="113" t="s">
        <v>94</v>
      </c>
      <c r="P28" s="16" t="s">
        <v>5669</v>
      </c>
      <c r="Q28" s="113" t="s">
        <v>5651</v>
      </c>
      <c r="R28" s="15" t="s">
        <v>5670</v>
      </c>
      <c r="S28" s="16" t="s">
        <v>5671</v>
      </c>
      <c r="T28" s="16" t="s">
        <v>5672</v>
      </c>
      <c r="U28" s="15">
        <v>2</v>
      </c>
      <c r="V28" s="15">
        <v>2014</v>
      </c>
      <c r="W28" s="15"/>
      <c r="X28" s="16"/>
      <c r="Y28" s="16"/>
      <c r="Z28" s="92" t="s">
        <v>6082</v>
      </c>
    </row>
    <row r="29" spans="1:26" ht="16.5" hidden="1" customHeight="1" x14ac:dyDescent="0.2">
      <c r="A29" s="40">
        <v>27</v>
      </c>
      <c r="B29" s="193">
        <v>20342</v>
      </c>
      <c r="C29" s="99" t="s">
        <v>2528</v>
      </c>
      <c r="D29" s="99" t="s">
        <v>2529</v>
      </c>
      <c r="E29" s="150" t="s">
        <v>5673</v>
      </c>
      <c r="F29" s="99" t="s">
        <v>5674</v>
      </c>
      <c r="G29" s="99" t="s">
        <v>365</v>
      </c>
      <c r="H29" s="150" t="s">
        <v>2530</v>
      </c>
      <c r="I29" s="150" t="s">
        <v>5675</v>
      </c>
      <c r="J29" s="99" t="s">
        <v>5676</v>
      </c>
      <c r="K29" s="99" t="s">
        <v>5677</v>
      </c>
      <c r="L29" s="99" t="s">
        <v>2535</v>
      </c>
      <c r="M29" s="5" t="s">
        <v>5678</v>
      </c>
      <c r="N29" s="107" t="s">
        <v>5679</v>
      </c>
      <c r="O29" s="113" t="s">
        <v>94</v>
      </c>
      <c r="P29" s="16" t="s">
        <v>5680</v>
      </c>
      <c r="Q29" s="113" t="s">
        <v>5510</v>
      </c>
      <c r="R29" s="15" t="s">
        <v>5681</v>
      </c>
      <c r="S29" s="16" t="s">
        <v>5671</v>
      </c>
      <c r="T29" s="16" t="s">
        <v>5682</v>
      </c>
      <c r="U29" s="15">
        <v>2</v>
      </c>
      <c r="V29" s="15">
        <v>2016</v>
      </c>
      <c r="W29" s="15"/>
      <c r="X29" s="16"/>
      <c r="Y29" s="16"/>
      <c r="Z29" s="92"/>
    </row>
    <row r="30" spans="1:26" ht="16.5" customHeight="1" x14ac:dyDescent="0.2">
      <c r="A30" s="40">
        <v>28</v>
      </c>
      <c r="B30" s="151">
        <v>20355</v>
      </c>
      <c r="C30" s="135" t="s">
        <v>2605</v>
      </c>
      <c r="D30" s="135" t="s">
        <v>250</v>
      </c>
      <c r="E30" s="114" t="s">
        <v>5683</v>
      </c>
      <c r="F30" s="135" t="s">
        <v>884</v>
      </c>
      <c r="G30" s="135" t="s">
        <v>120</v>
      </c>
      <c r="H30" s="114" t="s">
        <v>2606</v>
      </c>
      <c r="I30" s="114" t="s">
        <v>5684</v>
      </c>
      <c r="J30" s="135" t="s">
        <v>884</v>
      </c>
      <c r="K30" s="135" t="s">
        <v>2609</v>
      </c>
      <c r="L30" s="176" t="s">
        <v>2610</v>
      </c>
      <c r="M30" s="17" t="s">
        <v>5685</v>
      </c>
      <c r="N30" s="130" t="s">
        <v>5686</v>
      </c>
      <c r="O30" s="77" t="s">
        <v>94</v>
      </c>
      <c r="P30" s="17" t="s">
        <v>5687</v>
      </c>
      <c r="Q30" s="77" t="s">
        <v>5651</v>
      </c>
      <c r="R30" s="188" t="s">
        <v>5688</v>
      </c>
      <c r="S30" s="17" t="s">
        <v>5689</v>
      </c>
      <c r="T30" s="17" t="s">
        <v>5690</v>
      </c>
      <c r="U30" s="188">
        <v>5</v>
      </c>
      <c r="V30" s="188">
        <v>2014</v>
      </c>
      <c r="W30" s="188"/>
      <c r="X30" s="17"/>
      <c r="Y30" s="17"/>
      <c r="Z30" s="185" t="s">
        <v>5499</v>
      </c>
    </row>
    <row r="31" spans="1:26" ht="16.5" hidden="1" customHeight="1" x14ac:dyDescent="0.2">
      <c r="A31" s="40">
        <v>29</v>
      </c>
      <c r="B31" s="193">
        <v>20356</v>
      </c>
      <c r="C31" s="99" t="s">
        <v>2611</v>
      </c>
      <c r="D31" s="99" t="s">
        <v>1951</v>
      </c>
      <c r="E31" s="150" t="s">
        <v>5691</v>
      </c>
      <c r="F31" s="99" t="s">
        <v>2613</v>
      </c>
      <c r="G31" s="99" t="s">
        <v>2613</v>
      </c>
      <c r="H31" s="150" t="s">
        <v>5692</v>
      </c>
      <c r="I31" s="150" t="s">
        <v>5693</v>
      </c>
      <c r="J31" s="99" t="s">
        <v>2613</v>
      </c>
      <c r="K31" s="99" t="s">
        <v>5694</v>
      </c>
      <c r="L31" s="99" t="s">
        <v>2617</v>
      </c>
      <c r="M31" s="5" t="s">
        <v>5695</v>
      </c>
      <c r="N31" s="107" t="s">
        <v>5696</v>
      </c>
      <c r="O31" s="113" t="s">
        <v>94</v>
      </c>
      <c r="P31" s="16" t="s">
        <v>5687</v>
      </c>
      <c r="Q31" s="113" t="s">
        <v>5651</v>
      </c>
      <c r="R31" s="15" t="s">
        <v>5697</v>
      </c>
      <c r="S31" s="16" t="s">
        <v>5698</v>
      </c>
      <c r="T31" s="16" t="s">
        <v>5699</v>
      </c>
      <c r="U31" s="15">
        <v>4</v>
      </c>
      <c r="V31" s="15">
        <v>2014</v>
      </c>
      <c r="W31" s="15"/>
      <c r="X31" s="16"/>
      <c r="Y31" s="16"/>
      <c r="Z31" s="92"/>
    </row>
    <row r="32" spans="1:26" ht="16.5" hidden="1" customHeight="1" x14ac:dyDescent="0.2">
      <c r="A32" s="40">
        <v>30</v>
      </c>
      <c r="B32" s="193">
        <v>20357</v>
      </c>
      <c r="C32" s="99" t="s">
        <v>1670</v>
      </c>
      <c r="D32" s="99" t="s">
        <v>1658</v>
      </c>
      <c r="E32" s="150" t="s">
        <v>5700</v>
      </c>
      <c r="F32" s="99" t="s">
        <v>1409</v>
      </c>
      <c r="G32" s="99" t="s">
        <v>824</v>
      </c>
      <c r="H32" s="150" t="s">
        <v>2618</v>
      </c>
      <c r="I32" s="150" t="s">
        <v>5701</v>
      </c>
      <c r="J32" s="99" t="s">
        <v>1409</v>
      </c>
      <c r="K32" s="99" t="s">
        <v>2624</v>
      </c>
      <c r="L32" s="186" t="s">
        <v>2625</v>
      </c>
      <c r="M32" s="16" t="s">
        <v>5702</v>
      </c>
      <c r="N32" s="107" t="s">
        <v>5493</v>
      </c>
      <c r="O32" s="113" t="s">
        <v>94</v>
      </c>
      <c r="P32" s="16" t="s">
        <v>5687</v>
      </c>
      <c r="Q32" s="113" t="s">
        <v>5651</v>
      </c>
      <c r="R32" s="15" t="s">
        <v>5703</v>
      </c>
      <c r="S32" s="16" t="s">
        <v>5698</v>
      </c>
      <c r="T32" s="16" t="s">
        <v>5699</v>
      </c>
      <c r="U32" s="15">
        <v>4</v>
      </c>
      <c r="V32" s="15">
        <v>2014</v>
      </c>
      <c r="W32" s="15"/>
      <c r="X32" s="16"/>
      <c r="Y32" s="16"/>
      <c r="Z32" s="92"/>
    </row>
    <row r="33" spans="1:26" ht="16.5" hidden="1" customHeight="1" x14ac:dyDescent="0.2">
      <c r="A33" s="40">
        <v>31</v>
      </c>
      <c r="B33" s="193">
        <v>20358</v>
      </c>
      <c r="C33" s="99" t="s">
        <v>2626</v>
      </c>
      <c r="D33" s="99" t="s">
        <v>1102</v>
      </c>
      <c r="E33" s="150"/>
      <c r="F33" s="99"/>
      <c r="G33" s="99"/>
      <c r="H33" s="150"/>
      <c r="I33" s="150"/>
      <c r="J33" s="99"/>
      <c r="K33" s="99"/>
      <c r="L33" s="186"/>
      <c r="M33" s="16"/>
      <c r="N33" s="107" t="s">
        <v>5493</v>
      </c>
      <c r="O33" s="113" t="s">
        <v>94</v>
      </c>
      <c r="P33" s="16" t="s">
        <v>5687</v>
      </c>
      <c r="Q33" s="113" t="s">
        <v>5651</v>
      </c>
      <c r="R33" s="15" t="s">
        <v>5704</v>
      </c>
      <c r="S33" s="16" t="s">
        <v>5698</v>
      </c>
      <c r="T33" s="16" t="s">
        <v>5699</v>
      </c>
      <c r="U33" s="15">
        <v>4</v>
      </c>
      <c r="V33" s="15">
        <v>2014</v>
      </c>
      <c r="W33" s="15"/>
      <c r="X33" s="16"/>
      <c r="Y33" s="16"/>
      <c r="Z33" s="92"/>
    </row>
    <row r="34" spans="1:26" ht="16.5" hidden="1" customHeight="1" x14ac:dyDescent="0.2">
      <c r="A34" s="40">
        <v>32</v>
      </c>
      <c r="B34" s="193">
        <v>20361</v>
      </c>
      <c r="C34" s="99" t="s">
        <v>2647</v>
      </c>
      <c r="D34" s="99" t="s">
        <v>84</v>
      </c>
      <c r="E34" s="104" t="s">
        <v>5705</v>
      </c>
      <c r="F34" s="63" t="s">
        <v>1829</v>
      </c>
      <c r="G34" s="63" t="s">
        <v>1829</v>
      </c>
      <c r="H34" s="104" t="s">
        <v>2650</v>
      </c>
      <c r="I34" s="104" t="s">
        <v>5706</v>
      </c>
      <c r="J34" s="63" t="s">
        <v>5707</v>
      </c>
      <c r="K34" s="63" t="s">
        <v>2654</v>
      </c>
      <c r="L34" s="35" t="s">
        <v>2655</v>
      </c>
      <c r="M34" s="163" t="s">
        <v>5708</v>
      </c>
      <c r="N34" s="107" t="s">
        <v>5709</v>
      </c>
      <c r="O34" s="113" t="s">
        <v>51</v>
      </c>
      <c r="P34" s="16" t="s">
        <v>5710</v>
      </c>
      <c r="Q34" s="113" t="s">
        <v>5651</v>
      </c>
      <c r="R34" s="15" t="s">
        <v>5711</v>
      </c>
      <c r="S34" s="16" t="s">
        <v>5712</v>
      </c>
      <c r="T34" s="16" t="s">
        <v>5713</v>
      </c>
      <c r="U34" s="15">
        <v>4</v>
      </c>
      <c r="V34" s="15">
        <v>2014</v>
      </c>
      <c r="W34" s="15"/>
      <c r="X34" s="16"/>
      <c r="Y34" s="16"/>
      <c r="Z34" s="92"/>
    </row>
    <row r="35" spans="1:26" ht="16.5" hidden="1" customHeight="1" x14ac:dyDescent="0.2">
      <c r="A35" s="40">
        <v>33</v>
      </c>
      <c r="B35" s="151">
        <v>20372</v>
      </c>
      <c r="C35" s="135" t="s">
        <v>2712</v>
      </c>
      <c r="D35" s="135" t="s">
        <v>328</v>
      </c>
      <c r="E35" s="114" t="s">
        <v>5714</v>
      </c>
      <c r="F35" s="135" t="s">
        <v>1550</v>
      </c>
      <c r="G35" s="135" t="s">
        <v>1550</v>
      </c>
      <c r="H35" s="114" t="s">
        <v>5715</v>
      </c>
      <c r="I35" s="114" t="s">
        <v>5716</v>
      </c>
      <c r="J35" s="135" t="s">
        <v>1680</v>
      </c>
      <c r="K35" s="135" t="s">
        <v>5717</v>
      </c>
      <c r="L35" s="176" t="s">
        <v>5718</v>
      </c>
      <c r="M35" s="17" t="s">
        <v>2715</v>
      </c>
      <c r="N35" s="130" t="s">
        <v>5649</v>
      </c>
      <c r="O35" s="77" t="s">
        <v>94</v>
      </c>
      <c r="P35" s="17" t="s">
        <v>5719</v>
      </c>
      <c r="Q35" s="77" t="s">
        <v>5651</v>
      </c>
      <c r="R35" s="188" t="s">
        <v>5720</v>
      </c>
      <c r="S35" s="17" t="s">
        <v>5721</v>
      </c>
      <c r="T35" s="17" t="s">
        <v>5722</v>
      </c>
      <c r="U35" s="188">
        <v>3</v>
      </c>
      <c r="V35" s="188">
        <v>2013</v>
      </c>
      <c r="W35" s="188"/>
      <c r="X35" s="17"/>
      <c r="Y35" s="17"/>
      <c r="Z35" s="185" t="s">
        <v>5513</v>
      </c>
    </row>
    <row r="36" spans="1:26" ht="16.5" hidden="1" customHeight="1" x14ac:dyDescent="0.2">
      <c r="A36" s="40">
        <v>34</v>
      </c>
      <c r="B36" s="151">
        <v>20373</v>
      </c>
      <c r="C36" s="135" t="s">
        <v>2718</v>
      </c>
      <c r="D36" s="135" t="s">
        <v>1532</v>
      </c>
      <c r="E36" s="114" t="s">
        <v>5723</v>
      </c>
      <c r="F36" s="135" t="s">
        <v>2719</v>
      </c>
      <c r="G36" s="135" t="s">
        <v>824</v>
      </c>
      <c r="H36" s="114" t="s">
        <v>2721</v>
      </c>
      <c r="I36" s="114" t="s">
        <v>5724</v>
      </c>
      <c r="J36" s="135" t="s">
        <v>884</v>
      </c>
      <c r="K36" s="135" t="s">
        <v>5725</v>
      </c>
      <c r="L36" s="176" t="s">
        <v>2725</v>
      </c>
      <c r="M36" s="17" t="s">
        <v>5726</v>
      </c>
      <c r="N36" s="130" t="s">
        <v>5522</v>
      </c>
      <c r="O36" s="77" t="s">
        <v>94</v>
      </c>
      <c r="P36" s="17" t="s">
        <v>5727</v>
      </c>
      <c r="Q36" s="77" t="s">
        <v>5651</v>
      </c>
      <c r="R36" s="188" t="s">
        <v>5728</v>
      </c>
      <c r="S36" s="17" t="s">
        <v>5729</v>
      </c>
      <c r="T36" s="17" t="s">
        <v>5564</v>
      </c>
      <c r="U36" s="188">
        <v>5</v>
      </c>
      <c r="V36" s="188">
        <v>2013</v>
      </c>
      <c r="W36" s="188" t="s">
        <v>5730</v>
      </c>
      <c r="X36" s="17" t="s">
        <v>5731</v>
      </c>
      <c r="Y36" s="17" t="s">
        <v>5732</v>
      </c>
      <c r="Z36" s="185" t="s">
        <v>5499</v>
      </c>
    </row>
    <row r="37" spans="1:26" ht="16.5" hidden="1" customHeight="1" x14ac:dyDescent="0.2">
      <c r="A37" s="40">
        <v>35</v>
      </c>
      <c r="B37" s="193">
        <v>20410</v>
      </c>
      <c r="C37" s="99" t="s">
        <v>2956</v>
      </c>
      <c r="D37" s="99" t="s">
        <v>349</v>
      </c>
      <c r="E37" s="150" t="s">
        <v>5733</v>
      </c>
      <c r="F37" s="99" t="s">
        <v>1103</v>
      </c>
      <c r="G37" s="99" t="s">
        <v>1103</v>
      </c>
      <c r="H37" s="150" t="s">
        <v>2958</v>
      </c>
      <c r="I37" s="150" t="s">
        <v>5734</v>
      </c>
      <c r="J37" s="99" t="s">
        <v>1103</v>
      </c>
      <c r="K37" s="99" t="s">
        <v>2963</v>
      </c>
      <c r="L37" s="186" t="s">
        <v>2725</v>
      </c>
      <c r="M37" s="16" t="s">
        <v>5735</v>
      </c>
      <c r="N37" s="107" t="s">
        <v>5649</v>
      </c>
      <c r="O37" s="113" t="s">
        <v>94</v>
      </c>
      <c r="P37" s="16" t="s">
        <v>5736</v>
      </c>
      <c r="Q37" s="113" t="s">
        <v>5651</v>
      </c>
      <c r="R37" s="15" t="s">
        <v>5737</v>
      </c>
      <c r="S37" s="16" t="s">
        <v>5738</v>
      </c>
      <c r="T37" s="16" t="s">
        <v>5739</v>
      </c>
      <c r="U37" s="15">
        <v>6</v>
      </c>
      <c r="V37" s="15">
        <v>2013</v>
      </c>
      <c r="W37" s="15"/>
      <c r="X37" s="16"/>
      <c r="Y37" s="16"/>
      <c r="Z37" s="92"/>
    </row>
    <row r="38" spans="1:26" ht="16.5" hidden="1" customHeight="1" x14ac:dyDescent="0.2">
      <c r="A38" s="40">
        <v>36</v>
      </c>
      <c r="B38" s="141">
        <v>20414</v>
      </c>
      <c r="C38" s="44" t="s">
        <v>2979</v>
      </c>
      <c r="D38" s="44" t="s">
        <v>2980</v>
      </c>
      <c r="E38" s="128" t="s">
        <v>5740</v>
      </c>
      <c r="F38" s="55" t="s">
        <v>2613</v>
      </c>
      <c r="G38" s="55" t="s">
        <v>2613</v>
      </c>
      <c r="H38" s="128" t="s">
        <v>2982</v>
      </c>
      <c r="I38" s="128" t="s">
        <v>5741</v>
      </c>
      <c r="J38" s="55" t="s">
        <v>1778</v>
      </c>
      <c r="K38" s="55" t="s">
        <v>5742</v>
      </c>
      <c r="L38" s="60" t="s">
        <v>2987</v>
      </c>
      <c r="M38" s="42" t="s">
        <v>5743</v>
      </c>
      <c r="N38" s="93" t="s">
        <v>2239</v>
      </c>
      <c r="O38" s="133" t="s">
        <v>94</v>
      </c>
      <c r="P38" s="42" t="s">
        <v>5744</v>
      </c>
      <c r="Q38" s="133" t="s">
        <v>5510</v>
      </c>
      <c r="R38" s="191" t="s">
        <v>5745</v>
      </c>
      <c r="S38" s="42" t="s">
        <v>5746</v>
      </c>
      <c r="T38" s="42" t="s">
        <v>5498</v>
      </c>
      <c r="U38" s="191">
        <v>7</v>
      </c>
      <c r="V38" s="191">
        <v>2013</v>
      </c>
      <c r="W38" s="191"/>
      <c r="X38" s="42"/>
      <c r="Y38" s="42"/>
      <c r="Z38" s="179" t="s">
        <v>5499</v>
      </c>
    </row>
    <row r="39" spans="1:26" ht="16.5" hidden="1" customHeight="1" x14ac:dyDescent="0.2">
      <c r="A39" s="40">
        <v>37</v>
      </c>
      <c r="B39" s="193">
        <v>20418</v>
      </c>
      <c r="C39" s="99" t="s">
        <v>3001</v>
      </c>
      <c r="D39" s="99" t="s">
        <v>256</v>
      </c>
      <c r="E39" s="150" t="s">
        <v>5747</v>
      </c>
      <c r="F39" s="99" t="s">
        <v>2056</v>
      </c>
      <c r="G39" s="99" t="s">
        <v>2056</v>
      </c>
      <c r="H39" s="150" t="s">
        <v>3003</v>
      </c>
      <c r="I39" s="150" t="s">
        <v>5748</v>
      </c>
      <c r="J39" s="99" t="s">
        <v>3004</v>
      </c>
      <c r="K39" s="99" t="s">
        <v>5749</v>
      </c>
      <c r="L39" s="186" t="s">
        <v>3009</v>
      </c>
      <c r="M39" s="16" t="s">
        <v>5750</v>
      </c>
      <c r="N39" s="107" t="s">
        <v>5493</v>
      </c>
      <c r="O39" s="113" t="s">
        <v>94</v>
      </c>
      <c r="P39" s="16" t="s">
        <v>5751</v>
      </c>
      <c r="Q39" s="113" t="s">
        <v>5651</v>
      </c>
      <c r="R39" s="15"/>
      <c r="S39" s="16" t="s">
        <v>5752</v>
      </c>
      <c r="T39" s="16" t="s">
        <v>5497</v>
      </c>
      <c r="U39" s="15">
        <v>6</v>
      </c>
      <c r="V39" s="15">
        <v>2013</v>
      </c>
      <c r="W39" s="15"/>
      <c r="X39" s="16"/>
      <c r="Y39" s="16"/>
      <c r="Z39" s="92"/>
    </row>
    <row r="40" spans="1:26" ht="16.5" hidden="1" customHeight="1" x14ac:dyDescent="0.2">
      <c r="A40" s="40">
        <v>38</v>
      </c>
      <c r="B40" s="193">
        <v>20432</v>
      </c>
      <c r="C40" s="99" t="s">
        <v>3097</v>
      </c>
      <c r="D40" s="99" t="s">
        <v>573</v>
      </c>
      <c r="E40" s="150" t="s">
        <v>5753</v>
      </c>
      <c r="F40" s="99" t="s">
        <v>884</v>
      </c>
      <c r="G40" s="99" t="s">
        <v>3098</v>
      </c>
      <c r="H40" s="150" t="s">
        <v>3099</v>
      </c>
      <c r="I40" s="150" t="s">
        <v>5754</v>
      </c>
      <c r="J40" s="99" t="s">
        <v>884</v>
      </c>
      <c r="K40" s="99" t="s">
        <v>5755</v>
      </c>
      <c r="L40" s="186" t="s">
        <v>3103</v>
      </c>
      <c r="M40" s="16" t="s">
        <v>5756</v>
      </c>
      <c r="N40" s="107" t="s">
        <v>5709</v>
      </c>
      <c r="O40" s="113" t="s">
        <v>51</v>
      </c>
      <c r="P40" s="16" t="s">
        <v>5757</v>
      </c>
      <c r="Q40" s="113" t="s">
        <v>5510</v>
      </c>
      <c r="R40" s="15"/>
      <c r="S40" s="16" t="s">
        <v>5758</v>
      </c>
      <c r="T40" s="16" t="s">
        <v>5759</v>
      </c>
      <c r="U40" s="15">
        <v>7</v>
      </c>
      <c r="V40" s="15">
        <v>2013</v>
      </c>
      <c r="W40" s="15" t="s">
        <v>5760</v>
      </c>
      <c r="X40" s="16" t="s">
        <v>5761</v>
      </c>
      <c r="Y40" s="16" t="s">
        <v>5762</v>
      </c>
      <c r="Z40" s="92"/>
    </row>
    <row r="41" spans="1:26" ht="16.5" hidden="1" customHeight="1" x14ac:dyDescent="0.2">
      <c r="A41" s="40">
        <v>39</v>
      </c>
      <c r="B41" s="193">
        <v>20458</v>
      </c>
      <c r="C41" s="99" t="s">
        <v>3256</v>
      </c>
      <c r="D41" s="99" t="s">
        <v>576</v>
      </c>
      <c r="E41" s="150" t="s">
        <v>5763</v>
      </c>
      <c r="F41" s="99" t="s">
        <v>3258</v>
      </c>
      <c r="G41" s="99" t="s">
        <v>1550</v>
      </c>
      <c r="H41" s="150" t="s">
        <v>3257</v>
      </c>
      <c r="I41" s="150" t="s">
        <v>5764</v>
      </c>
      <c r="J41" s="99" t="s">
        <v>3258</v>
      </c>
      <c r="K41" s="99" t="s">
        <v>3262</v>
      </c>
      <c r="L41" s="186" t="s">
        <v>3263</v>
      </c>
      <c r="M41" s="16" t="s">
        <v>5765</v>
      </c>
      <c r="N41" s="107" t="s">
        <v>5493</v>
      </c>
      <c r="O41" s="113" t="s">
        <v>94</v>
      </c>
      <c r="P41" s="16" t="s">
        <v>5766</v>
      </c>
      <c r="Q41" s="113" t="s">
        <v>5651</v>
      </c>
      <c r="R41" s="15" t="s">
        <v>5767</v>
      </c>
      <c r="S41" s="16" t="s">
        <v>5658</v>
      </c>
      <c r="T41" s="16" t="s">
        <v>5768</v>
      </c>
      <c r="U41" s="15">
        <v>1</v>
      </c>
      <c r="V41" s="15">
        <v>2014</v>
      </c>
      <c r="W41" s="15"/>
      <c r="X41" s="16"/>
      <c r="Y41" s="16"/>
      <c r="Z41" s="92" t="s">
        <v>6082</v>
      </c>
    </row>
    <row r="42" spans="1:26" ht="16.5" hidden="1" customHeight="1" x14ac:dyDescent="0.2">
      <c r="A42" s="40">
        <v>40</v>
      </c>
      <c r="B42" s="193">
        <v>20475</v>
      </c>
      <c r="C42" s="99" t="s">
        <v>3364</v>
      </c>
      <c r="D42" s="99" t="s">
        <v>3365</v>
      </c>
      <c r="E42" s="150" t="s">
        <v>5769</v>
      </c>
      <c r="F42" s="99" t="s">
        <v>1614</v>
      </c>
      <c r="G42" s="99" t="s">
        <v>1614</v>
      </c>
      <c r="H42" s="150" t="s">
        <v>3366</v>
      </c>
      <c r="I42" s="150" t="s">
        <v>5770</v>
      </c>
      <c r="J42" s="99" t="s">
        <v>1614</v>
      </c>
      <c r="K42" s="99" t="s">
        <v>3372</v>
      </c>
      <c r="L42" s="186" t="s">
        <v>3373</v>
      </c>
      <c r="M42" s="16" t="s">
        <v>5771</v>
      </c>
      <c r="N42" s="107" t="s">
        <v>5493</v>
      </c>
      <c r="O42" s="113" t="s">
        <v>94</v>
      </c>
      <c r="P42" s="16" t="s">
        <v>5766</v>
      </c>
      <c r="Q42" s="113" t="s">
        <v>5651</v>
      </c>
      <c r="R42" s="15" t="s">
        <v>5772</v>
      </c>
      <c r="S42" s="16" t="s">
        <v>5658</v>
      </c>
      <c r="T42" s="16" t="s">
        <v>5768</v>
      </c>
      <c r="U42" s="15">
        <v>1</v>
      </c>
      <c r="V42" s="15">
        <v>2014</v>
      </c>
      <c r="W42" s="15"/>
      <c r="X42" s="16"/>
      <c r="Y42" s="16"/>
      <c r="Z42" s="92" t="s">
        <v>6082</v>
      </c>
    </row>
    <row r="43" spans="1:26" ht="16.5" hidden="1" customHeight="1" x14ac:dyDescent="0.2">
      <c r="A43" s="40">
        <v>41</v>
      </c>
      <c r="B43" s="193">
        <v>20479</v>
      </c>
      <c r="C43" s="99" t="s">
        <v>3387</v>
      </c>
      <c r="D43" s="99" t="s">
        <v>823</v>
      </c>
      <c r="E43" s="150" t="s">
        <v>5773</v>
      </c>
      <c r="F43" s="99" t="s">
        <v>2613</v>
      </c>
      <c r="G43" s="99" t="s">
        <v>2613</v>
      </c>
      <c r="H43" s="150" t="s">
        <v>3388</v>
      </c>
      <c r="I43" s="150" t="s">
        <v>5774</v>
      </c>
      <c r="J43" s="99" t="s">
        <v>3389</v>
      </c>
      <c r="K43" s="99" t="s">
        <v>5775</v>
      </c>
      <c r="L43" s="186" t="s">
        <v>3395</v>
      </c>
      <c r="M43" s="16" t="s">
        <v>5776</v>
      </c>
      <c r="N43" s="107" t="s">
        <v>5493</v>
      </c>
      <c r="O43" s="113" t="s">
        <v>94</v>
      </c>
      <c r="P43" s="16" t="s">
        <v>5766</v>
      </c>
      <c r="Q43" s="113" t="s">
        <v>5651</v>
      </c>
      <c r="R43" s="15" t="s">
        <v>5777</v>
      </c>
      <c r="S43" s="16" t="s">
        <v>5658</v>
      </c>
      <c r="T43" s="16" t="s">
        <v>5768</v>
      </c>
      <c r="U43" s="15">
        <v>1</v>
      </c>
      <c r="V43" s="15">
        <v>2014</v>
      </c>
      <c r="W43" s="15"/>
      <c r="X43" s="16"/>
      <c r="Y43" s="16"/>
      <c r="Z43" s="92" t="s">
        <v>6082</v>
      </c>
    </row>
    <row r="44" spans="1:26" ht="16.5" hidden="1" customHeight="1" x14ac:dyDescent="0.2">
      <c r="A44" s="40">
        <v>42</v>
      </c>
      <c r="B44" s="193">
        <v>20481</v>
      </c>
      <c r="C44" s="99" t="s">
        <v>3398</v>
      </c>
      <c r="D44" s="99" t="s">
        <v>3399</v>
      </c>
      <c r="E44" s="150" t="s">
        <v>5778</v>
      </c>
      <c r="F44" s="99" t="s">
        <v>2613</v>
      </c>
      <c r="G44" s="99" t="s">
        <v>5779</v>
      </c>
      <c r="H44" s="150" t="s">
        <v>3401</v>
      </c>
      <c r="I44" s="150" t="s">
        <v>5780</v>
      </c>
      <c r="J44" s="99" t="s">
        <v>3389</v>
      </c>
      <c r="K44" s="63" t="s">
        <v>5781</v>
      </c>
      <c r="L44" s="63" t="s">
        <v>5782</v>
      </c>
      <c r="M44" s="98" t="s">
        <v>5783</v>
      </c>
      <c r="N44" s="107" t="s">
        <v>5493</v>
      </c>
      <c r="O44" s="113" t="s">
        <v>94</v>
      </c>
      <c r="P44" s="16" t="s">
        <v>5766</v>
      </c>
      <c r="Q44" s="113" t="s">
        <v>5651</v>
      </c>
      <c r="R44" s="15" t="s">
        <v>5784</v>
      </c>
      <c r="S44" s="16" t="s">
        <v>5658</v>
      </c>
      <c r="T44" s="16" t="s">
        <v>5768</v>
      </c>
      <c r="U44" s="15">
        <v>1</v>
      </c>
      <c r="V44" s="15">
        <v>2014</v>
      </c>
      <c r="W44" s="15"/>
      <c r="X44" s="16"/>
      <c r="Y44" s="16"/>
      <c r="Z44" s="92" t="s">
        <v>6082</v>
      </c>
    </row>
    <row r="45" spans="1:26" ht="16.5" hidden="1" customHeight="1" x14ac:dyDescent="0.2">
      <c r="A45" s="40">
        <v>43</v>
      </c>
      <c r="B45" s="193">
        <v>20490</v>
      </c>
      <c r="C45" s="99" t="s">
        <v>3443</v>
      </c>
      <c r="D45" s="99" t="s">
        <v>1017</v>
      </c>
      <c r="E45" s="150" t="s">
        <v>5785</v>
      </c>
      <c r="F45" s="99" t="s">
        <v>1103</v>
      </c>
      <c r="G45" s="99" t="s">
        <v>1103</v>
      </c>
      <c r="H45" s="150" t="s">
        <v>3444</v>
      </c>
      <c r="I45" s="150" t="s">
        <v>5786</v>
      </c>
      <c r="J45" s="99" t="s">
        <v>1103</v>
      </c>
      <c r="K45" s="63" t="s">
        <v>5787</v>
      </c>
      <c r="L45" s="35" t="s">
        <v>5788</v>
      </c>
      <c r="M45" s="163" t="s">
        <v>3448</v>
      </c>
      <c r="N45" s="107" t="s">
        <v>5493</v>
      </c>
      <c r="O45" s="113" t="s">
        <v>94</v>
      </c>
      <c r="P45" s="16" t="s">
        <v>5789</v>
      </c>
      <c r="Q45" s="113" t="s">
        <v>5651</v>
      </c>
      <c r="R45" s="15" t="s">
        <v>5790</v>
      </c>
      <c r="S45" s="16" t="s">
        <v>5791</v>
      </c>
      <c r="T45" s="16" t="s">
        <v>5792</v>
      </c>
      <c r="U45" s="15">
        <v>1</v>
      </c>
      <c r="V45" s="15">
        <v>2014</v>
      </c>
      <c r="W45" s="15"/>
      <c r="X45" s="16"/>
      <c r="Y45" s="16"/>
      <c r="Z45" s="92" t="s">
        <v>6082</v>
      </c>
    </row>
    <row r="46" spans="1:26" ht="16.5" hidden="1" customHeight="1" x14ac:dyDescent="0.2">
      <c r="A46" s="40">
        <v>44</v>
      </c>
      <c r="B46" s="193">
        <v>20491</v>
      </c>
      <c r="C46" s="99" t="s">
        <v>1193</v>
      </c>
      <c r="D46" s="99" t="s">
        <v>823</v>
      </c>
      <c r="E46" s="150" t="s">
        <v>5793</v>
      </c>
      <c r="F46" s="99" t="s">
        <v>1456</v>
      </c>
      <c r="G46" s="99" t="s">
        <v>1456</v>
      </c>
      <c r="H46" s="150" t="s">
        <v>3451</v>
      </c>
      <c r="I46" s="150" t="s">
        <v>5794</v>
      </c>
      <c r="J46" s="99" t="s">
        <v>5646</v>
      </c>
      <c r="K46" s="99" t="s">
        <v>5795</v>
      </c>
      <c r="L46" s="186" t="s">
        <v>3456</v>
      </c>
      <c r="M46" s="16" t="s">
        <v>3454</v>
      </c>
      <c r="N46" s="107" t="s">
        <v>458</v>
      </c>
      <c r="O46" s="113" t="s">
        <v>94</v>
      </c>
      <c r="P46" s="16" t="s">
        <v>5796</v>
      </c>
      <c r="Q46" s="113" t="s">
        <v>5651</v>
      </c>
      <c r="R46" s="15" t="s">
        <v>5797</v>
      </c>
      <c r="S46" s="16" t="s">
        <v>5798</v>
      </c>
      <c r="T46" s="16" t="s">
        <v>5799</v>
      </c>
      <c r="U46" s="15">
        <v>1</v>
      </c>
      <c r="V46" s="15">
        <v>2014</v>
      </c>
      <c r="W46" s="15"/>
      <c r="X46" s="16"/>
      <c r="Y46" s="16"/>
      <c r="Z46" s="92" t="s">
        <v>6082</v>
      </c>
    </row>
    <row r="47" spans="1:26" ht="16.5" hidden="1" customHeight="1" x14ac:dyDescent="0.2">
      <c r="A47" s="40">
        <v>45</v>
      </c>
      <c r="B47" s="193">
        <v>20498</v>
      </c>
      <c r="C47" s="99" t="s">
        <v>3481</v>
      </c>
      <c r="D47" s="99" t="s">
        <v>685</v>
      </c>
      <c r="E47" s="150" t="s">
        <v>5800</v>
      </c>
      <c r="F47" s="99" t="s">
        <v>5801</v>
      </c>
      <c r="G47" s="99" t="s">
        <v>2613</v>
      </c>
      <c r="H47" s="150" t="s">
        <v>3483</v>
      </c>
      <c r="I47" s="150" t="s">
        <v>5802</v>
      </c>
      <c r="J47" s="99" t="s">
        <v>3389</v>
      </c>
      <c r="K47" s="99" t="s">
        <v>5803</v>
      </c>
      <c r="L47" s="99" t="s">
        <v>3486</v>
      </c>
      <c r="M47" s="5" t="s">
        <v>5804</v>
      </c>
      <c r="N47" s="107" t="s">
        <v>5639</v>
      </c>
      <c r="O47" s="113" t="s">
        <v>94</v>
      </c>
      <c r="P47" s="16" t="s">
        <v>5805</v>
      </c>
      <c r="Q47" s="113" t="s">
        <v>5651</v>
      </c>
      <c r="R47" s="15" t="s">
        <v>5806</v>
      </c>
      <c r="S47" s="16" t="s">
        <v>5807</v>
      </c>
      <c r="T47" s="16" t="s">
        <v>5808</v>
      </c>
      <c r="U47" s="15">
        <v>1</v>
      </c>
      <c r="V47" s="15">
        <v>2014</v>
      </c>
      <c r="W47" s="15"/>
      <c r="X47" s="16"/>
      <c r="Y47" s="16"/>
      <c r="Z47" s="92" t="s">
        <v>6082</v>
      </c>
    </row>
    <row r="48" spans="1:26" ht="16.5" hidden="1" customHeight="1" x14ac:dyDescent="0.2">
      <c r="A48" s="40">
        <v>46</v>
      </c>
      <c r="B48" s="193">
        <v>20501</v>
      </c>
      <c r="C48" s="99" t="s">
        <v>1329</v>
      </c>
      <c r="D48" s="99" t="s">
        <v>266</v>
      </c>
      <c r="E48" s="150" t="s">
        <v>5809</v>
      </c>
      <c r="F48" s="99" t="s">
        <v>52</v>
      </c>
      <c r="G48" s="99" t="s">
        <v>303</v>
      </c>
      <c r="H48" s="150" t="s">
        <v>3496</v>
      </c>
      <c r="I48" s="150" t="s">
        <v>5810</v>
      </c>
      <c r="J48" s="99" t="s">
        <v>3389</v>
      </c>
      <c r="K48" s="99" t="s">
        <v>3499</v>
      </c>
      <c r="L48" s="99" t="s">
        <v>3499</v>
      </c>
      <c r="M48" s="5" t="s">
        <v>5811</v>
      </c>
      <c r="N48" s="107" t="s">
        <v>5615</v>
      </c>
      <c r="O48" s="113" t="s">
        <v>94</v>
      </c>
      <c r="P48" s="16" t="s">
        <v>5812</v>
      </c>
      <c r="Q48" s="113" t="s">
        <v>5651</v>
      </c>
      <c r="R48" s="15" t="s">
        <v>5813</v>
      </c>
      <c r="S48" s="16" t="s">
        <v>5814</v>
      </c>
      <c r="T48" s="16" t="s">
        <v>5815</v>
      </c>
      <c r="U48" s="15">
        <v>1</v>
      </c>
      <c r="V48" s="15">
        <v>2014</v>
      </c>
      <c r="W48" s="15"/>
      <c r="X48" s="16"/>
      <c r="Y48" s="16"/>
      <c r="Z48" s="92" t="s">
        <v>6082</v>
      </c>
    </row>
    <row r="49" spans="1:26" ht="16.5" hidden="1" customHeight="1" x14ac:dyDescent="0.2">
      <c r="A49" s="40">
        <v>47</v>
      </c>
      <c r="B49" s="193">
        <v>20508</v>
      </c>
      <c r="C49" s="99" t="s">
        <v>3538</v>
      </c>
      <c r="D49" s="99" t="s">
        <v>160</v>
      </c>
      <c r="E49" s="150" t="s">
        <v>5816</v>
      </c>
      <c r="F49" s="99" t="s">
        <v>2613</v>
      </c>
      <c r="G49" s="63" t="s">
        <v>5817</v>
      </c>
      <c r="H49" s="150" t="s">
        <v>3539</v>
      </c>
      <c r="I49" s="104" t="s">
        <v>5818</v>
      </c>
      <c r="J49" s="99" t="s">
        <v>3389</v>
      </c>
      <c r="K49" s="99" t="s">
        <v>5819</v>
      </c>
      <c r="L49" s="186" t="s">
        <v>3546</v>
      </c>
      <c r="M49" s="16" t="s">
        <v>5820</v>
      </c>
      <c r="N49" s="107" t="s">
        <v>5649</v>
      </c>
      <c r="O49" s="113" t="s">
        <v>94</v>
      </c>
      <c r="P49" s="16" t="s">
        <v>5821</v>
      </c>
      <c r="Q49" s="113" t="s">
        <v>5651</v>
      </c>
      <c r="R49" s="15" t="s">
        <v>5822</v>
      </c>
      <c r="S49" s="16" t="s">
        <v>5823</v>
      </c>
      <c r="T49" s="16" t="s">
        <v>5824</v>
      </c>
      <c r="U49" s="15">
        <v>2</v>
      </c>
      <c r="V49" s="15">
        <v>2014</v>
      </c>
      <c r="W49" s="15"/>
      <c r="X49" s="16"/>
      <c r="Y49" s="16"/>
      <c r="Z49" s="92" t="s">
        <v>6082</v>
      </c>
    </row>
    <row r="50" spans="1:26" ht="16.5" hidden="1" customHeight="1" x14ac:dyDescent="0.2">
      <c r="A50" s="40">
        <v>48</v>
      </c>
      <c r="B50" s="193">
        <v>20529</v>
      </c>
      <c r="C50" s="99" t="s">
        <v>3699</v>
      </c>
      <c r="D50" s="99" t="s">
        <v>667</v>
      </c>
      <c r="E50" s="150" t="s">
        <v>5825</v>
      </c>
      <c r="F50" s="99" t="s">
        <v>1614</v>
      </c>
      <c r="G50" s="63" t="s">
        <v>1614</v>
      </c>
      <c r="H50" s="150" t="s">
        <v>3701</v>
      </c>
      <c r="I50" s="150" t="s">
        <v>5826</v>
      </c>
      <c r="J50" s="99" t="s">
        <v>1614</v>
      </c>
      <c r="K50" s="99" t="s">
        <v>3706</v>
      </c>
      <c r="L50" s="186" t="s">
        <v>3707</v>
      </c>
      <c r="M50" s="16" t="s">
        <v>5827</v>
      </c>
      <c r="N50" s="107" t="s">
        <v>5493</v>
      </c>
      <c r="O50" s="113" t="s">
        <v>94</v>
      </c>
      <c r="P50" s="16" t="s">
        <v>5671</v>
      </c>
      <c r="Q50" s="113" t="s">
        <v>5651</v>
      </c>
      <c r="R50" s="15" t="s">
        <v>5828</v>
      </c>
      <c r="S50" s="16" t="s">
        <v>5829</v>
      </c>
      <c r="T50" s="16" t="s">
        <v>5830</v>
      </c>
      <c r="U50" s="15">
        <v>4</v>
      </c>
      <c r="V50" s="15">
        <v>2014</v>
      </c>
      <c r="W50" s="15"/>
      <c r="X50" s="16"/>
      <c r="Y50" s="16"/>
      <c r="Z50" s="92"/>
    </row>
    <row r="51" spans="1:26" ht="16.5" hidden="1" customHeight="1" x14ac:dyDescent="0.2">
      <c r="A51" s="40">
        <v>49</v>
      </c>
      <c r="B51" s="193">
        <v>20541</v>
      </c>
      <c r="C51" s="99" t="s">
        <v>3387</v>
      </c>
      <c r="D51" s="99" t="s">
        <v>535</v>
      </c>
      <c r="E51" s="150" t="s">
        <v>5831</v>
      </c>
      <c r="F51" s="99" t="s">
        <v>2613</v>
      </c>
      <c r="G51" s="99" t="s">
        <v>2613</v>
      </c>
      <c r="H51" s="150" t="s">
        <v>3795</v>
      </c>
      <c r="I51" s="150" t="s">
        <v>5832</v>
      </c>
      <c r="J51" s="99" t="s">
        <v>3389</v>
      </c>
      <c r="K51" s="99" t="s">
        <v>5833</v>
      </c>
      <c r="L51" s="99" t="s">
        <v>3798</v>
      </c>
      <c r="M51" s="5" t="s">
        <v>5834</v>
      </c>
      <c r="N51" s="107" t="s">
        <v>5493</v>
      </c>
      <c r="O51" s="113" t="s">
        <v>94</v>
      </c>
      <c r="P51" s="16" t="s">
        <v>5835</v>
      </c>
      <c r="Q51" s="113" t="s">
        <v>5651</v>
      </c>
      <c r="R51" s="15"/>
      <c r="S51" s="16" t="s">
        <v>5836</v>
      </c>
      <c r="T51" s="16" t="s">
        <v>5837</v>
      </c>
      <c r="U51" s="15">
        <v>5</v>
      </c>
      <c r="V51" s="15">
        <v>2014</v>
      </c>
      <c r="W51" s="15"/>
      <c r="X51" s="16"/>
      <c r="Y51" s="16"/>
      <c r="Z51" s="92"/>
    </row>
    <row r="52" spans="1:26" ht="16.5" hidden="1" customHeight="1" x14ac:dyDescent="0.2">
      <c r="A52" s="40">
        <v>50</v>
      </c>
      <c r="B52" s="193">
        <v>20542</v>
      </c>
      <c r="C52" s="99" t="s">
        <v>2870</v>
      </c>
      <c r="D52" s="99" t="s">
        <v>131</v>
      </c>
      <c r="E52" s="150" t="s">
        <v>5838</v>
      </c>
      <c r="F52" s="99" t="s">
        <v>884</v>
      </c>
      <c r="G52" s="99" t="s">
        <v>5839</v>
      </c>
      <c r="H52" s="150" t="s">
        <v>3801</v>
      </c>
      <c r="I52" s="150" t="s">
        <v>5840</v>
      </c>
      <c r="J52" s="99" t="s">
        <v>2275</v>
      </c>
      <c r="K52" s="99" t="s">
        <v>5841</v>
      </c>
      <c r="L52" s="186" t="s">
        <v>3807</v>
      </c>
      <c r="M52" s="16" t="s">
        <v>5842</v>
      </c>
      <c r="N52" s="107" t="s">
        <v>5493</v>
      </c>
      <c r="O52" s="113" t="s">
        <v>94</v>
      </c>
      <c r="P52" s="16" t="s">
        <v>5835</v>
      </c>
      <c r="Q52" s="113" t="s">
        <v>5651</v>
      </c>
      <c r="R52" s="15"/>
      <c r="S52" s="16" t="s">
        <v>5836</v>
      </c>
      <c r="T52" s="16" t="s">
        <v>5837</v>
      </c>
      <c r="U52" s="15">
        <v>5</v>
      </c>
      <c r="V52" s="15">
        <v>2014</v>
      </c>
      <c r="W52" s="15"/>
      <c r="X52" s="16"/>
      <c r="Y52" s="16"/>
      <c r="Z52" s="92"/>
    </row>
    <row r="53" spans="1:26" ht="16.5" hidden="1" customHeight="1" x14ac:dyDescent="0.2">
      <c r="A53" s="40">
        <v>51</v>
      </c>
      <c r="B53" s="193">
        <v>20543</v>
      </c>
      <c r="C53" s="99" t="s">
        <v>3810</v>
      </c>
      <c r="D53" s="99" t="s">
        <v>3811</v>
      </c>
      <c r="E53" s="150" t="s">
        <v>5843</v>
      </c>
      <c r="F53" s="99" t="s">
        <v>895</v>
      </c>
      <c r="G53" s="99" t="s">
        <v>824</v>
      </c>
      <c r="H53" s="150" t="s">
        <v>3813</v>
      </c>
      <c r="I53" s="150" t="s">
        <v>5844</v>
      </c>
      <c r="J53" s="99" t="s">
        <v>895</v>
      </c>
      <c r="K53" s="99" t="s">
        <v>3818</v>
      </c>
      <c r="L53" s="186" t="s">
        <v>3819</v>
      </c>
      <c r="M53" s="16" t="s">
        <v>5845</v>
      </c>
      <c r="N53" s="107" t="s">
        <v>5493</v>
      </c>
      <c r="O53" s="113" t="s">
        <v>94</v>
      </c>
      <c r="P53" s="16" t="s">
        <v>5846</v>
      </c>
      <c r="Q53" s="113" t="s">
        <v>5651</v>
      </c>
      <c r="R53" s="15"/>
      <c r="S53" s="16" t="s">
        <v>5847</v>
      </c>
      <c r="T53" s="16" t="s">
        <v>5848</v>
      </c>
      <c r="U53" s="15">
        <v>5</v>
      </c>
      <c r="V53" s="15">
        <v>2014</v>
      </c>
      <c r="W53" s="15"/>
      <c r="X53" s="16"/>
      <c r="Y53" s="16"/>
      <c r="Z53" s="92"/>
    </row>
    <row r="54" spans="1:26" ht="16.5" hidden="1" customHeight="1" x14ac:dyDescent="0.2">
      <c r="A54" s="40">
        <v>52</v>
      </c>
      <c r="B54" s="193">
        <v>20550</v>
      </c>
      <c r="C54" s="99" t="s">
        <v>199</v>
      </c>
      <c r="D54" s="99" t="s">
        <v>576</v>
      </c>
      <c r="E54" s="150" t="s">
        <v>5849</v>
      </c>
      <c r="F54" s="99" t="s">
        <v>5850</v>
      </c>
      <c r="G54" s="63" t="s">
        <v>856</v>
      </c>
      <c r="H54" s="150" t="s">
        <v>3884</v>
      </c>
      <c r="I54" s="150" t="s">
        <v>5851</v>
      </c>
      <c r="J54" s="99" t="s">
        <v>3885</v>
      </c>
      <c r="K54" s="99" t="s">
        <v>5852</v>
      </c>
      <c r="L54" s="186" t="s">
        <v>5853</v>
      </c>
      <c r="M54" s="163" t="s">
        <v>5854</v>
      </c>
      <c r="N54" s="107" t="s">
        <v>5855</v>
      </c>
      <c r="O54" s="113" t="s">
        <v>94</v>
      </c>
      <c r="P54" s="16" t="s">
        <v>5856</v>
      </c>
      <c r="Q54" s="113" t="s">
        <v>5651</v>
      </c>
      <c r="R54" s="15"/>
      <c r="S54" s="16" t="s">
        <v>5497</v>
      </c>
      <c r="T54" s="16" t="s">
        <v>5857</v>
      </c>
      <c r="U54" s="15">
        <v>6</v>
      </c>
      <c r="V54" s="15">
        <v>2014</v>
      </c>
      <c r="W54" s="15"/>
      <c r="X54" s="16"/>
      <c r="Y54" s="16"/>
      <c r="Z54" s="92"/>
    </row>
    <row r="55" spans="1:26" ht="16.5" hidden="1" customHeight="1" x14ac:dyDescent="0.2">
      <c r="A55" s="40">
        <v>53</v>
      </c>
      <c r="B55" s="193">
        <v>20552</v>
      </c>
      <c r="C55" s="99" t="s">
        <v>3901</v>
      </c>
      <c r="D55" s="99" t="s">
        <v>170</v>
      </c>
      <c r="E55" s="150" t="s">
        <v>5858</v>
      </c>
      <c r="F55" s="99" t="s">
        <v>2613</v>
      </c>
      <c r="G55" s="157" t="s">
        <v>397</v>
      </c>
      <c r="H55" s="104" t="s">
        <v>3902</v>
      </c>
      <c r="I55" s="150" t="s">
        <v>5859</v>
      </c>
      <c r="J55" s="99" t="s">
        <v>3389</v>
      </c>
      <c r="K55" s="99" t="s">
        <v>5860</v>
      </c>
      <c r="L55" s="186" t="s">
        <v>3907</v>
      </c>
      <c r="M55" s="16" t="s">
        <v>3906</v>
      </c>
      <c r="N55" s="107" t="s">
        <v>5493</v>
      </c>
      <c r="O55" s="113" t="s">
        <v>94</v>
      </c>
      <c r="P55" s="16" t="s">
        <v>5861</v>
      </c>
      <c r="Q55" s="113" t="s">
        <v>5651</v>
      </c>
      <c r="R55" s="15" t="s">
        <v>5862</v>
      </c>
      <c r="S55" s="16" t="s">
        <v>5863</v>
      </c>
      <c r="T55" s="16" t="s">
        <v>5864</v>
      </c>
      <c r="U55" s="15">
        <v>7</v>
      </c>
      <c r="V55" s="15">
        <v>2014</v>
      </c>
      <c r="W55" s="15"/>
      <c r="X55" s="16"/>
      <c r="Y55" s="16"/>
      <c r="Z55" s="92"/>
    </row>
    <row r="56" spans="1:26" ht="16.5" hidden="1" customHeight="1" x14ac:dyDescent="0.2">
      <c r="A56" s="40">
        <v>54</v>
      </c>
      <c r="B56" s="193">
        <v>20556</v>
      </c>
      <c r="C56" s="99" t="s">
        <v>3933</v>
      </c>
      <c r="D56" s="99" t="s">
        <v>3635</v>
      </c>
      <c r="E56" s="150" t="s">
        <v>5865</v>
      </c>
      <c r="F56" s="99" t="s">
        <v>3004</v>
      </c>
      <c r="G56" s="157" t="s">
        <v>3004</v>
      </c>
      <c r="H56" s="150" t="s">
        <v>3934</v>
      </c>
      <c r="I56" s="150" t="s">
        <v>5866</v>
      </c>
      <c r="J56" s="99" t="s">
        <v>3935</v>
      </c>
      <c r="K56" s="99" t="s">
        <v>3938</v>
      </c>
      <c r="L56" s="186" t="s">
        <v>3939</v>
      </c>
      <c r="M56" s="163" t="s">
        <v>5867</v>
      </c>
      <c r="N56" s="107" t="s">
        <v>5649</v>
      </c>
      <c r="O56" s="113" t="s">
        <v>94</v>
      </c>
      <c r="P56" s="16" t="s">
        <v>5868</v>
      </c>
      <c r="Q56" s="113" t="s">
        <v>5651</v>
      </c>
      <c r="R56" s="15" t="s">
        <v>5869</v>
      </c>
      <c r="S56" s="16" t="s">
        <v>5870</v>
      </c>
      <c r="T56" s="16" t="s">
        <v>5871</v>
      </c>
      <c r="U56" s="15">
        <v>7</v>
      </c>
      <c r="V56" s="15">
        <v>2014</v>
      </c>
      <c r="W56" s="15"/>
      <c r="X56" s="16"/>
      <c r="Y56" s="16"/>
      <c r="Z56" s="92"/>
    </row>
    <row r="57" spans="1:26" ht="16.5" hidden="1" customHeight="1" x14ac:dyDescent="0.2">
      <c r="A57" s="40">
        <v>55</v>
      </c>
      <c r="B57" s="193">
        <v>20558</v>
      </c>
      <c r="C57" s="99" t="s">
        <v>255</v>
      </c>
      <c r="D57" s="99" t="s">
        <v>256</v>
      </c>
      <c r="E57" s="150" t="s">
        <v>5872</v>
      </c>
      <c r="F57" s="99" t="s">
        <v>2056</v>
      </c>
      <c r="G57" s="99" t="s">
        <v>2056</v>
      </c>
      <c r="H57" s="150" t="s">
        <v>3949</v>
      </c>
      <c r="I57" s="150" t="s">
        <v>5873</v>
      </c>
      <c r="J57" s="99" t="s">
        <v>3950</v>
      </c>
      <c r="K57" s="99" t="s">
        <v>3955</v>
      </c>
      <c r="L57" s="186" t="s">
        <v>3956</v>
      </c>
      <c r="M57" s="16" t="s">
        <v>3954</v>
      </c>
      <c r="N57" s="107" t="s">
        <v>5874</v>
      </c>
      <c r="O57" s="113" t="s">
        <v>94</v>
      </c>
      <c r="P57" s="16" t="s">
        <v>5856</v>
      </c>
      <c r="Q57" s="113" t="s">
        <v>5651</v>
      </c>
      <c r="R57" s="15"/>
      <c r="S57" s="16" t="s">
        <v>5497</v>
      </c>
      <c r="T57" s="16" t="s">
        <v>5857</v>
      </c>
      <c r="U57" s="15">
        <v>6</v>
      </c>
      <c r="V57" s="15">
        <v>2014</v>
      </c>
      <c r="W57" s="15"/>
      <c r="X57" s="16"/>
      <c r="Y57" s="16"/>
      <c r="Z57" s="92"/>
    </row>
    <row r="58" spans="1:26" ht="16.5" hidden="1" customHeight="1" x14ac:dyDescent="0.2">
      <c r="A58" s="40">
        <v>56</v>
      </c>
      <c r="B58" s="193">
        <v>20561</v>
      </c>
      <c r="C58" s="99" t="s">
        <v>1965</v>
      </c>
      <c r="D58" s="99" t="s">
        <v>1715</v>
      </c>
      <c r="E58" s="150" t="s">
        <v>5875</v>
      </c>
      <c r="F58" s="99" t="s">
        <v>1967</v>
      </c>
      <c r="G58" s="99" t="s">
        <v>1967</v>
      </c>
      <c r="H58" s="150" t="s">
        <v>3971</v>
      </c>
      <c r="I58" s="150" t="s">
        <v>5876</v>
      </c>
      <c r="J58" s="99" t="s">
        <v>3972</v>
      </c>
      <c r="K58" s="99" t="s">
        <v>1973</v>
      </c>
      <c r="L58" s="186" t="s">
        <v>3976</v>
      </c>
      <c r="M58" s="16" t="s">
        <v>3975</v>
      </c>
      <c r="N58" s="107" t="s">
        <v>5592</v>
      </c>
      <c r="O58" s="113" t="s">
        <v>94</v>
      </c>
      <c r="P58" s="16" t="s">
        <v>5689</v>
      </c>
      <c r="Q58" s="113" t="s">
        <v>5651</v>
      </c>
      <c r="R58" s="15" t="s">
        <v>5877</v>
      </c>
      <c r="S58" s="16" t="s">
        <v>5761</v>
      </c>
      <c r="T58" s="16" t="s">
        <v>5878</v>
      </c>
      <c r="U58" s="15">
        <v>7</v>
      </c>
      <c r="V58" s="15">
        <v>2014</v>
      </c>
      <c r="W58" s="15"/>
      <c r="X58" s="16"/>
      <c r="Y58" s="16"/>
      <c r="Z58" s="92"/>
    </row>
    <row r="59" spans="1:26" ht="16.5" hidden="1" customHeight="1" x14ac:dyDescent="0.2">
      <c r="A59" s="40">
        <v>57</v>
      </c>
      <c r="B59" s="193">
        <v>20562</v>
      </c>
      <c r="C59" s="99" t="s">
        <v>848</v>
      </c>
      <c r="D59" s="99" t="s">
        <v>266</v>
      </c>
      <c r="E59" s="150" t="s">
        <v>5879</v>
      </c>
      <c r="F59" s="99" t="s">
        <v>884</v>
      </c>
      <c r="G59" s="99" t="s">
        <v>1186</v>
      </c>
      <c r="H59" s="150" t="s">
        <v>3979</v>
      </c>
      <c r="I59" s="150" t="s">
        <v>5880</v>
      </c>
      <c r="J59" s="99" t="s">
        <v>3980</v>
      </c>
      <c r="K59" s="99" t="s">
        <v>3982</v>
      </c>
      <c r="L59" s="186" t="s">
        <v>3983</v>
      </c>
      <c r="M59" s="16" t="s">
        <v>2447</v>
      </c>
      <c r="N59" s="107" t="s">
        <v>5493</v>
      </c>
      <c r="O59" s="113" t="s">
        <v>94</v>
      </c>
      <c r="P59" s="16" t="s">
        <v>5847</v>
      </c>
      <c r="Q59" s="113" t="s">
        <v>5651</v>
      </c>
      <c r="R59" s="15" t="s">
        <v>5881</v>
      </c>
      <c r="S59" s="16" t="s">
        <v>5882</v>
      </c>
      <c r="T59" s="16" t="s">
        <v>5883</v>
      </c>
      <c r="U59" s="15">
        <v>7</v>
      </c>
      <c r="V59" s="15">
        <v>2014</v>
      </c>
      <c r="W59" s="15"/>
      <c r="X59" s="16"/>
      <c r="Y59" s="16"/>
      <c r="Z59" s="92"/>
    </row>
    <row r="60" spans="1:26" ht="16.5" hidden="1" customHeight="1" x14ac:dyDescent="0.2">
      <c r="A60" s="40">
        <v>58</v>
      </c>
      <c r="B60" s="193">
        <v>20600</v>
      </c>
      <c r="C60" s="99" t="s">
        <v>3777</v>
      </c>
      <c r="D60" s="99" t="s">
        <v>266</v>
      </c>
      <c r="E60" s="150" t="s">
        <v>5884</v>
      </c>
      <c r="F60" s="99" t="s">
        <v>1139</v>
      </c>
      <c r="G60" s="99" t="s">
        <v>726</v>
      </c>
      <c r="H60" s="150" t="s">
        <v>4208</v>
      </c>
      <c r="I60" s="150" t="s">
        <v>5885</v>
      </c>
      <c r="J60" s="99" t="s">
        <v>4209</v>
      </c>
      <c r="K60" s="99" t="s">
        <v>4213</v>
      </c>
      <c r="L60" s="35" t="s">
        <v>5886</v>
      </c>
      <c r="M60" s="163" t="s">
        <v>4212</v>
      </c>
      <c r="N60" s="107" t="s">
        <v>5493</v>
      </c>
      <c r="O60" s="113" t="s">
        <v>94</v>
      </c>
      <c r="P60" s="16" t="s">
        <v>5887</v>
      </c>
      <c r="Q60" s="113" t="s">
        <v>5651</v>
      </c>
      <c r="R60" s="15" t="s">
        <v>5888</v>
      </c>
      <c r="S60" s="16" t="s">
        <v>5889</v>
      </c>
      <c r="T60" s="16" t="s">
        <v>5890</v>
      </c>
      <c r="U60" s="15">
        <v>8</v>
      </c>
      <c r="V60" s="15">
        <v>2014</v>
      </c>
      <c r="W60" s="15"/>
      <c r="X60" s="16"/>
      <c r="Y60" s="16"/>
      <c r="Z60" s="92"/>
    </row>
    <row r="61" spans="1:26" ht="16.5" hidden="1" customHeight="1" x14ac:dyDescent="0.2">
      <c r="A61" s="40">
        <v>59</v>
      </c>
      <c r="B61" s="40">
        <v>20602</v>
      </c>
      <c r="C61" s="63" t="s">
        <v>4225</v>
      </c>
      <c r="D61" s="63" t="s">
        <v>4226</v>
      </c>
      <c r="E61" s="104" t="s">
        <v>5891</v>
      </c>
      <c r="F61" s="63" t="s">
        <v>921</v>
      </c>
      <c r="G61" s="63" t="s">
        <v>921</v>
      </c>
      <c r="H61" s="104" t="s">
        <v>4227</v>
      </c>
      <c r="I61" s="104" t="s">
        <v>5892</v>
      </c>
      <c r="J61" s="63" t="s">
        <v>921</v>
      </c>
      <c r="K61" s="63" t="s">
        <v>4230</v>
      </c>
      <c r="L61" s="139" t="s">
        <v>4231</v>
      </c>
      <c r="M61" s="163" t="s">
        <v>5893</v>
      </c>
      <c r="N61" s="107" t="s">
        <v>5493</v>
      </c>
      <c r="O61" s="113" t="s">
        <v>94</v>
      </c>
      <c r="P61" s="16" t="s">
        <v>5887</v>
      </c>
      <c r="Q61" s="113" t="s">
        <v>5651</v>
      </c>
      <c r="R61" s="15" t="s">
        <v>5894</v>
      </c>
      <c r="S61" s="16" t="s">
        <v>5889</v>
      </c>
      <c r="T61" s="16" t="s">
        <v>5890</v>
      </c>
      <c r="U61" s="15">
        <v>8</v>
      </c>
      <c r="V61" s="15">
        <v>2014</v>
      </c>
      <c r="W61" s="15"/>
      <c r="X61" s="16"/>
      <c r="Y61" s="16"/>
      <c r="Z61" s="92"/>
    </row>
    <row r="62" spans="1:26" ht="16.5" hidden="1" customHeight="1" x14ac:dyDescent="0.2">
      <c r="A62" s="40">
        <v>60</v>
      </c>
      <c r="B62" s="193">
        <v>20603</v>
      </c>
      <c r="C62" s="99" t="s">
        <v>4234</v>
      </c>
      <c r="D62" s="99" t="s">
        <v>4235</v>
      </c>
      <c r="E62" s="150" t="s">
        <v>5895</v>
      </c>
      <c r="F62" s="99" t="s">
        <v>2777</v>
      </c>
      <c r="G62" s="99" t="s">
        <v>2777</v>
      </c>
      <c r="H62" s="150" t="s">
        <v>4236</v>
      </c>
      <c r="I62" s="150" t="s">
        <v>5896</v>
      </c>
      <c r="J62" s="99" t="s">
        <v>4237</v>
      </c>
      <c r="K62" s="99" t="s">
        <v>4241</v>
      </c>
      <c r="L62" s="186" t="s">
        <v>4242</v>
      </c>
      <c r="M62" s="163" t="s">
        <v>4240</v>
      </c>
      <c r="N62" s="107" t="s">
        <v>5493</v>
      </c>
      <c r="O62" s="113" t="s">
        <v>94</v>
      </c>
      <c r="P62" s="16" t="s">
        <v>5887</v>
      </c>
      <c r="Q62" s="113" t="s">
        <v>5651</v>
      </c>
      <c r="R62" s="15" t="s">
        <v>5897</v>
      </c>
      <c r="S62" s="16" t="s">
        <v>5889</v>
      </c>
      <c r="T62" s="16" t="s">
        <v>5890</v>
      </c>
      <c r="U62" s="15">
        <v>8</v>
      </c>
      <c r="V62" s="15">
        <v>2014</v>
      </c>
      <c r="W62" s="15"/>
      <c r="X62" s="16"/>
      <c r="Y62" s="16"/>
      <c r="Z62" s="92"/>
    </row>
    <row r="63" spans="1:26" ht="16.5" hidden="1" customHeight="1" x14ac:dyDescent="0.2">
      <c r="A63" s="40">
        <v>61</v>
      </c>
      <c r="B63" s="193">
        <v>20604</v>
      </c>
      <c r="C63" s="99" t="s">
        <v>4245</v>
      </c>
      <c r="D63" s="99" t="s">
        <v>232</v>
      </c>
      <c r="E63" s="150" t="s">
        <v>5898</v>
      </c>
      <c r="F63" s="99" t="s">
        <v>5899</v>
      </c>
      <c r="G63" s="64" t="s">
        <v>1186</v>
      </c>
      <c r="H63" s="150" t="s">
        <v>4246</v>
      </c>
      <c r="I63" s="150" t="s">
        <v>5900</v>
      </c>
      <c r="J63" s="99" t="s">
        <v>4247</v>
      </c>
      <c r="K63" s="99" t="s">
        <v>4252</v>
      </c>
      <c r="L63" s="186" t="s">
        <v>4253</v>
      </c>
      <c r="M63" s="16" t="s">
        <v>5901</v>
      </c>
      <c r="N63" s="107" t="s">
        <v>5649</v>
      </c>
      <c r="O63" s="113" t="s">
        <v>94</v>
      </c>
      <c r="P63" s="16" t="s">
        <v>5902</v>
      </c>
      <c r="Q63" s="113" t="s">
        <v>5651</v>
      </c>
      <c r="R63" s="15" t="s">
        <v>5903</v>
      </c>
      <c r="S63" s="16" t="s">
        <v>5904</v>
      </c>
      <c r="T63" s="16" t="s">
        <v>5905</v>
      </c>
      <c r="U63" s="15">
        <v>7</v>
      </c>
      <c r="V63" s="15">
        <v>2014</v>
      </c>
      <c r="W63" s="15"/>
      <c r="X63" s="16"/>
      <c r="Y63" s="16"/>
      <c r="Z63" s="92"/>
    </row>
    <row r="64" spans="1:26" ht="16.5" hidden="1" customHeight="1" x14ac:dyDescent="0.2">
      <c r="A64" s="40">
        <v>62</v>
      </c>
      <c r="B64" s="193">
        <v>20612</v>
      </c>
      <c r="C64" s="99" t="s">
        <v>2656</v>
      </c>
      <c r="D64" s="99" t="s">
        <v>4307</v>
      </c>
      <c r="E64" s="150" t="s">
        <v>5906</v>
      </c>
      <c r="F64" s="99" t="s">
        <v>5850</v>
      </c>
      <c r="G64" s="168" t="s">
        <v>824</v>
      </c>
      <c r="H64" s="150" t="s">
        <v>4308</v>
      </c>
      <c r="I64" s="150" t="s">
        <v>5907</v>
      </c>
      <c r="J64" s="99" t="s">
        <v>4309</v>
      </c>
      <c r="K64" s="99" t="s">
        <v>4313</v>
      </c>
      <c r="L64" s="186" t="s">
        <v>4314</v>
      </c>
      <c r="M64" s="163" t="s">
        <v>5908</v>
      </c>
      <c r="N64" s="107" t="s">
        <v>5649</v>
      </c>
      <c r="O64" s="113" t="s">
        <v>94</v>
      </c>
      <c r="P64" s="16" t="s">
        <v>5909</v>
      </c>
      <c r="Q64" s="113" t="s">
        <v>5651</v>
      </c>
      <c r="R64" s="15" t="s">
        <v>5910</v>
      </c>
      <c r="S64" s="16" t="s">
        <v>5911</v>
      </c>
      <c r="T64" s="16" t="s">
        <v>5912</v>
      </c>
      <c r="U64" s="15">
        <v>8</v>
      </c>
      <c r="V64" s="15">
        <v>2014</v>
      </c>
      <c r="W64" s="15"/>
      <c r="X64" s="16"/>
      <c r="Y64" s="16"/>
      <c r="Z64" s="92"/>
    </row>
    <row r="65" spans="1:26" ht="16.5" hidden="1" customHeight="1" x14ac:dyDescent="0.2">
      <c r="A65" s="40">
        <v>63</v>
      </c>
      <c r="B65" s="193">
        <v>20613</v>
      </c>
      <c r="C65" s="99" t="s">
        <v>4318</v>
      </c>
      <c r="D65" s="99" t="s">
        <v>685</v>
      </c>
      <c r="E65" s="150" t="s">
        <v>5913</v>
      </c>
      <c r="F65" s="99" t="s">
        <v>5914</v>
      </c>
      <c r="G65" s="168" t="s">
        <v>824</v>
      </c>
      <c r="H65" s="150" t="s">
        <v>4319</v>
      </c>
      <c r="I65" s="150" t="s">
        <v>5915</v>
      </c>
      <c r="J65" s="99" t="s">
        <v>4320</v>
      </c>
      <c r="K65" s="99" t="s">
        <v>4323</v>
      </c>
      <c r="L65" s="186" t="s">
        <v>4324</v>
      </c>
      <c r="M65" s="16" t="s">
        <v>4322</v>
      </c>
      <c r="N65" s="107" t="s">
        <v>5649</v>
      </c>
      <c r="O65" s="113" t="s">
        <v>94</v>
      </c>
      <c r="P65" s="16" t="s">
        <v>5909</v>
      </c>
      <c r="Q65" s="113" t="s">
        <v>5651</v>
      </c>
      <c r="R65" s="15" t="s">
        <v>5916</v>
      </c>
      <c r="S65" s="16" t="s">
        <v>5917</v>
      </c>
      <c r="T65" s="16" t="s">
        <v>5918</v>
      </c>
      <c r="U65" s="15">
        <v>8</v>
      </c>
      <c r="V65" s="15">
        <v>2014</v>
      </c>
      <c r="W65" s="15"/>
      <c r="X65" s="16"/>
      <c r="Y65" s="16"/>
      <c r="Z65" s="92"/>
    </row>
    <row r="66" spans="1:26" ht="16.5" hidden="1" customHeight="1" x14ac:dyDescent="0.2">
      <c r="A66" s="40">
        <v>64</v>
      </c>
      <c r="B66" s="193">
        <v>20614</v>
      </c>
      <c r="C66" s="99" t="s">
        <v>3610</v>
      </c>
      <c r="D66" s="99" t="s">
        <v>3416</v>
      </c>
      <c r="E66" s="150" t="s">
        <v>5919</v>
      </c>
      <c r="F66" s="99" t="s">
        <v>824</v>
      </c>
      <c r="G66" s="99" t="s">
        <v>824</v>
      </c>
      <c r="H66" s="150" t="s">
        <v>5920</v>
      </c>
      <c r="I66" s="150" t="s">
        <v>5921</v>
      </c>
      <c r="J66" s="99" t="s">
        <v>3389</v>
      </c>
      <c r="K66" s="99" t="s">
        <v>5922</v>
      </c>
      <c r="L66" s="186" t="s">
        <v>4331</v>
      </c>
      <c r="M66" s="163" t="s">
        <v>4330</v>
      </c>
      <c r="N66" s="107" t="s">
        <v>5923</v>
      </c>
      <c r="O66" s="113" t="s">
        <v>94</v>
      </c>
      <c r="P66" s="16" t="s">
        <v>5924</v>
      </c>
      <c r="Q66" s="113" t="s">
        <v>5651</v>
      </c>
      <c r="R66" s="15" t="s">
        <v>5925</v>
      </c>
      <c r="S66" s="16" t="s">
        <v>5926</v>
      </c>
      <c r="T66" s="16" t="s">
        <v>5927</v>
      </c>
      <c r="U66" s="15">
        <v>8</v>
      </c>
      <c r="V66" s="15">
        <v>2014</v>
      </c>
      <c r="W66" s="15"/>
      <c r="X66" s="16"/>
      <c r="Y66" s="16"/>
      <c r="Z66" s="92"/>
    </row>
    <row r="67" spans="1:26" ht="16.5" hidden="1" customHeight="1" x14ac:dyDescent="0.2">
      <c r="A67" s="40">
        <v>65</v>
      </c>
      <c r="B67" s="193">
        <v>20616</v>
      </c>
      <c r="C67" s="99" t="s">
        <v>1427</v>
      </c>
      <c r="D67" s="99" t="s">
        <v>256</v>
      </c>
      <c r="E67" s="150" t="s">
        <v>5928</v>
      </c>
      <c r="F67" s="99" t="s">
        <v>52</v>
      </c>
      <c r="G67" s="99" t="s">
        <v>52</v>
      </c>
      <c r="H67" s="150" t="s">
        <v>5929</v>
      </c>
      <c r="I67" s="150" t="s">
        <v>5930</v>
      </c>
      <c r="J67" s="99" t="s">
        <v>4336</v>
      </c>
      <c r="K67" s="99" t="s">
        <v>4341</v>
      </c>
      <c r="L67" s="186" t="s">
        <v>4342</v>
      </c>
      <c r="M67" s="163" t="s">
        <v>4339</v>
      </c>
      <c r="N67" s="107" t="s">
        <v>5493</v>
      </c>
      <c r="O67" s="113" t="s">
        <v>94</v>
      </c>
      <c r="P67" s="16" t="s">
        <v>5931</v>
      </c>
      <c r="Q67" s="113" t="s">
        <v>5651</v>
      </c>
      <c r="R67" s="15" t="s">
        <v>5932</v>
      </c>
      <c r="S67" s="16" t="s">
        <v>5933</v>
      </c>
      <c r="T67" s="16" t="s">
        <v>5934</v>
      </c>
      <c r="U67" s="15">
        <v>8</v>
      </c>
      <c r="V67" s="15">
        <v>2014</v>
      </c>
      <c r="W67" s="15"/>
      <c r="X67" s="16"/>
      <c r="Y67" s="16"/>
      <c r="Z67" s="92"/>
    </row>
    <row r="68" spans="1:26" ht="16.5" hidden="1" customHeight="1" x14ac:dyDescent="0.2">
      <c r="A68" s="40">
        <v>66</v>
      </c>
      <c r="B68" s="193">
        <v>20621</v>
      </c>
      <c r="C68" s="99" t="s">
        <v>4353</v>
      </c>
      <c r="D68" s="99" t="s">
        <v>131</v>
      </c>
      <c r="E68" s="150" t="s">
        <v>5935</v>
      </c>
      <c r="F68" s="99" t="s">
        <v>2613</v>
      </c>
      <c r="G68" s="99" t="s">
        <v>2734</v>
      </c>
      <c r="H68" s="150" t="s">
        <v>4354</v>
      </c>
      <c r="I68" s="150" t="s">
        <v>5936</v>
      </c>
      <c r="J68" s="99" t="s">
        <v>3389</v>
      </c>
      <c r="K68" s="99" t="s">
        <v>5937</v>
      </c>
      <c r="L68" s="99" t="s">
        <v>4360</v>
      </c>
      <c r="M68" s="57" t="s">
        <v>4359</v>
      </c>
      <c r="N68" s="107" t="s">
        <v>5493</v>
      </c>
      <c r="O68" s="113" t="s">
        <v>94</v>
      </c>
      <c r="P68" s="16" t="s">
        <v>5498</v>
      </c>
      <c r="Q68" s="113" t="s">
        <v>5651</v>
      </c>
      <c r="R68" s="15" t="s">
        <v>5938</v>
      </c>
      <c r="S68" s="16" t="s">
        <v>5939</v>
      </c>
      <c r="T68" s="16" t="s">
        <v>5940</v>
      </c>
      <c r="U68" s="15">
        <v>8</v>
      </c>
      <c r="V68" s="15">
        <v>2014</v>
      </c>
      <c r="W68" s="15"/>
      <c r="X68" s="16"/>
      <c r="Y68" s="16"/>
      <c r="Z68" s="92"/>
    </row>
    <row r="69" spans="1:26" ht="16.5" hidden="1" customHeight="1" x14ac:dyDescent="0.2">
      <c r="A69" s="40">
        <v>67</v>
      </c>
      <c r="B69" s="193">
        <v>20623</v>
      </c>
      <c r="C69" s="99" t="s">
        <v>4365</v>
      </c>
      <c r="D69" s="99" t="s">
        <v>4366</v>
      </c>
      <c r="E69" s="150" t="s">
        <v>5941</v>
      </c>
      <c r="F69" s="99" t="s">
        <v>5899</v>
      </c>
      <c r="G69" s="63" t="s">
        <v>1103</v>
      </c>
      <c r="H69" s="150" t="s">
        <v>4367</v>
      </c>
      <c r="I69" s="150" t="s">
        <v>5942</v>
      </c>
      <c r="J69" s="99" t="s">
        <v>4247</v>
      </c>
      <c r="K69" s="99" t="s">
        <v>4372</v>
      </c>
      <c r="L69" s="186" t="s">
        <v>4373</v>
      </c>
      <c r="M69" s="163" t="s">
        <v>4371</v>
      </c>
      <c r="N69" s="107" t="s">
        <v>5493</v>
      </c>
      <c r="O69" s="113" t="s">
        <v>94</v>
      </c>
      <c r="P69" s="16" t="s">
        <v>5902</v>
      </c>
      <c r="Q69" s="113" t="s">
        <v>5651</v>
      </c>
      <c r="R69" s="15" t="s">
        <v>5943</v>
      </c>
      <c r="S69" s="16" t="s">
        <v>5531</v>
      </c>
      <c r="T69" s="16" t="s">
        <v>5944</v>
      </c>
      <c r="U69" s="15">
        <v>9</v>
      </c>
      <c r="V69" s="15">
        <v>2014</v>
      </c>
      <c r="W69" s="15"/>
      <c r="X69" s="16"/>
      <c r="Y69" s="16"/>
      <c r="Z69" s="92"/>
    </row>
    <row r="70" spans="1:26" ht="16.5" hidden="1" customHeight="1" x14ac:dyDescent="0.2">
      <c r="A70" s="40">
        <v>68</v>
      </c>
      <c r="B70" s="193">
        <v>20632</v>
      </c>
      <c r="C70" s="99" t="s">
        <v>4418</v>
      </c>
      <c r="D70" s="99" t="s">
        <v>4419</v>
      </c>
      <c r="E70" s="150" t="s">
        <v>5945</v>
      </c>
      <c r="F70" s="99" t="s">
        <v>2613</v>
      </c>
      <c r="G70" s="99" t="s">
        <v>1255</v>
      </c>
      <c r="H70" s="150" t="s">
        <v>4420</v>
      </c>
      <c r="I70" s="150" t="s">
        <v>5946</v>
      </c>
      <c r="J70" s="99" t="s">
        <v>1105</v>
      </c>
      <c r="K70" s="99" t="s">
        <v>5947</v>
      </c>
      <c r="L70" s="99" t="s">
        <v>4425</v>
      </c>
      <c r="M70" s="5" t="s">
        <v>4424</v>
      </c>
      <c r="N70" s="107" t="s">
        <v>5948</v>
      </c>
      <c r="O70" s="113" t="s">
        <v>51</v>
      </c>
      <c r="P70" s="16" t="s">
        <v>5949</v>
      </c>
      <c r="Q70" s="113" t="s">
        <v>5651</v>
      </c>
      <c r="R70" s="15" t="s">
        <v>5950</v>
      </c>
      <c r="S70" s="16" t="s">
        <v>5951</v>
      </c>
      <c r="T70" s="16" t="s">
        <v>5952</v>
      </c>
      <c r="U70" s="15">
        <v>10</v>
      </c>
      <c r="V70" s="15">
        <v>2014</v>
      </c>
      <c r="W70" s="15"/>
      <c r="X70" s="16"/>
      <c r="Y70" s="16"/>
      <c r="Z70" s="92"/>
    </row>
    <row r="71" spans="1:26" ht="16.5" hidden="1" customHeight="1" x14ac:dyDescent="0.2">
      <c r="A71" s="40">
        <v>69</v>
      </c>
      <c r="B71" s="193">
        <v>20633</v>
      </c>
      <c r="C71" s="99" t="s">
        <v>4426</v>
      </c>
      <c r="D71" s="99" t="s">
        <v>160</v>
      </c>
      <c r="E71" s="150" t="s">
        <v>5953</v>
      </c>
      <c r="F71" s="99" t="s">
        <v>52</v>
      </c>
      <c r="G71" s="99" t="s">
        <v>824</v>
      </c>
      <c r="H71" s="150" t="s">
        <v>4427</v>
      </c>
      <c r="I71" s="150" t="s">
        <v>5954</v>
      </c>
      <c r="J71" s="99" t="s">
        <v>52</v>
      </c>
      <c r="K71" s="99" t="s">
        <v>4431</v>
      </c>
      <c r="L71" s="186" t="s">
        <v>4432</v>
      </c>
      <c r="M71" s="16" t="s">
        <v>5955</v>
      </c>
      <c r="N71" s="107" t="s">
        <v>5956</v>
      </c>
      <c r="O71" s="113" t="s">
        <v>94</v>
      </c>
      <c r="P71" s="16" t="s">
        <v>5949</v>
      </c>
      <c r="Q71" s="113" t="s">
        <v>5651</v>
      </c>
      <c r="R71" s="15" t="s">
        <v>5957</v>
      </c>
      <c r="S71" s="16" t="s">
        <v>5951</v>
      </c>
      <c r="T71" s="16" t="s">
        <v>5952</v>
      </c>
      <c r="U71" s="15">
        <v>10</v>
      </c>
      <c r="V71" s="15">
        <v>2014</v>
      </c>
      <c r="W71" s="15"/>
      <c r="X71" s="16"/>
      <c r="Y71" s="16"/>
      <c r="Z71" s="92"/>
    </row>
    <row r="72" spans="1:26" ht="16.5" hidden="1" customHeight="1" x14ac:dyDescent="0.2">
      <c r="A72" s="40">
        <v>70</v>
      </c>
      <c r="B72" s="193">
        <v>20635</v>
      </c>
      <c r="C72" s="99" t="s">
        <v>4441</v>
      </c>
      <c r="D72" s="99" t="s">
        <v>4022</v>
      </c>
      <c r="E72" s="150" t="s">
        <v>5958</v>
      </c>
      <c r="F72" s="99" t="s">
        <v>1614</v>
      </c>
      <c r="G72" s="99" t="s">
        <v>303</v>
      </c>
      <c r="H72" s="150" t="s">
        <v>4442</v>
      </c>
      <c r="I72" s="150" t="s">
        <v>5959</v>
      </c>
      <c r="J72" s="99" t="s">
        <v>4443</v>
      </c>
      <c r="K72" s="99" t="s">
        <v>4448</v>
      </c>
      <c r="L72" s="186" t="s">
        <v>4449</v>
      </c>
      <c r="M72" s="163" t="s">
        <v>5960</v>
      </c>
      <c r="N72" s="107" t="s">
        <v>5961</v>
      </c>
      <c r="O72" s="113" t="s">
        <v>51</v>
      </c>
      <c r="P72" s="16" t="s">
        <v>5962</v>
      </c>
      <c r="Q72" s="113" t="s">
        <v>5651</v>
      </c>
      <c r="R72" s="15" t="s">
        <v>5963</v>
      </c>
      <c r="S72" s="16" t="s">
        <v>5964</v>
      </c>
      <c r="T72" s="16" t="s">
        <v>5965</v>
      </c>
      <c r="U72" s="15">
        <v>9</v>
      </c>
      <c r="V72" s="15">
        <v>2014</v>
      </c>
      <c r="W72" s="15"/>
      <c r="X72" s="16"/>
      <c r="Y72" s="16"/>
      <c r="Z72" s="92"/>
    </row>
    <row r="73" spans="1:26" ht="16.5" hidden="1" customHeight="1" x14ac:dyDescent="0.2">
      <c r="A73" s="40">
        <v>71</v>
      </c>
      <c r="B73" s="193">
        <v>20637</v>
      </c>
      <c r="C73" s="99" t="s">
        <v>4461</v>
      </c>
      <c r="D73" s="99" t="s">
        <v>4462</v>
      </c>
      <c r="E73" s="150" t="s">
        <v>5966</v>
      </c>
      <c r="F73" s="99" t="s">
        <v>2613</v>
      </c>
      <c r="G73" s="99" t="s">
        <v>5779</v>
      </c>
      <c r="H73" s="150" t="s">
        <v>5967</v>
      </c>
      <c r="I73" s="150" t="s">
        <v>5968</v>
      </c>
      <c r="J73" s="99" t="s">
        <v>4465</v>
      </c>
      <c r="K73" s="99" t="s">
        <v>5969</v>
      </c>
      <c r="L73" s="186" t="s">
        <v>4470</v>
      </c>
      <c r="M73" s="16" t="s">
        <v>5970</v>
      </c>
      <c r="N73" s="107" t="s">
        <v>5649</v>
      </c>
      <c r="O73" s="113" t="s">
        <v>94</v>
      </c>
      <c r="P73" s="16" t="s">
        <v>5949</v>
      </c>
      <c r="Q73" s="113" t="s">
        <v>5651</v>
      </c>
      <c r="R73" s="15" t="s">
        <v>5971</v>
      </c>
      <c r="S73" s="16" t="s">
        <v>5951</v>
      </c>
      <c r="T73" s="16" t="s">
        <v>5952</v>
      </c>
      <c r="U73" s="15">
        <v>10</v>
      </c>
      <c r="V73" s="15">
        <v>2014</v>
      </c>
      <c r="W73" s="15"/>
      <c r="X73" s="16"/>
      <c r="Y73" s="16"/>
      <c r="Z73" s="92"/>
    </row>
    <row r="74" spans="1:26" ht="16.5" hidden="1" customHeight="1" x14ac:dyDescent="0.2">
      <c r="A74" s="40">
        <v>72</v>
      </c>
      <c r="B74" s="193">
        <v>20638</v>
      </c>
      <c r="C74" s="99" t="s">
        <v>1506</v>
      </c>
      <c r="D74" s="99" t="s">
        <v>535</v>
      </c>
      <c r="E74" s="150" t="s">
        <v>5972</v>
      </c>
      <c r="F74" s="99" t="s">
        <v>171</v>
      </c>
      <c r="G74" s="99" t="s">
        <v>171</v>
      </c>
      <c r="H74" s="150" t="s">
        <v>5973</v>
      </c>
      <c r="I74" s="150" t="s">
        <v>5974</v>
      </c>
      <c r="J74" s="99" t="s">
        <v>4465</v>
      </c>
      <c r="K74" s="99" t="s">
        <v>4476</v>
      </c>
      <c r="L74" s="186" t="s">
        <v>4476</v>
      </c>
      <c r="M74" s="16" t="s">
        <v>5975</v>
      </c>
      <c r="N74" s="107" t="s">
        <v>5649</v>
      </c>
      <c r="O74" s="113" t="s">
        <v>94</v>
      </c>
      <c r="P74" s="16" t="s">
        <v>5949</v>
      </c>
      <c r="Q74" s="113" t="s">
        <v>5651</v>
      </c>
      <c r="R74" s="15" t="s">
        <v>5976</v>
      </c>
      <c r="S74" s="16" t="s">
        <v>5951</v>
      </c>
      <c r="T74" s="16" t="s">
        <v>5952</v>
      </c>
      <c r="U74" s="15">
        <v>10</v>
      </c>
      <c r="V74" s="15">
        <v>2014</v>
      </c>
      <c r="W74" s="15"/>
      <c r="X74" s="16"/>
      <c r="Y74" s="16"/>
      <c r="Z74" s="92"/>
    </row>
    <row r="75" spans="1:26" ht="16.5" hidden="1" customHeight="1" x14ac:dyDescent="0.2">
      <c r="A75" s="40">
        <v>73</v>
      </c>
      <c r="B75" s="193">
        <v>20646</v>
      </c>
      <c r="C75" s="99" t="s">
        <v>4515</v>
      </c>
      <c r="D75" s="99" t="s">
        <v>607</v>
      </c>
      <c r="E75" s="150" t="s">
        <v>5977</v>
      </c>
      <c r="F75" s="99" t="s">
        <v>1307</v>
      </c>
      <c r="G75" s="99" t="s">
        <v>726</v>
      </c>
      <c r="H75" s="150" t="s">
        <v>4516</v>
      </c>
      <c r="I75" s="150" t="s">
        <v>5978</v>
      </c>
      <c r="J75" s="99" t="s">
        <v>1307</v>
      </c>
      <c r="K75" s="99" t="s">
        <v>4518</v>
      </c>
      <c r="L75" s="186" t="s">
        <v>4519</v>
      </c>
      <c r="M75" s="16" t="s">
        <v>4517</v>
      </c>
      <c r="N75" s="107" t="s">
        <v>5979</v>
      </c>
      <c r="O75" s="113" t="s">
        <v>94</v>
      </c>
      <c r="P75" s="16" t="s">
        <v>5980</v>
      </c>
      <c r="Q75" s="113" t="s">
        <v>5651</v>
      </c>
      <c r="R75" s="15" t="s">
        <v>5981</v>
      </c>
      <c r="S75" s="16" t="s">
        <v>5982</v>
      </c>
      <c r="T75" s="16" t="s">
        <v>5983</v>
      </c>
      <c r="U75" s="15">
        <v>11</v>
      </c>
      <c r="V75" s="15">
        <v>2014</v>
      </c>
      <c r="W75" s="15"/>
      <c r="X75" s="16"/>
      <c r="Y75" s="16"/>
      <c r="Z75" s="92"/>
    </row>
    <row r="76" spans="1:26" ht="16.5" hidden="1" customHeight="1" x14ac:dyDescent="0.2">
      <c r="A76" s="40">
        <v>74</v>
      </c>
      <c r="B76" s="151">
        <v>20650</v>
      </c>
      <c r="C76" s="135" t="s">
        <v>691</v>
      </c>
      <c r="D76" s="135" t="s">
        <v>109</v>
      </c>
      <c r="E76" s="114" t="s">
        <v>5984</v>
      </c>
      <c r="F76" s="135" t="s">
        <v>365</v>
      </c>
      <c r="G76" s="135" t="s">
        <v>365</v>
      </c>
      <c r="H76" s="114" t="s">
        <v>4541</v>
      </c>
      <c r="I76" s="114" t="s">
        <v>5985</v>
      </c>
      <c r="J76" s="135" t="s">
        <v>4542</v>
      </c>
      <c r="K76" s="135" t="s">
        <v>4545</v>
      </c>
      <c r="L76" s="176" t="s">
        <v>4546</v>
      </c>
      <c r="M76" s="17" t="s">
        <v>4544</v>
      </c>
      <c r="N76" s="130" t="s">
        <v>5649</v>
      </c>
      <c r="O76" s="77" t="s">
        <v>94</v>
      </c>
      <c r="P76" s="17" t="s">
        <v>5650</v>
      </c>
      <c r="Q76" s="77" t="s">
        <v>5651</v>
      </c>
      <c r="R76" s="188" t="s">
        <v>5986</v>
      </c>
      <c r="S76" s="17" t="s">
        <v>5987</v>
      </c>
      <c r="T76" s="17" t="s">
        <v>5554</v>
      </c>
      <c r="U76" s="188">
        <v>11</v>
      </c>
      <c r="V76" s="188">
        <v>2014</v>
      </c>
      <c r="W76" s="188"/>
      <c r="X76" s="17"/>
      <c r="Y76" s="17"/>
      <c r="Z76" s="185" t="s">
        <v>5499</v>
      </c>
    </row>
    <row r="77" spans="1:26" ht="16.5" hidden="1" customHeight="1" x14ac:dyDescent="0.2">
      <c r="A77" s="40">
        <v>75</v>
      </c>
      <c r="B77" s="193">
        <v>20657</v>
      </c>
      <c r="C77" s="99" t="s">
        <v>4576</v>
      </c>
      <c r="D77" s="99" t="s">
        <v>2489</v>
      </c>
      <c r="E77" s="150" t="s">
        <v>5988</v>
      </c>
      <c r="F77" s="99" t="s">
        <v>2613</v>
      </c>
      <c r="G77" s="99" t="s">
        <v>1255</v>
      </c>
      <c r="H77" s="150" t="s">
        <v>4577</v>
      </c>
      <c r="I77" s="104" t="s">
        <v>5989</v>
      </c>
      <c r="J77" s="99" t="s">
        <v>3389</v>
      </c>
      <c r="K77" s="99" t="s">
        <v>5990</v>
      </c>
      <c r="L77" s="186" t="s">
        <v>4579</v>
      </c>
      <c r="M77" s="163" t="s">
        <v>4578</v>
      </c>
      <c r="N77" s="107" t="s">
        <v>5493</v>
      </c>
      <c r="O77" s="113" t="s">
        <v>94</v>
      </c>
      <c r="P77" s="16" t="s">
        <v>5991</v>
      </c>
      <c r="Q77" s="113" t="s">
        <v>5651</v>
      </c>
      <c r="R77" s="15" t="s">
        <v>5992</v>
      </c>
      <c r="S77" s="16" t="s">
        <v>5993</v>
      </c>
      <c r="T77" s="16" t="s">
        <v>5994</v>
      </c>
      <c r="U77" s="15">
        <v>10</v>
      </c>
      <c r="V77" s="15">
        <v>2014</v>
      </c>
      <c r="W77" s="15"/>
      <c r="X77" s="16"/>
      <c r="Y77" s="16"/>
      <c r="Z77" s="92"/>
    </row>
    <row r="78" spans="1:26" ht="16.5" hidden="1" customHeight="1" x14ac:dyDescent="0.2">
      <c r="A78" s="40">
        <v>76</v>
      </c>
      <c r="B78" s="193">
        <v>20659</v>
      </c>
      <c r="C78" s="99" t="s">
        <v>2436</v>
      </c>
      <c r="D78" s="99" t="s">
        <v>1792</v>
      </c>
      <c r="E78" s="150" t="s">
        <v>5995</v>
      </c>
      <c r="F78" s="99" t="s">
        <v>884</v>
      </c>
      <c r="G78" s="99" t="s">
        <v>726</v>
      </c>
      <c r="H78" s="150" t="s">
        <v>4587</v>
      </c>
      <c r="I78" s="150" t="s">
        <v>5996</v>
      </c>
      <c r="J78" s="99" t="s">
        <v>4588</v>
      </c>
      <c r="K78" s="99" t="s">
        <v>4592</v>
      </c>
      <c r="L78" s="186" t="s">
        <v>4593</v>
      </c>
      <c r="M78" s="16" t="s">
        <v>5997</v>
      </c>
      <c r="N78" s="107" t="s">
        <v>5493</v>
      </c>
      <c r="O78" s="113" t="s">
        <v>94</v>
      </c>
      <c r="P78" s="16" t="s">
        <v>5998</v>
      </c>
      <c r="Q78" s="113" t="s">
        <v>5651</v>
      </c>
      <c r="R78" s="15" t="s">
        <v>5999</v>
      </c>
      <c r="S78" s="16" t="s">
        <v>6000</v>
      </c>
      <c r="T78" s="16" t="s">
        <v>6001</v>
      </c>
      <c r="U78" s="15">
        <v>11</v>
      </c>
      <c r="V78" s="15">
        <v>2014</v>
      </c>
      <c r="W78" s="15"/>
      <c r="X78" s="16"/>
      <c r="Y78" s="16"/>
      <c r="Z78" s="92"/>
    </row>
    <row r="79" spans="1:26" ht="16.5" hidden="1" customHeight="1" x14ac:dyDescent="0.2">
      <c r="A79" s="40">
        <v>77</v>
      </c>
      <c r="B79" s="193">
        <v>20660</v>
      </c>
      <c r="C79" s="99" t="s">
        <v>4597</v>
      </c>
      <c r="D79" s="99" t="s">
        <v>1547</v>
      </c>
      <c r="E79" s="150" t="s">
        <v>6002</v>
      </c>
      <c r="F79" s="99" t="s">
        <v>1148</v>
      </c>
      <c r="G79" s="99" t="s">
        <v>1148</v>
      </c>
      <c r="H79" s="150" t="s">
        <v>4598</v>
      </c>
      <c r="I79" s="150" t="s">
        <v>6003</v>
      </c>
      <c r="J79" s="99" t="s">
        <v>6004</v>
      </c>
      <c r="K79" s="99" t="s">
        <v>6005</v>
      </c>
      <c r="L79" s="186" t="s">
        <v>6006</v>
      </c>
      <c r="M79" s="16" t="s">
        <v>4600</v>
      </c>
      <c r="N79" s="107" t="s">
        <v>5493</v>
      </c>
      <c r="O79" s="113" t="s">
        <v>94</v>
      </c>
      <c r="P79" s="16" t="s">
        <v>5998</v>
      </c>
      <c r="Q79" s="113" t="s">
        <v>5651</v>
      </c>
      <c r="R79" s="15" t="s">
        <v>6007</v>
      </c>
      <c r="S79" s="16" t="s">
        <v>6000</v>
      </c>
      <c r="T79" s="16" t="s">
        <v>6001</v>
      </c>
      <c r="U79" s="15">
        <v>11</v>
      </c>
      <c r="V79" s="15">
        <v>2014</v>
      </c>
      <c r="W79" s="15"/>
      <c r="X79" s="16"/>
      <c r="Y79" s="16"/>
      <c r="Z79" s="92"/>
    </row>
    <row r="80" spans="1:26" ht="16.5" hidden="1" customHeight="1" x14ac:dyDescent="0.2">
      <c r="A80" s="40">
        <v>78</v>
      </c>
      <c r="B80" s="193">
        <v>20661</v>
      </c>
      <c r="C80" s="99" t="s">
        <v>4605</v>
      </c>
      <c r="D80" s="99" t="s">
        <v>70</v>
      </c>
      <c r="E80" s="150" t="s">
        <v>6008</v>
      </c>
      <c r="F80" s="99" t="s">
        <v>5597</v>
      </c>
      <c r="G80" s="63" t="s">
        <v>856</v>
      </c>
      <c r="H80" s="104" t="s">
        <v>4606</v>
      </c>
      <c r="I80" s="104" t="s">
        <v>6009</v>
      </c>
      <c r="J80" s="63" t="s">
        <v>6010</v>
      </c>
      <c r="K80" s="63" t="s">
        <v>6011</v>
      </c>
      <c r="L80" s="35" t="s">
        <v>6012</v>
      </c>
      <c r="M80" s="16" t="s">
        <v>4608</v>
      </c>
      <c r="N80" s="107" t="s">
        <v>5493</v>
      </c>
      <c r="O80" s="113" t="s">
        <v>94</v>
      </c>
      <c r="P80" s="16" t="s">
        <v>5998</v>
      </c>
      <c r="Q80" s="113" t="s">
        <v>5651</v>
      </c>
      <c r="R80" s="15" t="s">
        <v>6013</v>
      </c>
      <c r="S80" s="16" t="s">
        <v>6014</v>
      </c>
      <c r="T80" s="16" t="s">
        <v>6015</v>
      </c>
      <c r="U80" s="15">
        <v>11</v>
      </c>
      <c r="V80" s="15">
        <v>2014</v>
      </c>
      <c r="W80" s="15"/>
      <c r="X80" s="16"/>
      <c r="Y80" s="16"/>
      <c r="Z80" s="92"/>
    </row>
    <row r="81" spans="1:26" ht="16.5" hidden="1" customHeight="1" x14ac:dyDescent="0.2">
      <c r="A81" s="40">
        <v>79</v>
      </c>
      <c r="B81" s="193">
        <v>20674</v>
      </c>
      <c r="C81" s="99" t="s">
        <v>801</v>
      </c>
      <c r="D81" s="99" t="s">
        <v>667</v>
      </c>
      <c r="E81" s="150" t="s">
        <v>6016</v>
      </c>
      <c r="F81" s="99" t="s">
        <v>726</v>
      </c>
      <c r="G81" s="99" t="s">
        <v>726</v>
      </c>
      <c r="H81" s="150" t="s">
        <v>4686</v>
      </c>
      <c r="I81" s="150" t="s">
        <v>6017</v>
      </c>
      <c r="J81" s="99" t="s">
        <v>4687</v>
      </c>
      <c r="K81" s="99" t="s">
        <v>6018</v>
      </c>
      <c r="L81" s="186" t="s">
        <v>4692</v>
      </c>
      <c r="M81" s="16" t="s">
        <v>4690</v>
      </c>
      <c r="N81" s="107" t="s">
        <v>5649</v>
      </c>
      <c r="O81" s="113" t="s">
        <v>94</v>
      </c>
      <c r="P81" s="16" t="s">
        <v>5531</v>
      </c>
      <c r="Q81" s="113" t="s">
        <v>5651</v>
      </c>
      <c r="R81" s="15" t="s">
        <v>6019</v>
      </c>
      <c r="S81" s="16" t="s">
        <v>5987</v>
      </c>
      <c r="T81" s="16" t="s">
        <v>5554</v>
      </c>
      <c r="U81" s="15">
        <v>11</v>
      </c>
      <c r="V81" s="15">
        <v>2014</v>
      </c>
      <c r="W81" s="15"/>
      <c r="X81" s="16"/>
      <c r="Y81" s="16"/>
      <c r="Z81" s="92"/>
    </row>
    <row r="82" spans="1:26" ht="16.5" hidden="1" customHeight="1" x14ac:dyDescent="0.2">
      <c r="A82" s="40">
        <v>80</v>
      </c>
      <c r="B82" s="193">
        <v>20675</v>
      </c>
      <c r="C82" s="99" t="s">
        <v>2870</v>
      </c>
      <c r="D82" s="99" t="s">
        <v>191</v>
      </c>
      <c r="E82" s="104" t="s">
        <v>6020</v>
      </c>
      <c r="F82" s="99" t="s">
        <v>1148</v>
      </c>
      <c r="G82" s="99" t="s">
        <v>1148</v>
      </c>
      <c r="H82" s="150" t="s">
        <v>4695</v>
      </c>
      <c r="I82" s="150" t="s">
        <v>6021</v>
      </c>
      <c r="J82" s="99" t="s">
        <v>4696</v>
      </c>
      <c r="K82" s="99" t="s">
        <v>4699</v>
      </c>
      <c r="L82" s="186" t="s">
        <v>4700</v>
      </c>
      <c r="M82" s="16" t="s">
        <v>4698</v>
      </c>
      <c r="N82" s="107" t="s">
        <v>458</v>
      </c>
      <c r="O82" s="113" t="s">
        <v>94</v>
      </c>
      <c r="P82" s="16" t="s">
        <v>6022</v>
      </c>
      <c r="Q82" s="113" t="s">
        <v>5651</v>
      </c>
      <c r="R82" s="15" t="s">
        <v>6023</v>
      </c>
      <c r="S82" s="16" t="s">
        <v>6024</v>
      </c>
      <c r="T82" s="16" t="s">
        <v>6025</v>
      </c>
      <c r="U82" s="15">
        <v>12</v>
      </c>
      <c r="V82" s="15">
        <v>2013</v>
      </c>
      <c r="W82" s="15"/>
      <c r="X82" s="16"/>
      <c r="Y82" s="16"/>
      <c r="Z82" s="92"/>
    </row>
    <row r="83" spans="1:26" ht="16.5" hidden="1" customHeight="1" x14ac:dyDescent="0.2">
      <c r="A83" s="40">
        <v>81</v>
      </c>
      <c r="B83" s="151">
        <v>20676</v>
      </c>
      <c r="C83" s="135" t="s">
        <v>2705</v>
      </c>
      <c r="D83" s="135" t="s">
        <v>287</v>
      </c>
      <c r="E83" s="114" t="s">
        <v>6026</v>
      </c>
      <c r="F83" s="135" t="s">
        <v>6027</v>
      </c>
      <c r="G83" s="135" t="s">
        <v>3004</v>
      </c>
      <c r="H83" s="114" t="s">
        <v>4703</v>
      </c>
      <c r="I83" s="114" t="s">
        <v>6028</v>
      </c>
      <c r="J83" s="135" t="s">
        <v>4704</v>
      </c>
      <c r="K83" s="135" t="s">
        <v>4708</v>
      </c>
      <c r="L83" s="176" t="s">
        <v>4709</v>
      </c>
      <c r="M83" s="17" t="s">
        <v>4707</v>
      </c>
      <c r="N83" s="130" t="s">
        <v>6029</v>
      </c>
      <c r="O83" s="77" t="s">
        <v>94</v>
      </c>
      <c r="P83" s="17" t="s">
        <v>6022</v>
      </c>
      <c r="Q83" s="77" t="s">
        <v>5651</v>
      </c>
      <c r="R83" s="188"/>
      <c r="S83" s="17" t="s">
        <v>6024</v>
      </c>
      <c r="T83" s="17" t="s">
        <v>6030</v>
      </c>
      <c r="U83" s="188">
        <v>12</v>
      </c>
      <c r="V83" s="188">
        <v>2014</v>
      </c>
      <c r="W83" s="188"/>
      <c r="X83" s="17"/>
      <c r="Y83" s="17"/>
      <c r="Z83" s="185" t="s">
        <v>5513</v>
      </c>
    </row>
    <row r="84" spans="1:26" ht="16.5" hidden="1" customHeight="1" x14ac:dyDescent="0.2">
      <c r="A84" s="40">
        <v>82</v>
      </c>
      <c r="B84" s="151">
        <v>20681</v>
      </c>
      <c r="C84" s="135" t="s">
        <v>4734</v>
      </c>
      <c r="D84" s="135" t="s">
        <v>1428</v>
      </c>
      <c r="E84" s="114" t="s">
        <v>6031</v>
      </c>
      <c r="F84" s="135" t="s">
        <v>824</v>
      </c>
      <c r="G84" s="135" t="s">
        <v>1103</v>
      </c>
      <c r="H84" s="114" t="s">
        <v>4735</v>
      </c>
      <c r="I84" s="114" t="s">
        <v>6032</v>
      </c>
      <c r="J84" s="135" t="s">
        <v>4736</v>
      </c>
      <c r="K84" s="135" t="s">
        <v>6033</v>
      </c>
      <c r="L84" s="176" t="s">
        <v>4739</v>
      </c>
      <c r="M84" s="17" t="s">
        <v>6034</v>
      </c>
      <c r="N84" s="130" t="s">
        <v>5493</v>
      </c>
      <c r="O84" s="77" t="s">
        <v>94</v>
      </c>
      <c r="P84" s="17" t="s">
        <v>6035</v>
      </c>
      <c r="Q84" s="77" t="s">
        <v>5651</v>
      </c>
      <c r="R84" s="188"/>
      <c r="S84" s="17" t="s">
        <v>6036</v>
      </c>
      <c r="T84" s="17" t="s">
        <v>6037</v>
      </c>
      <c r="U84" s="188">
        <v>1</v>
      </c>
      <c r="V84" s="188">
        <v>2015</v>
      </c>
      <c r="W84" s="188"/>
      <c r="X84" s="17"/>
      <c r="Y84" s="17"/>
      <c r="Z84" s="185" t="s">
        <v>5513</v>
      </c>
    </row>
    <row r="85" spans="1:26" ht="16.5" hidden="1" customHeight="1" x14ac:dyDescent="0.2">
      <c r="A85" s="40">
        <v>83</v>
      </c>
      <c r="B85" s="151">
        <v>20683</v>
      </c>
      <c r="C85" s="135" t="s">
        <v>587</v>
      </c>
      <c r="D85" s="135" t="s">
        <v>4749</v>
      </c>
      <c r="E85" s="114" t="s">
        <v>6038</v>
      </c>
      <c r="F85" s="135" t="s">
        <v>1255</v>
      </c>
      <c r="G85" s="135" t="s">
        <v>1255</v>
      </c>
      <c r="H85" s="114" t="s">
        <v>4750</v>
      </c>
      <c r="I85" s="114" t="s">
        <v>6039</v>
      </c>
      <c r="J85" s="135" t="s">
        <v>1795</v>
      </c>
      <c r="K85" s="135" t="s">
        <v>4753</v>
      </c>
      <c r="L85" s="176" t="s">
        <v>4754</v>
      </c>
      <c r="M85" s="17" t="s">
        <v>4752</v>
      </c>
      <c r="N85" s="130" t="s">
        <v>5493</v>
      </c>
      <c r="O85" s="77" t="s">
        <v>94</v>
      </c>
      <c r="P85" s="17" t="s">
        <v>6035</v>
      </c>
      <c r="Q85" s="77" t="s">
        <v>5651</v>
      </c>
      <c r="R85" s="188"/>
      <c r="S85" s="17" t="s">
        <v>6036</v>
      </c>
      <c r="T85" s="17" t="s">
        <v>6037</v>
      </c>
      <c r="U85" s="188">
        <v>1</v>
      </c>
      <c r="V85" s="188">
        <v>2015</v>
      </c>
      <c r="W85" s="188"/>
      <c r="X85" s="17"/>
      <c r="Y85" s="17"/>
      <c r="Z85" s="185" t="s">
        <v>5513</v>
      </c>
    </row>
    <row r="86" spans="1:26" ht="16.5" hidden="1" customHeight="1" x14ac:dyDescent="0.2">
      <c r="A86" s="40">
        <v>84</v>
      </c>
      <c r="B86" s="151">
        <v>20684</v>
      </c>
      <c r="C86" s="135" t="s">
        <v>265</v>
      </c>
      <c r="D86" s="135" t="s">
        <v>535</v>
      </c>
      <c r="E86" s="114" t="s">
        <v>6040</v>
      </c>
      <c r="F86" s="135" t="s">
        <v>1255</v>
      </c>
      <c r="G86" s="135" t="s">
        <v>1255</v>
      </c>
      <c r="H86" s="114" t="s">
        <v>4757</v>
      </c>
      <c r="I86" s="114" t="s">
        <v>6041</v>
      </c>
      <c r="J86" s="135" t="s">
        <v>1795</v>
      </c>
      <c r="K86" s="135" t="s">
        <v>6042</v>
      </c>
      <c r="L86" s="176" t="s">
        <v>4762</v>
      </c>
      <c r="M86" s="17" t="s">
        <v>4760</v>
      </c>
      <c r="N86" s="130" t="s">
        <v>5493</v>
      </c>
      <c r="O86" s="77" t="s">
        <v>94</v>
      </c>
      <c r="P86" s="17" t="s">
        <v>6035</v>
      </c>
      <c r="Q86" s="77" t="s">
        <v>5651</v>
      </c>
      <c r="R86" s="188" t="s">
        <v>6043</v>
      </c>
      <c r="S86" s="17" t="s">
        <v>6036</v>
      </c>
      <c r="T86" s="17" t="s">
        <v>6037</v>
      </c>
      <c r="U86" s="188">
        <v>1</v>
      </c>
      <c r="V86" s="188">
        <v>2015</v>
      </c>
      <c r="W86" s="188"/>
      <c r="X86" s="17"/>
      <c r="Y86" s="17"/>
      <c r="Z86" s="185" t="s">
        <v>5513</v>
      </c>
    </row>
    <row r="87" spans="1:26" ht="16.5" hidden="1" customHeight="1" x14ac:dyDescent="0.2">
      <c r="A87" s="40">
        <v>85</v>
      </c>
      <c r="B87" s="151">
        <v>20689</v>
      </c>
      <c r="C87" s="135" t="s">
        <v>1337</v>
      </c>
      <c r="D87" s="135" t="s">
        <v>607</v>
      </c>
      <c r="E87" s="114" t="s">
        <v>6044</v>
      </c>
      <c r="F87" s="135" t="s">
        <v>1045</v>
      </c>
      <c r="G87" s="135" t="s">
        <v>1045</v>
      </c>
      <c r="H87" s="114" t="s">
        <v>4793</v>
      </c>
      <c r="I87" s="114" t="s">
        <v>6045</v>
      </c>
      <c r="J87" s="135" t="s">
        <v>4794</v>
      </c>
      <c r="K87" s="135" t="s">
        <v>6046</v>
      </c>
      <c r="L87" s="176" t="s">
        <v>4797</v>
      </c>
      <c r="M87" s="17" t="s">
        <v>4795</v>
      </c>
      <c r="N87" s="130" t="s">
        <v>5493</v>
      </c>
      <c r="O87" s="77" t="s">
        <v>94</v>
      </c>
      <c r="P87" s="17" t="s">
        <v>6047</v>
      </c>
      <c r="Q87" s="77" t="s">
        <v>5651</v>
      </c>
      <c r="R87" s="188"/>
      <c r="S87" s="17" t="s">
        <v>6036</v>
      </c>
      <c r="T87" s="17" t="s">
        <v>6037</v>
      </c>
      <c r="U87" s="188">
        <v>1</v>
      </c>
      <c r="V87" s="188">
        <v>2015</v>
      </c>
      <c r="W87" s="188"/>
      <c r="X87" s="17"/>
      <c r="Y87" s="17"/>
      <c r="Z87" s="185" t="s">
        <v>5513</v>
      </c>
    </row>
    <row r="88" spans="1:26" ht="16.5" hidden="1" customHeight="1" x14ac:dyDescent="0.2">
      <c r="A88" s="40">
        <v>86</v>
      </c>
      <c r="B88" s="151">
        <v>20697</v>
      </c>
      <c r="C88" s="135" t="s">
        <v>3784</v>
      </c>
      <c r="D88" s="135" t="s">
        <v>685</v>
      </c>
      <c r="E88" s="114" t="s">
        <v>6048</v>
      </c>
      <c r="F88" s="135" t="s">
        <v>52</v>
      </c>
      <c r="G88" s="135" t="s">
        <v>303</v>
      </c>
      <c r="H88" s="114" t="s">
        <v>4841</v>
      </c>
      <c r="I88" s="114" t="s">
        <v>6049</v>
      </c>
      <c r="J88" s="135" t="s">
        <v>3389</v>
      </c>
      <c r="K88" s="135" t="s">
        <v>6050</v>
      </c>
      <c r="L88" s="176" t="s">
        <v>4845</v>
      </c>
      <c r="M88" s="17" t="s">
        <v>4843</v>
      </c>
      <c r="N88" s="130" t="s">
        <v>5649</v>
      </c>
      <c r="O88" s="77" t="s">
        <v>94</v>
      </c>
      <c r="P88" s="17" t="s">
        <v>6051</v>
      </c>
      <c r="Q88" s="77" t="s">
        <v>5651</v>
      </c>
      <c r="R88" s="188"/>
      <c r="S88" s="17" t="s">
        <v>6083</v>
      </c>
      <c r="T88" s="17" t="s">
        <v>6084</v>
      </c>
      <c r="U88" s="188">
        <v>1</v>
      </c>
      <c r="V88" s="188">
        <v>2015</v>
      </c>
      <c r="W88" s="188"/>
      <c r="X88" s="17"/>
      <c r="Y88" s="17"/>
      <c r="Z88" s="185" t="s">
        <v>5513</v>
      </c>
    </row>
    <row r="89" spans="1:26" ht="16.5" hidden="1" customHeight="1" x14ac:dyDescent="0.2">
      <c r="A89" s="40">
        <v>87</v>
      </c>
      <c r="B89" s="193">
        <v>20705</v>
      </c>
      <c r="C89" s="99" t="s">
        <v>587</v>
      </c>
      <c r="D89" s="99" t="s">
        <v>643</v>
      </c>
      <c r="E89" s="150" t="s">
        <v>6052</v>
      </c>
      <c r="F89" s="99" t="s">
        <v>1103</v>
      </c>
      <c r="G89" s="99" t="s">
        <v>1103</v>
      </c>
      <c r="H89" s="150" t="s">
        <v>4887</v>
      </c>
      <c r="I89" s="150" t="s">
        <v>6053</v>
      </c>
      <c r="J89" s="99" t="s">
        <v>4888</v>
      </c>
      <c r="K89" s="99" t="s">
        <v>6054</v>
      </c>
      <c r="L89" s="186" t="s">
        <v>4894</v>
      </c>
      <c r="M89" s="16" t="s">
        <v>4892</v>
      </c>
      <c r="N89" s="107" t="s">
        <v>6055</v>
      </c>
      <c r="O89" s="113" t="s">
        <v>51</v>
      </c>
      <c r="P89" s="16" t="s">
        <v>6056</v>
      </c>
      <c r="Q89" s="113" t="s">
        <v>2322</v>
      </c>
      <c r="R89" s="15"/>
      <c r="S89" s="16" t="s">
        <v>6056</v>
      </c>
      <c r="T89" s="16" t="s">
        <v>6057</v>
      </c>
      <c r="U89" s="15">
        <v>1</v>
      </c>
      <c r="V89" s="15">
        <v>2014</v>
      </c>
      <c r="W89" s="15"/>
      <c r="X89" s="16"/>
      <c r="Y89" s="16"/>
      <c r="Z89" s="92"/>
    </row>
    <row r="90" spans="1:26" ht="16.5" hidden="1" customHeight="1" x14ac:dyDescent="0.2">
      <c r="A90" s="40">
        <v>88</v>
      </c>
      <c r="B90" s="193">
        <v>20714</v>
      </c>
      <c r="C90" s="99" t="s">
        <v>4940</v>
      </c>
      <c r="D90" s="99" t="s">
        <v>939</v>
      </c>
      <c r="E90" s="104" t="s">
        <v>6058</v>
      </c>
      <c r="F90" s="99" t="s">
        <v>884</v>
      </c>
      <c r="G90" s="99" t="s">
        <v>6059</v>
      </c>
      <c r="H90" s="150" t="s">
        <v>4941</v>
      </c>
      <c r="I90" s="150" t="s">
        <v>6060</v>
      </c>
      <c r="J90" s="99" t="s">
        <v>4942</v>
      </c>
      <c r="K90" s="99" t="s">
        <v>6061</v>
      </c>
      <c r="L90" s="186" t="s">
        <v>4946</v>
      </c>
      <c r="M90" s="16" t="s">
        <v>4944</v>
      </c>
      <c r="N90" s="107" t="s">
        <v>5649</v>
      </c>
      <c r="O90" s="113" t="s">
        <v>94</v>
      </c>
      <c r="P90" s="16" t="s">
        <v>6062</v>
      </c>
      <c r="Q90" s="113" t="s">
        <v>2322</v>
      </c>
      <c r="R90" s="15"/>
      <c r="S90" s="16" t="s">
        <v>6062</v>
      </c>
      <c r="T90" s="16" t="s">
        <v>6063</v>
      </c>
      <c r="U90" s="15">
        <v>2</v>
      </c>
      <c r="V90" s="15">
        <v>2014</v>
      </c>
      <c r="W90" s="15"/>
      <c r="X90" s="16"/>
      <c r="Y90" s="16"/>
      <c r="Z90" s="92"/>
    </row>
    <row r="91" spans="1:26" ht="16.5" hidden="1" customHeight="1" x14ac:dyDescent="0.2">
      <c r="A91" s="40">
        <v>89</v>
      </c>
      <c r="B91" s="193">
        <v>20715</v>
      </c>
      <c r="C91" s="99" t="s">
        <v>4947</v>
      </c>
      <c r="D91" s="99" t="s">
        <v>778</v>
      </c>
      <c r="E91" s="104" t="s">
        <v>6064</v>
      </c>
      <c r="F91" s="99" t="s">
        <v>1878</v>
      </c>
      <c r="G91" s="99" t="s">
        <v>6065</v>
      </c>
      <c r="H91" s="150" t="s">
        <v>4948</v>
      </c>
      <c r="I91" s="150" t="s">
        <v>6066</v>
      </c>
      <c r="J91" s="99" t="s">
        <v>3389</v>
      </c>
      <c r="K91" s="99" t="s">
        <v>6067</v>
      </c>
      <c r="L91" s="186" t="s">
        <v>4955</v>
      </c>
      <c r="M91" s="16" t="s">
        <v>4953</v>
      </c>
      <c r="N91" s="107" t="s">
        <v>5649</v>
      </c>
      <c r="O91" s="113" t="s">
        <v>94</v>
      </c>
      <c r="P91" s="16" t="s">
        <v>6062</v>
      </c>
      <c r="Q91" s="113" t="s">
        <v>2322</v>
      </c>
      <c r="R91" s="15"/>
      <c r="S91" s="16" t="s">
        <v>6062</v>
      </c>
      <c r="T91" s="16" t="s">
        <v>6063</v>
      </c>
      <c r="U91" s="15">
        <v>2</v>
      </c>
      <c r="V91" s="15">
        <v>2014</v>
      </c>
      <c r="W91" s="15"/>
      <c r="X91" s="16"/>
      <c r="Y91" s="16"/>
      <c r="Z91" s="92"/>
    </row>
    <row r="92" spans="1:26" ht="16.5" hidden="1" customHeight="1" x14ac:dyDescent="0.2">
      <c r="A92" s="40">
        <v>90</v>
      </c>
      <c r="B92" s="193">
        <v>20720</v>
      </c>
      <c r="C92" s="99" t="s">
        <v>4982</v>
      </c>
      <c r="D92" s="99" t="s">
        <v>160</v>
      </c>
      <c r="E92" s="150" t="s">
        <v>6068</v>
      </c>
      <c r="F92" s="99" t="s">
        <v>1878</v>
      </c>
      <c r="G92" s="99" t="s">
        <v>6069</v>
      </c>
      <c r="H92" s="150" t="s">
        <v>4983</v>
      </c>
      <c r="I92" s="150" t="s">
        <v>6070</v>
      </c>
      <c r="J92" s="99" t="s">
        <v>3389</v>
      </c>
      <c r="K92" s="99" t="s">
        <v>6071</v>
      </c>
      <c r="L92" s="99" t="s">
        <v>6072</v>
      </c>
      <c r="M92" s="5" t="s">
        <v>4986</v>
      </c>
      <c r="N92" s="107" t="s">
        <v>5493</v>
      </c>
      <c r="O92" s="113" t="s">
        <v>94</v>
      </c>
      <c r="P92" s="16" t="s">
        <v>6073</v>
      </c>
      <c r="Q92" s="113" t="s">
        <v>2322</v>
      </c>
      <c r="R92" s="15"/>
      <c r="S92" s="16" t="s">
        <v>6073</v>
      </c>
      <c r="T92" s="16" t="s">
        <v>6074</v>
      </c>
      <c r="U92" s="15">
        <v>3</v>
      </c>
      <c r="V92" s="15">
        <v>2014</v>
      </c>
      <c r="W92" s="15"/>
      <c r="X92" s="16"/>
      <c r="Y92" s="16"/>
      <c r="Z92" s="92"/>
    </row>
    <row r="93" spans="1:26" ht="16.5" hidden="1" customHeight="1" x14ac:dyDescent="0.2">
      <c r="A93" s="40">
        <v>91</v>
      </c>
      <c r="B93" s="193">
        <v>20722</v>
      </c>
      <c r="C93" s="99" t="s">
        <v>4994</v>
      </c>
      <c r="D93" s="99" t="s">
        <v>4995</v>
      </c>
      <c r="E93" s="150" t="s">
        <v>6075</v>
      </c>
      <c r="F93" s="99" t="s">
        <v>1878</v>
      </c>
      <c r="G93" s="99" t="s">
        <v>2613</v>
      </c>
      <c r="H93" s="150" t="s">
        <v>4996</v>
      </c>
      <c r="I93" s="150" t="s">
        <v>6076</v>
      </c>
      <c r="J93" s="99" t="s">
        <v>4997</v>
      </c>
      <c r="K93" s="99" t="s">
        <v>6077</v>
      </c>
      <c r="L93" s="99" t="s">
        <v>5000</v>
      </c>
      <c r="M93" s="186" t="s">
        <v>6078</v>
      </c>
      <c r="N93" s="107" t="s">
        <v>6079</v>
      </c>
      <c r="O93" s="113" t="s">
        <v>51</v>
      </c>
      <c r="P93" s="16" t="s">
        <v>6080</v>
      </c>
      <c r="Q93" s="113" t="s">
        <v>2322</v>
      </c>
      <c r="R93" s="15"/>
      <c r="S93" s="16" t="s">
        <v>6080</v>
      </c>
      <c r="T93" s="16" t="s">
        <v>6081</v>
      </c>
      <c r="U93" s="15">
        <v>2</v>
      </c>
      <c r="V93" s="15">
        <v>2014</v>
      </c>
      <c r="W93" s="15"/>
      <c r="X93" s="16"/>
      <c r="Y93" s="16"/>
      <c r="Z93" s="92"/>
    </row>
    <row r="94" spans="1:26" ht="16.5" hidden="1" customHeight="1" x14ac:dyDescent="0.2">
      <c r="A94" s="40">
        <v>92</v>
      </c>
      <c r="B94" s="125">
        <v>20741</v>
      </c>
      <c r="C94" s="149" t="s">
        <v>5118</v>
      </c>
      <c r="D94" s="149" t="s">
        <v>256</v>
      </c>
      <c r="E94" s="150" t="s">
        <v>6085</v>
      </c>
      <c r="F94" s="99" t="s">
        <v>884</v>
      </c>
      <c r="G94" s="99" t="s">
        <v>856</v>
      </c>
      <c r="H94" s="150" t="s">
        <v>5121</v>
      </c>
      <c r="I94" s="150" t="s">
        <v>6086</v>
      </c>
      <c r="J94" s="99" t="s">
        <v>3980</v>
      </c>
      <c r="K94" s="99" t="s">
        <v>6087</v>
      </c>
      <c r="L94" s="186" t="s">
        <v>6088</v>
      </c>
      <c r="M94" s="16" t="s">
        <v>5123</v>
      </c>
      <c r="N94" s="107" t="s">
        <v>5493</v>
      </c>
      <c r="O94" s="113" t="s">
        <v>94</v>
      </c>
      <c r="P94" s="16" t="s">
        <v>6089</v>
      </c>
      <c r="Q94" s="113" t="s">
        <v>2322</v>
      </c>
      <c r="R94" s="15"/>
      <c r="S94" s="16"/>
      <c r="T94" s="16"/>
      <c r="U94" s="15"/>
      <c r="V94" s="15"/>
      <c r="W94" s="15"/>
      <c r="X94" s="16"/>
      <c r="Y94" s="16"/>
      <c r="Z94" s="85"/>
    </row>
    <row r="95" spans="1:26" ht="16.5" hidden="1" customHeight="1" x14ac:dyDescent="0.2">
      <c r="A95" s="40">
        <v>93</v>
      </c>
      <c r="B95" s="125">
        <v>20742</v>
      </c>
      <c r="C95" s="149" t="s">
        <v>1862</v>
      </c>
      <c r="D95" s="149" t="s">
        <v>685</v>
      </c>
      <c r="E95" s="150" t="s">
        <v>6090</v>
      </c>
      <c r="F95" s="99" t="s">
        <v>1045</v>
      </c>
      <c r="G95" s="99" t="s">
        <v>1045</v>
      </c>
      <c r="H95" s="150" t="s">
        <v>5129</v>
      </c>
      <c r="I95" s="150" t="s">
        <v>6091</v>
      </c>
      <c r="J95" s="99" t="s">
        <v>1778</v>
      </c>
      <c r="K95" s="99" t="s">
        <v>6092</v>
      </c>
      <c r="L95" s="186" t="s">
        <v>6093</v>
      </c>
      <c r="M95" s="16" t="s">
        <v>5133</v>
      </c>
      <c r="N95" s="107" t="s">
        <v>5493</v>
      </c>
      <c r="O95" s="107" t="s">
        <v>94</v>
      </c>
      <c r="P95" s="16" t="s">
        <v>6094</v>
      </c>
      <c r="Q95" s="113" t="s">
        <v>2322</v>
      </c>
      <c r="R95" s="113"/>
      <c r="S95" s="89"/>
      <c r="T95" s="89"/>
      <c r="U95" s="113"/>
      <c r="V95" s="113"/>
      <c r="W95" s="113"/>
      <c r="X95" s="89"/>
      <c r="Y95" s="89"/>
      <c r="Z95" s="85"/>
    </row>
    <row r="96" spans="1:26" ht="16.5" hidden="1" customHeight="1" x14ac:dyDescent="0.2">
      <c r="A96" s="40">
        <v>94</v>
      </c>
      <c r="B96" s="125">
        <v>20743</v>
      </c>
      <c r="C96" s="149" t="s">
        <v>5139</v>
      </c>
      <c r="D96" s="149" t="s">
        <v>93</v>
      </c>
      <c r="E96" s="150" t="s">
        <v>6095</v>
      </c>
      <c r="F96" s="99" t="s">
        <v>5850</v>
      </c>
      <c r="G96" s="99" t="s">
        <v>1878</v>
      </c>
      <c r="H96" s="150" t="s">
        <v>5140</v>
      </c>
      <c r="I96" s="150" t="s">
        <v>6096</v>
      </c>
      <c r="J96" s="99" t="s">
        <v>1778</v>
      </c>
      <c r="K96" s="99" t="s">
        <v>6097</v>
      </c>
      <c r="L96" s="99" t="s">
        <v>6098</v>
      </c>
      <c r="M96" s="5" t="s">
        <v>5143</v>
      </c>
      <c r="N96" s="15" t="s">
        <v>5493</v>
      </c>
      <c r="O96" s="15" t="s">
        <v>94</v>
      </c>
      <c r="P96" s="16" t="s">
        <v>6099</v>
      </c>
      <c r="Q96" s="113" t="s">
        <v>2322</v>
      </c>
      <c r="R96" s="113"/>
      <c r="S96" s="89"/>
      <c r="T96" s="89"/>
      <c r="U96" s="113"/>
      <c r="V96" s="113"/>
      <c r="W96" s="113"/>
      <c r="X96" s="89"/>
      <c r="Y96" s="89"/>
      <c r="Z96" s="85"/>
    </row>
    <row r="97" spans="1:26" ht="16.5" customHeight="1" x14ac:dyDescent="0.2">
      <c r="A97" s="193"/>
      <c r="B97" s="175"/>
      <c r="C97" s="111"/>
      <c r="D97" s="111"/>
      <c r="E97" s="9"/>
      <c r="F97" s="111"/>
      <c r="G97" s="111"/>
      <c r="H97" s="9"/>
      <c r="I97" s="9"/>
      <c r="J97" s="111"/>
      <c r="K97" s="111"/>
      <c r="L97" s="187"/>
      <c r="M97" s="16"/>
      <c r="N97" s="15"/>
      <c r="O97" s="15"/>
      <c r="P97" s="16"/>
      <c r="Q97" s="174"/>
      <c r="R97" s="174"/>
      <c r="S97" s="59"/>
      <c r="T97" s="59"/>
      <c r="U97" s="174"/>
      <c r="V97" s="174"/>
      <c r="W97" s="174"/>
      <c r="X97" s="59"/>
      <c r="Y97" s="59"/>
      <c r="Z97" s="92"/>
    </row>
    <row r="98" spans="1:26" ht="16.5" customHeight="1" x14ac:dyDescent="0.2">
      <c r="A98" s="193"/>
      <c r="B98" s="175"/>
      <c r="C98" s="111"/>
      <c r="D98" s="111"/>
      <c r="E98" s="9"/>
      <c r="F98" s="111"/>
      <c r="G98" s="111"/>
      <c r="H98" s="9"/>
      <c r="I98" s="9"/>
      <c r="J98" s="111"/>
      <c r="K98" s="111"/>
      <c r="L98" s="187"/>
      <c r="M98" s="16"/>
      <c r="N98" s="15"/>
      <c r="O98" s="15"/>
      <c r="P98" s="16"/>
      <c r="Q98" s="174"/>
      <c r="R98" s="174"/>
      <c r="S98" s="59"/>
      <c r="T98" s="59"/>
      <c r="U98" s="174"/>
      <c r="V98" s="174"/>
      <c r="W98" s="174"/>
      <c r="X98" s="59"/>
      <c r="Y98" s="59"/>
      <c r="Z98" s="92"/>
    </row>
    <row r="99" spans="1:26" ht="16.5" customHeight="1" x14ac:dyDescent="0.2">
      <c r="A99" s="193"/>
      <c r="B99" s="175"/>
      <c r="C99" s="111"/>
      <c r="D99" s="111"/>
      <c r="E99" s="9"/>
      <c r="F99" s="111"/>
      <c r="G99" s="111"/>
      <c r="H99" s="9"/>
      <c r="I99" s="9"/>
      <c r="J99" s="111"/>
      <c r="K99" s="111"/>
      <c r="L99" s="187"/>
      <c r="M99" s="16"/>
      <c r="N99" s="15"/>
      <c r="O99" s="15"/>
      <c r="P99" s="16"/>
      <c r="Q99" s="174"/>
      <c r="R99" s="174"/>
      <c r="S99" s="59"/>
      <c r="T99" s="59"/>
      <c r="U99" s="174"/>
      <c r="V99" s="174"/>
      <c r="W99" s="174"/>
      <c r="X99" s="59"/>
      <c r="Y99" s="59"/>
      <c r="Z99" s="92"/>
    </row>
    <row r="100" spans="1:26" ht="16.5" customHeight="1" x14ac:dyDescent="0.2">
      <c r="A100" s="193"/>
      <c r="B100" s="175"/>
      <c r="C100" s="111"/>
      <c r="D100" s="111"/>
      <c r="E100" s="9"/>
      <c r="F100" s="111"/>
      <c r="G100" s="111"/>
      <c r="H100" s="9"/>
      <c r="I100" s="9"/>
      <c r="J100" s="111"/>
      <c r="K100" s="111"/>
      <c r="L100" s="187"/>
      <c r="M100" s="16"/>
      <c r="N100" s="15"/>
      <c r="O100" s="15"/>
      <c r="P100" s="16"/>
      <c r="Q100" s="174"/>
      <c r="R100" s="174"/>
      <c r="S100" s="59"/>
      <c r="T100" s="59"/>
      <c r="U100" s="174"/>
      <c r="V100" s="174"/>
      <c r="W100" s="174"/>
      <c r="X100" s="59"/>
      <c r="Y100" s="59"/>
      <c r="Z100" s="92"/>
    </row>
    <row r="101" spans="1:26" ht="16.5" customHeight="1" x14ac:dyDescent="0.2">
      <c r="A101" s="193"/>
      <c r="B101" s="175"/>
      <c r="C101" s="111"/>
      <c r="D101" s="111"/>
      <c r="E101" s="9"/>
      <c r="F101" s="111"/>
      <c r="G101" s="111"/>
      <c r="H101" s="9"/>
      <c r="I101" s="9"/>
      <c r="J101" s="111"/>
      <c r="K101" s="111"/>
      <c r="L101" s="187"/>
      <c r="M101" s="16"/>
      <c r="N101" s="15"/>
      <c r="O101" s="15"/>
      <c r="P101" s="16"/>
      <c r="Q101" s="174"/>
      <c r="R101" s="174"/>
      <c r="S101" s="59"/>
      <c r="T101" s="59"/>
      <c r="U101" s="174"/>
      <c r="V101" s="174"/>
      <c r="W101" s="174"/>
      <c r="X101" s="59"/>
      <c r="Y101" s="59"/>
      <c r="Z101" s="92"/>
    </row>
    <row r="102" spans="1:26" ht="16.5" customHeight="1" x14ac:dyDescent="0.2">
      <c r="A102" s="193"/>
      <c r="B102" s="175"/>
      <c r="C102" s="111"/>
      <c r="D102" s="111"/>
      <c r="E102" s="9"/>
      <c r="F102" s="111"/>
      <c r="G102" s="111"/>
      <c r="H102" s="9"/>
      <c r="I102" s="9"/>
      <c r="J102" s="111"/>
      <c r="K102" s="111"/>
      <c r="L102" s="187"/>
      <c r="M102" s="16"/>
      <c r="N102" s="15"/>
      <c r="O102" s="15"/>
      <c r="P102" s="16"/>
      <c r="Q102" s="174"/>
      <c r="R102" s="174"/>
      <c r="S102" s="59"/>
      <c r="T102" s="59"/>
      <c r="U102" s="174"/>
      <c r="V102" s="174"/>
      <c r="W102" s="174"/>
      <c r="X102" s="59"/>
      <c r="Y102" s="59"/>
      <c r="Z102" s="92"/>
    </row>
    <row r="103" spans="1:26" ht="16.5" customHeight="1" x14ac:dyDescent="0.2">
      <c r="A103" s="193"/>
      <c r="B103" s="175"/>
      <c r="C103" s="111"/>
      <c r="D103" s="111"/>
      <c r="E103" s="9"/>
      <c r="F103" s="111"/>
      <c r="G103" s="111"/>
      <c r="H103" s="9"/>
      <c r="I103" s="9"/>
      <c r="J103" s="111"/>
      <c r="K103" s="111"/>
      <c r="L103" s="187"/>
      <c r="M103" s="16"/>
      <c r="N103" s="15"/>
      <c r="O103" s="15"/>
      <c r="P103" s="16"/>
      <c r="Q103" s="174"/>
      <c r="R103" s="174"/>
      <c r="S103" s="59"/>
      <c r="T103" s="59"/>
      <c r="U103" s="174"/>
      <c r="V103" s="174"/>
      <c r="W103" s="174"/>
      <c r="X103" s="59"/>
      <c r="Y103" s="59"/>
      <c r="Z103" s="92"/>
    </row>
    <row r="104" spans="1:26" ht="16.5" customHeight="1" x14ac:dyDescent="0.2">
      <c r="A104" s="193"/>
      <c r="B104" s="175"/>
      <c r="C104" s="111"/>
      <c r="D104" s="111"/>
      <c r="E104" s="9"/>
      <c r="F104" s="111"/>
      <c r="G104" s="111"/>
      <c r="H104" s="9"/>
      <c r="I104" s="9"/>
      <c r="J104" s="111"/>
      <c r="K104" s="111"/>
      <c r="L104" s="187"/>
      <c r="M104" s="16"/>
      <c r="N104" s="15"/>
      <c r="O104" s="15"/>
      <c r="P104" s="16"/>
      <c r="Q104" s="174"/>
      <c r="R104" s="174"/>
      <c r="S104" s="59"/>
      <c r="T104" s="59"/>
      <c r="U104" s="174"/>
      <c r="V104" s="174"/>
      <c r="W104" s="174"/>
      <c r="X104" s="59"/>
      <c r="Y104" s="59"/>
      <c r="Z104" s="92"/>
    </row>
    <row r="105" spans="1:26" ht="16.5" customHeight="1" x14ac:dyDescent="0.2">
      <c r="A105" s="193"/>
      <c r="B105" s="175"/>
      <c r="C105" s="111"/>
      <c r="D105" s="111"/>
      <c r="E105" s="9"/>
      <c r="F105" s="111"/>
      <c r="G105" s="111"/>
      <c r="H105" s="9"/>
      <c r="I105" s="9"/>
      <c r="J105" s="111"/>
      <c r="K105" s="111"/>
      <c r="L105" s="187"/>
      <c r="M105" s="16"/>
      <c r="N105" s="15"/>
      <c r="O105" s="15"/>
      <c r="P105" s="16"/>
      <c r="Q105" s="174"/>
      <c r="R105" s="174"/>
      <c r="S105" s="59"/>
      <c r="T105" s="59"/>
      <c r="U105" s="174"/>
      <c r="V105" s="174"/>
      <c r="W105" s="174"/>
      <c r="X105" s="59"/>
      <c r="Y105" s="59"/>
      <c r="Z105" s="92"/>
    </row>
    <row r="106" spans="1:26" ht="16.5" customHeight="1" x14ac:dyDescent="0.2">
      <c r="A106" s="193"/>
      <c r="B106" s="175"/>
      <c r="C106" s="111"/>
      <c r="D106" s="111"/>
      <c r="E106" s="9"/>
      <c r="F106" s="111"/>
      <c r="G106" s="111"/>
      <c r="H106" s="9"/>
      <c r="I106" s="9"/>
      <c r="J106" s="111"/>
      <c r="K106" s="111"/>
      <c r="L106" s="187"/>
      <c r="M106" s="16"/>
      <c r="N106" s="15"/>
      <c r="O106" s="15"/>
      <c r="P106" s="16"/>
      <c r="Q106" s="174"/>
      <c r="R106" s="174"/>
      <c r="S106" s="59"/>
      <c r="T106" s="59"/>
      <c r="U106" s="174"/>
      <c r="V106" s="174"/>
      <c r="W106" s="174"/>
      <c r="X106" s="59"/>
      <c r="Y106" s="59"/>
      <c r="Z106" s="92"/>
    </row>
    <row r="107" spans="1:26" ht="16.5" customHeight="1" x14ac:dyDescent="0.2">
      <c r="A107" s="193"/>
      <c r="B107" s="175"/>
      <c r="C107" s="111"/>
      <c r="D107" s="111"/>
      <c r="E107" s="9"/>
      <c r="F107" s="111"/>
      <c r="G107" s="111"/>
      <c r="H107" s="9"/>
      <c r="I107" s="9"/>
      <c r="J107" s="111"/>
      <c r="K107" s="111"/>
      <c r="L107" s="187"/>
      <c r="M107" s="16"/>
      <c r="N107" s="15"/>
      <c r="O107" s="15"/>
      <c r="P107" s="16"/>
      <c r="Q107" s="174"/>
      <c r="R107" s="174"/>
      <c r="S107" s="59"/>
      <c r="T107" s="59"/>
      <c r="U107" s="174"/>
      <c r="V107" s="174"/>
      <c r="W107" s="174"/>
      <c r="X107" s="59"/>
      <c r="Y107" s="59"/>
      <c r="Z107" s="92"/>
    </row>
    <row r="108" spans="1:26" ht="16.5" customHeight="1" x14ac:dyDescent="0.2">
      <c r="A108" s="193"/>
      <c r="B108" s="175"/>
      <c r="C108" s="111"/>
      <c r="D108" s="111"/>
      <c r="E108" s="9"/>
      <c r="F108" s="111"/>
      <c r="G108" s="111"/>
      <c r="H108" s="9"/>
      <c r="I108" s="9"/>
      <c r="J108" s="111"/>
      <c r="K108" s="111"/>
      <c r="L108" s="187"/>
      <c r="M108" s="16"/>
      <c r="N108" s="15"/>
      <c r="O108" s="15"/>
      <c r="P108" s="16"/>
      <c r="Q108" s="174"/>
      <c r="R108" s="174"/>
      <c r="S108" s="59"/>
      <c r="T108" s="59"/>
      <c r="U108" s="174"/>
      <c r="V108" s="174"/>
      <c r="W108" s="174"/>
      <c r="X108" s="59"/>
      <c r="Y108" s="59"/>
      <c r="Z108" s="92"/>
    </row>
    <row r="109" spans="1:26" ht="16.5" customHeight="1" x14ac:dyDescent="0.2">
      <c r="A109" s="193"/>
      <c r="B109" s="175"/>
      <c r="C109" s="111"/>
      <c r="D109" s="111"/>
      <c r="E109" s="9"/>
      <c r="F109" s="111"/>
      <c r="G109" s="111"/>
      <c r="H109" s="9"/>
      <c r="I109" s="9"/>
      <c r="J109" s="111"/>
      <c r="K109" s="111"/>
      <c r="L109" s="187"/>
      <c r="M109" s="16"/>
      <c r="N109" s="15"/>
      <c r="O109" s="15"/>
      <c r="P109" s="16"/>
      <c r="Q109" s="174"/>
      <c r="R109" s="174"/>
      <c r="S109" s="59"/>
      <c r="T109" s="59"/>
      <c r="U109" s="174"/>
      <c r="V109" s="174"/>
      <c r="W109" s="174"/>
      <c r="X109" s="59"/>
      <c r="Y109" s="59"/>
      <c r="Z109" s="92"/>
    </row>
    <row r="110" spans="1:26" ht="16.5" customHeight="1" x14ac:dyDescent="0.2">
      <c r="A110" s="193"/>
      <c r="B110" s="175"/>
      <c r="C110" s="111"/>
      <c r="D110" s="111"/>
      <c r="E110" s="9"/>
      <c r="F110" s="111"/>
      <c r="G110" s="111"/>
      <c r="H110" s="9"/>
      <c r="I110" s="9"/>
      <c r="J110" s="111"/>
      <c r="K110" s="111"/>
      <c r="L110" s="187"/>
      <c r="M110" s="16"/>
      <c r="N110" s="15"/>
      <c r="O110" s="15"/>
      <c r="P110" s="16"/>
      <c r="Q110" s="174"/>
      <c r="R110" s="174"/>
      <c r="S110" s="59"/>
      <c r="T110" s="59"/>
      <c r="U110" s="174"/>
      <c r="V110" s="174"/>
      <c r="W110" s="174"/>
      <c r="X110" s="59"/>
      <c r="Y110" s="59"/>
      <c r="Z110" s="92"/>
    </row>
    <row r="111" spans="1:26" ht="16.5" customHeight="1" x14ac:dyDescent="0.2">
      <c r="A111" s="193"/>
      <c r="B111" s="175"/>
      <c r="C111" s="111"/>
      <c r="D111" s="111"/>
      <c r="E111" s="9"/>
      <c r="F111" s="111"/>
      <c r="G111" s="111"/>
      <c r="H111" s="9"/>
      <c r="I111" s="9"/>
      <c r="J111" s="111"/>
      <c r="K111" s="111"/>
      <c r="L111" s="187"/>
      <c r="M111" s="16"/>
      <c r="N111" s="15"/>
      <c r="O111" s="15"/>
      <c r="P111" s="16"/>
      <c r="Q111" s="174"/>
      <c r="R111" s="174"/>
      <c r="S111" s="59"/>
      <c r="T111" s="59"/>
      <c r="U111" s="174"/>
      <c r="V111" s="174"/>
      <c r="W111" s="174"/>
      <c r="X111" s="59"/>
      <c r="Y111" s="59"/>
      <c r="Z111" s="92"/>
    </row>
    <row r="112" spans="1:26" ht="16.5" customHeight="1" x14ac:dyDescent="0.2">
      <c r="A112" s="193"/>
      <c r="B112" s="175"/>
      <c r="C112" s="111"/>
      <c r="D112" s="111"/>
      <c r="E112" s="9"/>
      <c r="F112" s="111"/>
      <c r="G112" s="111"/>
      <c r="H112" s="9"/>
      <c r="I112" s="9"/>
      <c r="J112" s="111"/>
      <c r="K112" s="111"/>
      <c r="L112" s="187"/>
      <c r="M112" s="16"/>
      <c r="N112" s="15"/>
      <c r="O112" s="15"/>
      <c r="P112" s="16"/>
      <c r="Q112" s="174"/>
      <c r="R112" s="174"/>
      <c r="S112" s="59"/>
      <c r="T112" s="59"/>
      <c r="U112" s="174"/>
      <c r="V112" s="174"/>
      <c r="W112" s="174"/>
      <c r="X112" s="59"/>
      <c r="Y112" s="59"/>
      <c r="Z112" s="92"/>
    </row>
    <row r="113" spans="1:26" ht="16.5" customHeight="1" x14ac:dyDescent="0.2">
      <c r="A113" s="193"/>
      <c r="B113" s="175"/>
      <c r="C113" s="111"/>
      <c r="D113" s="111"/>
      <c r="E113" s="9"/>
      <c r="F113" s="111"/>
      <c r="G113" s="111"/>
      <c r="H113" s="9"/>
      <c r="I113" s="9"/>
      <c r="J113" s="111"/>
      <c r="K113" s="111"/>
      <c r="L113" s="187"/>
      <c r="M113" s="16"/>
      <c r="N113" s="15"/>
      <c r="O113" s="15"/>
      <c r="P113" s="16"/>
      <c r="Q113" s="174"/>
      <c r="R113" s="174"/>
      <c r="S113" s="59"/>
      <c r="T113" s="59"/>
      <c r="U113" s="174"/>
      <c r="V113" s="174"/>
      <c r="W113" s="174"/>
      <c r="X113" s="59"/>
      <c r="Y113" s="59"/>
      <c r="Z113" s="92"/>
    </row>
    <row r="114" spans="1:26" ht="16.5" customHeight="1" x14ac:dyDescent="0.2">
      <c r="A114" s="193"/>
      <c r="B114" s="175"/>
      <c r="C114" s="111"/>
      <c r="D114" s="111"/>
      <c r="E114" s="9"/>
      <c r="F114" s="111"/>
      <c r="G114" s="111"/>
      <c r="H114" s="9"/>
      <c r="I114" s="9"/>
      <c r="J114" s="111"/>
      <c r="K114" s="111"/>
      <c r="L114" s="187"/>
      <c r="M114" s="16"/>
      <c r="N114" s="15"/>
      <c r="O114" s="15"/>
      <c r="P114" s="16"/>
      <c r="Q114" s="174"/>
      <c r="R114" s="174"/>
      <c r="S114" s="59"/>
      <c r="T114" s="59"/>
      <c r="U114" s="174"/>
      <c r="V114" s="174"/>
      <c r="W114" s="174"/>
      <c r="X114" s="59"/>
      <c r="Y114" s="59"/>
      <c r="Z114" s="92"/>
    </row>
    <row r="115" spans="1:26" ht="16.5" customHeight="1" x14ac:dyDescent="0.2">
      <c r="A115" s="193"/>
      <c r="B115" s="175"/>
      <c r="C115" s="111"/>
      <c r="D115" s="111"/>
      <c r="E115" s="9"/>
      <c r="F115" s="111"/>
      <c r="G115" s="111"/>
      <c r="H115" s="9"/>
      <c r="I115" s="9"/>
      <c r="J115" s="111"/>
      <c r="K115" s="111"/>
      <c r="L115" s="187"/>
      <c r="M115" s="16"/>
      <c r="N115" s="15"/>
      <c r="O115" s="15"/>
      <c r="P115" s="16"/>
      <c r="Q115" s="174"/>
      <c r="R115" s="174"/>
      <c r="S115" s="59"/>
      <c r="T115" s="59"/>
      <c r="U115" s="174"/>
      <c r="V115" s="174"/>
      <c r="W115" s="174"/>
      <c r="X115" s="59"/>
      <c r="Y115" s="59"/>
      <c r="Z115" s="92"/>
    </row>
    <row r="116" spans="1:26" ht="16.5" customHeight="1" x14ac:dyDescent="0.2">
      <c r="A116" s="193"/>
      <c r="B116" s="175"/>
      <c r="C116" s="111"/>
      <c r="D116" s="111"/>
      <c r="E116" s="9"/>
      <c r="F116" s="111"/>
      <c r="G116" s="111"/>
      <c r="H116" s="9"/>
      <c r="I116" s="9"/>
      <c r="J116" s="111"/>
      <c r="K116" s="111"/>
      <c r="L116" s="187"/>
      <c r="M116" s="16"/>
      <c r="N116" s="15"/>
      <c r="O116" s="15"/>
      <c r="P116" s="16"/>
      <c r="Q116" s="174"/>
      <c r="R116" s="174"/>
      <c r="S116" s="59"/>
      <c r="T116" s="59"/>
      <c r="U116" s="174"/>
      <c r="V116" s="174"/>
      <c r="W116" s="174"/>
      <c r="X116" s="59"/>
      <c r="Y116" s="59"/>
      <c r="Z116" s="92"/>
    </row>
    <row r="117" spans="1:26" ht="16.5" customHeight="1" x14ac:dyDescent="0.2">
      <c r="A117" s="193"/>
      <c r="B117" s="175"/>
      <c r="C117" s="111"/>
      <c r="D117" s="111"/>
      <c r="E117" s="9"/>
      <c r="F117" s="111"/>
      <c r="G117" s="111"/>
      <c r="H117" s="9"/>
      <c r="I117" s="9"/>
      <c r="J117" s="111"/>
      <c r="K117" s="111"/>
      <c r="L117" s="187"/>
      <c r="M117" s="16"/>
      <c r="N117" s="15"/>
      <c r="O117" s="15"/>
      <c r="P117" s="16"/>
      <c r="Q117" s="174"/>
      <c r="R117" s="174"/>
      <c r="S117" s="59"/>
      <c r="T117" s="59"/>
      <c r="U117" s="174"/>
      <c r="V117" s="174"/>
      <c r="W117" s="174"/>
      <c r="X117" s="59"/>
      <c r="Y117" s="59"/>
      <c r="Z117" s="92"/>
    </row>
    <row r="118" spans="1:26" ht="16.5" customHeight="1" x14ac:dyDescent="0.2">
      <c r="A118" s="193"/>
      <c r="B118" s="175"/>
      <c r="C118" s="111"/>
      <c r="D118" s="111"/>
      <c r="E118" s="9"/>
      <c r="F118" s="111"/>
      <c r="G118" s="111"/>
      <c r="H118" s="9"/>
      <c r="I118" s="9"/>
      <c r="J118" s="111"/>
      <c r="K118" s="111"/>
      <c r="L118" s="187"/>
      <c r="M118" s="16"/>
      <c r="N118" s="15"/>
      <c r="O118" s="15"/>
      <c r="P118" s="16"/>
      <c r="Q118" s="174"/>
      <c r="R118" s="174"/>
      <c r="S118" s="59"/>
      <c r="T118" s="59"/>
      <c r="U118" s="174"/>
      <c r="V118" s="174"/>
      <c r="W118" s="174"/>
      <c r="X118" s="59"/>
      <c r="Y118" s="59"/>
      <c r="Z118" s="92"/>
    </row>
    <row r="119" spans="1:26" ht="16.5" customHeight="1" x14ac:dyDescent="0.2">
      <c r="A119" s="193"/>
      <c r="B119" s="175"/>
      <c r="C119" s="111"/>
      <c r="D119" s="111"/>
      <c r="E119" s="9"/>
      <c r="F119" s="111"/>
      <c r="G119" s="111"/>
      <c r="H119" s="9"/>
      <c r="I119" s="9"/>
      <c r="J119" s="111"/>
      <c r="K119" s="111"/>
      <c r="L119" s="187"/>
      <c r="M119" s="16"/>
      <c r="N119" s="15"/>
      <c r="O119" s="15"/>
      <c r="P119" s="16"/>
      <c r="Q119" s="174"/>
      <c r="R119" s="174"/>
      <c r="S119" s="59"/>
      <c r="T119" s="59"/>
      <c r="U119" s="174"/>
      <c r="V119" s="174"/>
      <c r="W119" s="174"/>
      <c r="X119" s="59"/>
      <c r="Y119" s="59"/>
      <c r="Z119" s="92"/>
    </row>
    <row r="120" spans="1:26" ht="16.5" customHeight="1" x14ac:dyDescent="0.2">
      <c r="A120" s="193"/>
      <c r="B120" s="175"/>
      <c r="C120" s="111"/>
      <c r="D120" s="111"/>
      <c r="E120" s="9"/>
      <c r="F120" s="111"/>
      <c r="G120" s="111"/>
      <c r="H120" s="9"/>
      <c r="I120" s="9"/>
      <c r="J120" s="111"/>
      <c r="K120" s="111"/>
      <c r="L120" s="187"/>
      <c r="M120" s="16"/>
      <c r="N120" s="15"/>
      <c r="O120" s="15"/>
      <c r="P120" s="16"/>
      <c r="Q120" s="174"/>
      <c r="R120" s="174"/>
      <c r="S120" s="59"/>
      <c r="T120" s="59"/>
      <c r="U120" s="174"/>
      <c r="V120" s="174"/>
      <c r="W120" s="174"/>
      <c r="X120" s="59"/>
      <c r="Y120" s="59"/>
      <c r="Z120" s="92"/>
    </row>
    <row r="121" spans="1:26" ht="16.5" customHeight="1" x14ac:dyDescent="0.2">
      <c r="A121" s="193"/>
      <c r="B121" s="175"/>
      <c r="C121" s="111"/>
      <c r="D121" s="111"/>
      <c r="E121" s="9"/>
      <c r="F121" s="111"/>
      <c r="G121" s="111"/>
      <c r="H121" s="9"/>
      <c r="I121" s="9"/>
      <c r="J121" s="111"/>
      <c r="K121" s="111"/>
      <c r="L121" s="187"/>
      <c r="M121" s="16"/>
      <c r="N121" s="15"/>
      <c r="O121" s="15"/>
      <c r="P121" s="16"/>
      <c r="Q121" s="174"/>
      <c r="R121" s="174"/>
      <c r="S121" s="59"/>
      <c r="T121" s="59"/>
      <c r="U121" s="174"/>
      <c r="V121" s="174"/>
      <c r="W121" s="174"/>
      <c r="X121" s="59"/>
      <c r="Y121" s="59"/>
      <c r="Z121" s="92"/>
    </row>
    <row r="122" spans="1:26" ht="16.5" customHeight="1" x14ac:dyDescent="0.2">
      <c r="A122" s="193"/>
      <c r="B122" s="175"/>
      <c r="C122" s="111"/>
      <c r="D122" s="111"/>
      <c r="E122" s="9"/>
      <c r="F122" s="111"/>
      <c r="G122" s="111"/>
      <c r="H122" s="9"/>
      <c r="I122" s="9"/>
      <c r="J122" s="111"/>
      <c r="K122" s="111"/>
      <c r="L122" s="187"/>
      <c r="M122" s="16"/>
      <c r="N122" s="15"/>
      <c r="O122" s="15"/>
      <c r="P122" s="16"/>
      <c r="Q122" s="174"/>
      <c r="R122" s="174"/>
      <c r="S122" s="59"/>
      <c r="T122" s="59"/>
      <c r="U122" s="174"/>
      <c r="V122" s="174"/>
      <c r="W122" s="174"/>
      <c r="X122" s="59"/>
      <c r="Y122" s="59"/>
      <c r="Z122" s="92"/>
    </row>
    <row r="123" spans="1:26" ht="16.5" customHeight="1" x14ac:dyDescent="0.2">
      <c r="A123" s="193"/>
      <c r="B123" s="175"/>
      <c r="C123" s="111"/>
      <c r="D123" s="111"/>
      <c r="E123" s="9"/>
      <c r="F123" s="111"/>
      <c r="G123" s="111"/>
      <c r="H123" s="9"/>
      <c r="I123" s="9"/>
      <c r="J123" s="111"/>
      <c r="K123" s="111"/>
      <c r="L123" s="187"/>
      <c r="M123" s="16"/>
      <c r="N123" s="15"/>
      <c r="O123" s="15"/>
      <c r="P123" s="16"/>
      <c r="Q123" s="174"/>
      <c r="R123" s="174"/>
      <c r="S123" s="59"/>
      <c r="T123" s="59"/>
      <c r="U123" s="174"/>
      <c r="V123" s="174"/>
      <c r="W123" s="174"/>
      <c r="X123" s="59"/>
      <c r="Y123" s="59"/>
      <c r="Z123" s="92"/>
    </row>
    <row r="124" spans="1:26" ht="16.5" customHeight="1" x14ac:dyDescent="0.2">
      <c r="A124" s="193"/>
      <c r="B124" s="175"/>
      <c r="C124" s="111"/>
      <c r="D124" s="111"/>
      <c r="E124" s="9"/>
      <c r="F124" s="111"/>
      <c r="G124" s="111"/>
      <c r="H124" s="9"/>
      <c r="I124" s="9"/>
      <c r="J124" s="111"/>
      <c r="K124" s="111"/>
      <c r="L124" s="187"/>
      <c r="M124" s="16"/>
      <c r="N124" s="15"/>
      <c r="O124" s="15"/>
      <c r="P124" s="16"/>
      <c r="Q124" s="174"/>
      <c r="R124" s="174"/>
      <c r="S124" s="59"/>
      <c r="T124" s="59"/>
      <c r="U124" s="174"/>
      <c r="V124" s="174"/>
      <c r="W124" s="174"/>
      <c r="X124" s="59"/>
      <c r="Y124" s="59"/>
      <c r="Z124" s="92"/>
    </row>
    <row r="125" spans="1:26" ht="16.5" customHeight="1" x14ac:dyDescent="0.2">
      <c r="A125" s="193"/>
      <c r="B125" s="175"/>
      <c r="C125" s="111"/>
      <c r="D125" s="111"/>
      <c r="E125" s="9"/>
      <c r="F125" s="111"/>
      <c r="G125" s="111"/>
      <c r="H125" s="9"/>
      <c r="I125" s="9"/>
      <c r="J125" s="111"/>
      <c r="K125" s="111"/>
      <c r="L125" s="187"/>
      <c r="M125" s="16"/>
      <c r="N125" s="15"/>
      <c r="O125" s="15"/>
      <c r="P125" s="16"/>
      <c r="Q125" s="174"/>
      <c r="R125" s="174"/>
      <c r="S125" s="59"/>
      <c r="T125" s="59"/>
      <c r="U125" s="174"/>
      <c r="V125" s="174"/>
      <c r="W125" s="174"/>
      <c r="X125" s="59"/>
      <c r="Y125" s="59"/>
      <c r="Z125" s="92"/>
    </row>
    <row r="126" spans="1:26" ht="16.5" customHeight="1" x14ac:dyDescent="0.2">
      <c r="A126" s="193"/>
      <c r="B126" s="175"/>
      <c r="C126" s="111"/>
      <c r="D126" s="111"/>
      <c r="E126" s="9"/>
      <c r="F126" s="111"/>
      <c r="G126" s="111"/>
      <c r="H126" s="9"/>
      <c r="I126" s="9"/>
      <c r="J126" s="111"/>
      <c r="K126" s="111"/>
      <c r="L126" s="187"/>
      <c r="M126" s="16"/>
      <c r="N126" s="15"/>
      <c r="O126" s="15"/>
      <c r="P126" s="16"/>
      <c r="Q126" s="174"/>
      <c r="R126" s="174"/>
      <c r="S126" s="59"/>
      <c r="T126" s="59"/>
      <c r="U126" s="174"/>
      <c r="V126" s="174"/>
      <c r="W126" s="174"/>
      <c r="X126" s="59"/>
      <c r="Y126" s="59"/>
      <c r="Z126" s="92"/>
    </row>
    <row r="127" spans="1:26" ht="16.5" customHeight="1" x14ac:dyDescent="0.2">
      <c r="A127" s="193"/>
      <c r="B127" s="175"/>
      <c r="C127" s="111"/>
      <c r="D127" s="111"/>
      <c r="E127" s="9"/>
      <c r="F127" s="111"/>
      <c r="G127" s="111"/>
      <c r="H127" s="9"/>
      <c r="I127" s="9"/>
      <c r="J127" s="111"/>
      <c r="K127" s="111"/>
      <c r="L127" s="187"/>
      <c r="M127" s="16"/>
      <c r="N127" s="15"/>
      <c r="O127" s="15"/>
      <c r="P127" s="16"/>
      <c r="Q127" s="174"/>
      <c r="R127" s="174"/>
      <c r="S127" s="59"/>
      <c r="T127" s="59"/>
      <c r="U127" s="174"/>
      <c r="V127" s="174"/>
      <c r="W127" s="174"/>
      <c r="X127" s="59"/>
      <c r="Y127" s="59"/>
      <c r="Z127" s="92"/>
    </row>
    <row r="128" spans="1:26" ht="16.5" customHeight="1" x14ac:dyDescent="0.2">
      <c r="A128" s="193"/>
      <c r="B128" s="175"/>
      <c r="C128" s="111"/>
      <c r="D128" s="111"/>
      <c r="E128" s="9"/>
      <c r="F128" s="111"/>
      <c r="G128" s="111"/>
      <c r="H128" s="9"/>
      <c r="I128" s="9"/>
      <c r="J128" s="111"/>
      <c r="K128" s="111"/>
      <c r="L128" s="187"/>
      <c r="M128" s="16"/>
      <c r="N128" s="15"/>
      <c r="O128" s="15"/>
      <c r="P128" s="16"/>
      <c r="Q128" s="174"/>
      <c r="R128" s="174"/>
      <c r="S128" s="59"/>
      <c r="T128" s="59"/>
      <c r="U128" s="174"/>
      <c r="V128" s="174"/>
      <c r="W128" s="174"/>
      <c r="X128" s="59"/>
      <c r="Y128" s="59"/>
      <c r="Z128" s="92"/>
    </row>
    <row r="129" spans="1:26" ht="16.5" customHeight="1" x14ac:dyDescent="0.2">
      <c r="A129" s="193"/>
      <c r="B129" s="175"/>
      <c r="C129" s="111"/>
      <c r="D129" s="111"/>
      <c r="E129" s="9"/>
      <c r="F129" s="111"/>
      <c r="G129" s="111"/>
      <c r="H129" s="9"/>
      <c r="I129" s="9"/>
      <c r="J129" s="111"/>
      <c r="K129" s="111"/>
      <c r="L129" s="187"/>
      <c r="M129" s="16"/>
      <c r="N129" s="15"/>
      <c r="O129" s="15"/>
      <c r="P129" s="16"/>
      <c r="Q129" s="174"/>
      <c r="R129" s="174"/>
      <c r="S129" s="59"/>
      <c r="T129" s="59"/>
      <c r="U129" s="174"/>
      <c r="V129" s="174"/>
      <c r="W129" s="174"/>
      <c r="X129" s="59"/>
      <c r="Y129" s="59"/>
      <c r="Z129" s="92"/>
    </row>
    <row r="130" spans="1:26" ht="16.5" customHeight="1" x14ac:dyDescent="0.2">
      <c r="A130" s="193"/>
      <c r="B130" s="175"/>
      <c r="C130" s="111"/>
      <c r="D130" s="111"/>
      <c r="E130" s="9"/>
      <c r="F130" s="111"/>
      <c r="G130" s="111"/>
      <c r="H130" s="9"/>
      <c r="I130" s="9"/>
      <c r="J130" s="111"/>
      <c r="K130" s="111"/>
      <c r="L130" s="187"/>
      <c r="M130" s="16"/>
      <c r="N130" s="15"/>
      <c r="O130" s="15"/>
      <c r="P130" s="16"/>
      <c r="Q130" s="174"/>
      <c r="R130" s="174"/>
      <c r="S130" s="59"/>
      <c r="T130" s="59"/>
      <c r="U130" s="174"/>
      <c r="V130" s="174"/>
      <c r="W130" s="174"/>
      <c r="X130" s="59"/>
      <c r="Y130" s="59"/>
      <c r="Z130" s="92"/>
    </row>
    <row r="131" spans="1:26" ht="16.5" customHeight="1" x14ac:dyDescent="0.2">
      <c r="A131" s="193"/>
      <c r="B131" s="175"/>
      <c r="C131" s="111"/>
      <c r="D131" s="111"/>
      <c r="E131" s="9"/>
      <c r="F131" s="111"/>
      <c r="G131" s="111"/>
      <c r="H131" s="9"/>
      <c r="I131" s="9"/>
      <c r="J131" s="111"/>
      <c r="K131" s="111"/>
      <c r="L131" s="187"/>
      <c r="M131" s="16"/>
      <c r="N131" s="15"/>
      <c r="O131" s="15"/>
      <c r="P131" s="16"/>
      <c r="Q131" s="174"/>
      <c r="R131" s="174"/>
      <c r="S131" s="59"/>
      <c r="T131" s="59"/>
      <c r="U131" s="174"/>
      <c r="V131" s="174"/>
      <c r="W131" s="174"/>
      <c r="X131" s="59"/>
      <c r="Y131" s="59"/>
      <c r="Z131" s="92"/>
    </row>
    <row r="132" spans="1:26" ht="16.5" customHeight="1" x14ac:dyDescent="0.2">
      <c r="A132" s="193"/>
      <c r="B132" s="175"/>
      <c r="C132" s="111"/>
      <c r="D132" s="111"/>
      <c r="E132" s="9"/>
      <c r="F132" s="111"/>
      <c r="G132" s="111"/>
      <c r="H132" s="9"/>
      <c r="I132" s="9"/>
      <c r="J132" s="111"/>
      <c r="K132" s="111"/>
      <c r="L132" s="187"/>
      <c r="M132" s="16"/>
      <c r="N132" s="15"/>
      <c r="O132" s="15"/>
      <c r="P132" s="16"/>
      <c r="Q132" s="174"/>
      <c r="R132" s="174"/>
      <c r="S132" s="59"/>
      <c r="T132" s="59"/>
      <c r="U132" s="174"/>
      <c r="V132" s="174"/>
      <c r="W132" s="174"/>
      <c r="X132" s="59"/>
      <c r="Y132" s="59"/>
      <c r="Z132" s="92"/>
    </row>
    <row r="133" spans="1:26" ht="16.5" customHeight="1" x14ac:dyDescent="0.2">
      <c r="A133" s="193"/>
      <c r="B133" s="175"/>
      <c r="C133" s="111"/>
      <c r="D133" s="111"/>
      <c r="E133" s="9"/>
      <c r="F133" s="111"/>
      <c r="G133" s="111"/>
      <c r="H133" s="9"/>
      <c r="I133" s="9"/>
      <c r="J133" s="111"/>
      <c r="K133" s="111"/>
      <c r="L133" s="187"/>
      <c r="M133" s="16"/>
      <c r="N133" s="15"/>
      <c r="O133" s="15"/>
      <c r="P133" s="16"/>
      <c r="Q133" s="174"/>
      <c r="R133" s="174"/>
      <c r="S133" s="59"/>
      <c r="T133" s="59"/>
      <c r="U133" s="174"/>
      <c r="V133" s="174"/>
      <c r="W133" s="174"/>
      <c r="X133" s="59"/>
      <c r="Y133" s="59"/>
      <c r="Z133" s="92"/>
    </row>
    <row r="134" spans="1:26" ht="16.5" customHeight="1" x14ac:dyDescent="0.2">
      <c r="A134" s="193"/>
      <c r="B134" s="175"/>
      <c r="C134" s="111"/>
      <c r="D134" s="111"/>
      <c r="E134" s="9"/>
      <c r="F134" s="111"/>
      <c r="G134" s="111"/>
      <c r="H134" s="9"/>
      <c r="I134" s="9"/>
      <c r="J134" s="111"/>
      <c r="K134" s="111"/>
      <c r="L134" s="187"/>
      <c r="M134" s="16"/>
      <c r="N134" s="15"/>
      <c r="O134" s="15"/>
      <c r="P134" s="16"/>
      <c r="Q134" s="174"/>
      <c r="R134" s="174"/>
      <c r="S134" s="59"/>
      <c r="T134" s="59"/>
      <c r="U134" s="174"/>
      <c r="V134" s="174"/>
      <c r="W134" s="174"/>
      <c r="X134" s="59"/>
      <c r="Y134" s="59"/>
      <c r="Z134" s="92"/>
    </row>
    <row r="135" spans="1:26" ht="16.5" customHeight="1" x14ac:dyDescent="0.2">
      <c r="A135" s="193"/>
      <c r="B135" s="175"/>
      <c r="C135" s="111"/>
      <c r="D135" s="111"/>
      <c r="E135" s="9"/>
      <c r="F135" s="111"/>
      <c r="G135" s="111"/>
      <c r="H135" s="9"/>
      <c r="I135" s="9"/>
      <c r="J135" s="111"/>
      <c r="K135" s="111"/>
      <c r="L135" s="187"/>
      <c r="M135" s="16"/>
      <c r="N135" s="15"/>
      <c r="O135" s="15"/>
      <c r="P135" s="16"/>
      <c r="Q135" s="174"/>
      <c r="R135" s="174"/>
      <c r="S135" s="59"/>
      <c r="T135" s="59"/>
      <c r="U135" s="174"/>
      <c r="V135" s="174"/>
      <c r="W135" s="174"/>
      <c r="X135" s="59"/>
      <c r="Y135" s="59"/>
      <c r="Z135" s="92"/>
    </row>
    <row r="136" spans="1:26" ht="16.5" customHeight="1" x14ac:dyDescent="0.2">
      <c r="A136" s="193"/>
      <c r="B136" s="175"/>
      <c r="C136" s="111"/>
      <c r="D136" s="111"/>
      <c r="E136" s="9"/>
      <c r="F136" s="111"/>
      <c r="G136" s="111"/>
      <c r="H136" s="9"/>
      <c r="I136" s="9"/>
      <c r="J136" s="111"/>
      <c r="K136" s="111"/>
      <c r="L136" s="187"/>
      <c r="M136" s="16"/>
      <c r="N136" s="15"/>
      <c r="O136" s="15"/>
      <c r="P136" s="16"/>
      <c r="Q136" s="174"/>
      <c r="R136" s="174"/>
      <c r="S136" s="59"/>
      <c r="T136" s="59"/>
      <c r="U136" s="174"/>
      <c r="V136" s="174"/>
      <c r="W136" s="174"/>
      <c r="X136" s="59"/>
      <c r="Y136" s="59"/>
      <c r="Z136" s="92"/>
    </row>
    <row r="137" spans="1:26" ht="16.5" customHeight="1" x14ac:dyDescent="0.2">
      <c r="A137" s="193"/>
      <c r="B137" s="175"/>
      <c r="C137" s="111"/>
      <c r="D137" s="111"/>
      <c r="E137" s="9"/>
      <c r="F137" s="111"/>
      <c r="G137" s="111"/>
      <c r="H137" s="9"/>
      <c r="I137" s="9"/>
      <c r="J137" s="111"/>
      <c r="K137" s="111"/>
      <c r="L137" s="187"/>
      <c r="M137" s="16"/>
      <c r="N137" s="15"/>
      <c r="O137" s="15"/>
      <c r="P137" s="16"/>
      <c r="Q137" s="174"/>
      <c r="R137" s="174"/>
      <c r="S137" s="59"/>
      <c r="T137" s="59"/>
      <c r="U137" s="174"/>
      <c r="V137" s="174"/>
      <c r="W137" s="174"/>
      <c r="X137" s="59"/>
      <c r="Y137" s="59"/>
      <c r="Z137" s="92"/>
    </row>
    <row r="138" spans="1:26" ht="16.5" customHeight="1" x14ac:dyDescent="0.2">
      <c r="A138" s="193"/>
      <c r="B138" s="175"/>
      <c r="C138" s="111"/>
      <c r="D138" s="111"/>
      <c r="E138" s="9"/>
      <c r="F138" s="111"/>
      <c r="G138" s="111"/>
      <c r="H138" s="9"/>
      <c r="I138" s="9"/>
      <c r="J138" s="111"/>
      <c r="K138" s="111"/>
      <c r="L138" s="187"/>
      <c r="M138" s="16"/>
      <c r="N138" s="15"/>
      <c r="O138" s="15"/>
      <c r="P138" s="16"/>
      <c r="Q138" s="174"/>
      <c r="R138" s="174"/>
      <c r="S138" s="59"/>
      <c r="T138" s="59"/>
      <c r="U138" s="174"/>
      <c r="V138" s="174"/>
      <c r="W138" s="174"/>
      <c r="X138" s="59"/>
      <c r="Y138" s="59"/>
      <c r="Z138" s="92"/>
    </row>
    <row r="139" spans="1:26" ht="16.5" customHeight="1" x14ac:dyDescent="0.2">
      <c r="A139" s="193"/>
      <c r="B139" s="175"/>
      <c r="C139" s="111"/>
      <c r="D139" s="111"/>
      <c r="E139" s="9"/>
      <c r="F139" s="111"/>
      <c r="G139" s="111"/>
      <c r="H139" s="9"/>
      <c r="I139" s="9"/>
      <c r="J139" s="111"/>
      <c r="K139" s="111"/>
      <c r="L139" s="187"/>
      <c r="M139" s="16"/>
      <c r="N139" s="15"/>
      <c r="O139" s="15"/>
      <c r="P139" s="16"/>
      <c r="Q139" s="174"/>
      <c r="R139" s="174"/>
      <c r="S139" s="59"/>
      <c r="T139" s="59"/>
      <c r="U139" s="174"/>
      <c r="V139" s="174"/>
      <c r="W139" s="174"/>
      <c r="X139" s="59"/>
      <c r="Y139" s="59"/>
      <c r="Z139" s="92"/>
    </row>
    <row r="140" spans="1:26" ht="16.5" customHeight="1" x14ac:dyDescent="0.2">
      <c r="A140" s="193"/>
      <c r="B140" s="175"/>
      <c r="C140" s="111"/>
      <c r="D140" s="111"/>
      <c r="E140" s="9"/>
      <c r="F140" s="111"/>
      <c r="G140" s="111"/>
      <c r="H140" s="9"/>
      <c r="I140" s="9"/>
      <c r="J140" s="111"/>
      <c r="K140" s="111"/>
      <c r="L140" s="187"/>
      <c r="M140" s="16"/>
      <c r="N140" s="15"/>
      <c r="O140" s="15"/>
      <c r="P140" s="16"/>
      <c r="Q140" s="174"/>
      <c r="R140" s="174"/>
      <c r="S140" s="59"/>
      <c r="T140" s="59"/>
      <c r="U140" s="174"/>
      <c r="V140" s="174"/>
      <c r="W140" s="174"/>
      <c r="X140" s="59"/>
      <c r="Y140" s="59"/>
      <c r="Z140" s="92"/>
    </row>
    <row r="141" spans="1:26" ht="16.5" customHeight="1" x14ac:dyDescent="0.2">
      <c r="A141" s="193"/>
      <c r="B141" s="175"/>
      <c r="C141" s="111"/>
      <c r="D141" s="111"/>
      <c r="E141" s="9"/>
      <c r="F141" s="111"/>
      <c r="G141" s="111"/>
      <c r="H141" s="9"/>
      <c r="I141" s="9"/>
      <c r="J141" s="111"/>
      <c r="K141" s="111"/>
      <c r="L141" s="187"/>
      <c r="M141" s="16"/>
      <c r="N141" s="15"/>
      <c r="O141" s="15"/>
      <c r="P141" s="16"/>
      <c r="Q141" s="174"/>
      <c r="R141" s="174"/>
      <c r="S141" s="59"/>
      <c r="T141" s="59"/>
      <c r="U141" s="174"/>
      <c r="V141" s="174"/>
      <c r="W141" s="174"/>
      <c r="X141" s="59"/>
      <c r="Y141" s="59"/>
      <c r="Z141" s="92"/>
    </row>
    <row r="142" spans="1:26" ht="16.5" customHeight="1" x14ac:dyDescent="0.2">
      <c r="A142" s="193"/>
      <c r="B142" s="175"/>
      <c r="C142" s="111"/>
      <c r="D142" s="111"/>
      <c r="E142" s="9"/>
      <c r="F142" s="111"/>
      <c r="G142" s="111"/>
      <c r="H142" s="9"/>
      <c r="I142" s="9"/>
      <c r="J142" s="111"/>
      <c r="K142" s="111"/>
      <c r="L142" s="187"/>
      <c r="M142" s="16"/>
      <c r="N142" s="15"/>
      <c r="O142" s="15"/>
      <c r="P142" s="16"/>
      <c r="Q142" s="174"/>
      <c r="R142" s="174"/>
      <c r="S142" s="59"/>
      <c r="T142" s="59"/>
      <c r="U142" s="174"/>
      <c r="V142" s="174"/>
      <c r="W142" s="174"/>
      <c r="X142" s="59"/>
      <c r="Y142" s="59"/>
      <c r="Z142" s="92"/>
    </row>
    <row r="143" spans="1:26" ht="16.5" customHeight="1" x14ac:dyDescent="0.2">
      <c r="A143" s="193"/>
      <c r="B143" s="175"/>
      <c r="C143" s="111"/>
      <c r="D143" s="111"/>
      <c r="E143" s="9"/>
      <c r="F143" s="111"/>
      <c r="G143" s="111"/>
      <c r="H143" s="9"/>
      <c r="I143" s="9"/>
      <c r="J143" s="111"/>
      <c r="K143" s="111"/>
      <c r="L143" s="187"/>
      <c r="M143" s="16"/>
      <c r="N143" s="15"/>
      <c r="O143" s="15"/>
      <c r="P143" s="16"/>
      <c r="Q143" s="174"/>
      <c r="R143" s="174"/>
      <c r="S143" s="59"/>
      <c r="T143" s="59"/>
      <c r="U143" s="174"/>
      <c r="V143" s="174"/>
      <c r="W143" s="174"/>
      <c r="X143" s="59"/>
      <c r="Y143" s="59"/>
      <c r="Z143" s="92"/>
    </row>
    <row r="144" spans="1:26" ht="16.5" customHeight="1" x14ac:dyDescent="0.2">
      <c r="A144" s="193"/>
      <c r="B144" s="175"/>
      <c r="C144" s="111"/>
      <c r="D144" s="111"/>
      <c r="E144" s="9"/>
      <c r="F144" s="111"/>
      <c r="G144" s="111"/>
      <c r="H144" s="9"/>
      <c r="I144" s="9"/>
      <c r="J144" s="111"/>
      <c r="K144" s="111"/>
      <c r="L144" s="187"/>
      <c r="M144" s="16"/>
      <c r="N144" s="15"/>
      <c r="O144" s="15"/>
      <c r="P144" s="16"/>
      <c r="Q144" s="174"/>
      <c r="R144" s="174"/>
      <c r="S144" s="59"/>
      <c r="T144" s="59"/>
      <c r="U144" s="174"/>
      <c r="V144" s="174"/>
      <c r="W144" s="174"/>
      <c r="X144" s="59"/>
      <c r="Y144" s="59"/>
      <c r="Z144" s="92"/>
    </row>
    <row r="145" spans="1:26" ht="16.5" customHeight="1" x14ac:dyDescent="0.2">
      <c r="A145" s="193"/>
      <c r="B145" s="175"/>
      <c r="C145" s="111"/>
      <c r="D145" s="111"/>
      <c r="E145" s="9"/>
      <c r="F145" s="111"/>
      <c r="G145" s="111"/>
      <c r="H145" s="9"/>
      <c r="I145" s="9"/>
      <c r="J145" s="111"/>
      <c r="K145" s="111"/>
      <c r="L145" s="187"/>
      <c r="M145" s="16"/>
      <c r="N145" s="15"/>
      <c r="O145" s="15"/>
      <c r="P145" s="16"/>
      <c r="Q145" s="174"/>
      <c r="R145" s="174"/>
      <c r="S145" s="59"/>
      <c r="T145" s="59"/>
      <c r="U145" s="174"/>
      <c r="V145" s="174"/>
      <c r="W145" s="174"/>
      <c r="X145" s="59"/>
      <c r="Y145" s="59"/>
      <c r="Z145" s="92"/>
    </row>
    <row r="146" spans="1:26" ht="16.5" customHeight="1" x14ac:dyDescent="0.2">
      <c r="A146" s="193"/>
      <c r="B146" s="175"/>
      <c r="C146" s="111"/>
      <c r="D146" s="111"/>
      <c r="E146" s="9"/>
      <c r="F146" s="111"/>
      <c r="G146" s="111"/>
      <c r="H146" s="9"/>
      <c r="I146" s="9"/>
      <c r="J146" s="111"/>
      <c r="K146" s="111"/>
      <c r="L146" s="187"/>
      <c r="M146" s="16"/>
      <c r="N146" s="15"/>
      <c r="O146" s="15"/>
      <c r="P146" s="16"/>
      <c r="Q146" s="174"/>
      <c r="R146" s="174"/>
      <c r="S146" s="59"/>
      <c r="T146" s="59"/>
      <c r="U146" s="174"/>
      <c r="V146" s="174"/>
      <c r="W146" s="174"/>
      <c r="X146" s="59"/>
      <c r="Y146" s="59"/>
      <c r="Z146" s="92"/>
    </row>
    <row r="147" spans="1:26" ht="16.5" customHeight="1" x14ac:dyDescent="0.2">
      <c r="A147" s="193"/>
      <c r="B147" s="175"/>
      <c r="C147" s="111"/>
      <c r="D147" s="111"/>
      <c r="E147" s="9"/>
      <c r="F147" s="111"/>
      <c r="G147" s="111"/>
      <c r="H147" s="9"/>
      <c r="I147" s="9"/>
      <c r="J147" s="111"/>
      <c r="K147" s="111"/>
      <c r="L147" s="187"/>
      <c r="M147" s="16"/>
      <c r="N147" s="15"/>
      <c r="O147" s="15"/>
      <c r="P147" s="16"/>
      <c r="Q147" s="174"/>
      <c r="R147" s="174"/>
      <c r="S147" s="59"/>
      <c r="T147" s="59"/>
      <c r="U147" s="174"/>
      <c r="V147" s="174"/>
      <c r="W147" s="174"/>
      <c r="X147" s="59"/>
      <c r="Y147" s="59"/>
      <c r="Z147" s="92"/>
    </row>
    <row r="148" spans="1:26" ht="16.5" customHeight="1" x14ac:dyDescent="0.2">
      <c r="A148" s="193"/>
      <c r="B148" s="175"/>
      <c r="C148" s="111"/>
      <c r="D148" s="111"/>
      <c r="E148" s="9"/>
      <c r="F148" s="111"/>
      <c r="G148" s="111"/>
      <c r="H148" s="9"/>
      <c r="I148" s="9"/>
      <c r="J148" s="111"/>
      <c r="K148" s="111"/>
      <c r="L148" s="187"/>
      <c r="M148" s="16"/>
      <c r="N148" s="15"/>
      <c r="O148" s="15"/>
      <c r="P148" s="16"/>
      <c r="Q148" s="174"/>
      <c r="R148" s="174"/>
      <c r="S148" s="59"/>
      <c r="T148" s="59"/>
      <c r="U148" s="174"/>
      <c r="V148" s="174"/>
      <c r="W148" s="174"/>
      <c r="X148" s="59"/>
      <c r="Y148" s="59"/>
      <c r="Z148" s="92"/>
    </row>
    <row r="149" spans="1:26" ht="16.5" customHeight="1" x14ac:dyDescent="0.2">
      <c r="A149" s="193"/>
      <c r="B149" s="175"/>
      <c r="C149" s="111"/>
      <c r="D149" s="111"/>
      <c r="E149" s="9"/>
      <c r="F149" s="111"/>
      <c r="G149" s="111"/>
      <c r="H149" s="9"/>
      <c r="I149" s="9"/>
      <c r="J149" s="111"/>
      <c r="K149" s="111"/>
      <c r="L149" s="187"/>
      <c r="M149" s="16"/>
      <c r="N149" s="15"/>
      <c r="O149" s="15"/>
      <c r="P149" s="16"/>
      <c r="Q149" s="174"/>
      <c r="R149" s="174"/>
      <c r="S149" s="59"/>
      <c r="T149" s="59"/>
      <c r="U149" s="174"/>
      <c r="V149" s="174"/>
      <c r="W149" s="174"/>
      <c r="X149" s="59"/>
      <c r="Y149" s="59"/>
      <c r="Z149" s="92"/>
    </row>
    <row r="150" spans="1:26" ht="16.5" customHeight="1" x14ac:dyDescent="0.2">
      <c r="A150" s="193"/>
      <c r="B150" s="175"/>
      <c r="C150" s="111"/>
      <c r="D150" s="111"/>
      <c r="E150" s="9"/>
      <c r="F150" s="111"/>
      <c r="G150" s="111"/>
      <c r="H150" s="9"/>
      <c r="I150" s="9"/>
      <c r="J150" s="111"/>
      <c r="K150" s="111"/>
      <c r="L150" s="187"/>
      <c r="M150" s="16"/>
      <c r="N150" s="15"/>
      <c r="O150" s="15"/>
      <c r="P150" s="16"/>
      <c r="Q150" s="174"/>
      <c r="R150" s="174"/>
      <c r="S150" s="59"/>
      <c r="T150" s="59"/>
      <c r="U150" s="174"/>
      <c r="V150" s="174"/>
      <c r="W150" s="174"/>
      <c r="X150" s="59"/>
      <c r="Y150" s="59"/>
      <c r="Z150" s="92"/>
    </row>
    <row r="151" spans="1:26" ht="16.5" customHeight="1" x14ac:dyDescent="0.2">
      <c r="A151" s="193"/>
      <c r="B151" s="175"/>
      <c r="C151" s="111"/>
      <c r="D151" s="111"/>
      <c r="E151" s="9"/>
      <c r="F151" s="111"/>
      <c r="G151" s="111"/>
      <c r="H151" s="9"/>
      <c r="I151" s="9"/>
      <c r="J151" s="111"/>
      <c r="K151" s="111"/>
      <c r="L151" s="187"/>
      <c r="M151" s="16"/>
      <c r="N151" s="15"/>
      <c r="O151" s="15"/>
      <c r="P151" s="16"/>
      <c r="Q151" s="174"/>
      <c r="R151" s="174"/>
      <c r="S151" s="59"/>
      <c r="T151" s="59"/>
      <c r="U151" s="174"/>
      <c r="V151" s="174"/>
      <c r="W151" s="174"/>
      <c r="X151" s="59"/>
      <c r="Y151" s="59"/>
      <c r="Z151" s="92"/>
    </row>
    <row r="152" spans="1:26" ht="16.5" customHeight="1" x14ac:dyDescent="0.2">
      <c r="A152" s="193"/>
      <c r="B152" s="175"/>
      <c r="C152" s="111"/>
      <c r="D152" s="111"/>
      <c r="E152" s="9"/>
      <c r="F152" s="111"/>
      <c r="G152" s="111"/>
      <c r="H152" s="9"/>
      <c r="I152" s="9"/>
      <c r="J152" s="111"/>
      <c r="K152" s="111"/>
      <c r="L152" s="187"/>
      <c r="M152" s="16"/>
      <c r="N152" s="15"/>
      <c r="O152" s="15"/>
      <c r="P152" s="16"/>
      <c r="Q152" s="174"/>
      <c r="R152" s="174"/>
      <c r="S152" s="59"/>
      <c r="T152" s="59"/>
      <c r="U152" s="174"/>
      <c r="V152" s="174"/>
      <c r="W152" s="174"/>
      <c r="X152" s="59"/>
      <c r="Y152" s="59"/>
      <c r="Z152" s="92"/>
    </row>
    <row r="153" spans="1:26" ht="16.5" customHeight="1" x14ac:dyDescent="0.2">
      <c r="A153" s="193"/>
      <c r="B153" s="175"/>
      <c r="C153" s="111"/>
      <c r="D153" s="111"/>
      <c r="E153" s="9"/>
      <c r="F153" s="111"/>
      <c r="G153" s="111"/>
      <c r="H153" s="9"/>
      <c r="I153" s="9"/>
      <c r="J153" s="111"/>
      <c r="K153" s="111"/>
      <c r="L153" s="187"/>
      <c r="M153" s="16"/>
      <c r="N153" s="15"/>
      <c r="O153" s="15"/>
      <c r="P153" s="16"/>
      <c r="Q153" s="174"/>
      <c r="R153" s="174"/>
      <c r="S153" s="59"/>
      <c r="T153" s="59"/>
      <c r="U153" s="174"/>
      <c r="V153" s="174"/>
      <c r="W153" s="174"/>
      <c r="X153" s="59"/>
      <c r="Y153" s="59"/>
      <c r="Z153" s="92"/>
    </row>
    <row r="154" spans="1:26" ht="16.5" customHeight="1" x14ac:dyDescent="0.2">
      <c r="A154" s="193"/>
      <c r="B154" s="175"/>
      <c r="C154" s="111"/>
      <c r="D154" s="111"/>
      <c r="E154" s="9"/>
      <c r="F154" s="111"/>
      <c r="G154" s="111"/>
      <c r="H154" s="9"/>
      <c r="I154" s="9"/>
      <c r="J154" s="111"/>
      <c r="K154" s="111"/>
      <c r="L154" s="187"/>
      <c r="M154" s="16"/>
      <c r="N154" s="15"/>
      <c r="O154" s="15"/>
      <c r="P154" s="16"/>
      <c r="Q154" s="174"/>
      <c r="R154" s="174"/>
      <c r="S154" s="59"/>
      <c r="T154" s="59"/>
      <c r="U154" s="174"/>
      <c r="V154" s="174"/>
      <c r="W154" s="174"/>
      <c r="X154" s="59"/>
      <c r="Y154" s="59"/>
      <c r="Z154" s="92"/>
    </row>
    <row r="155" spans="1:26" ht="16.5" customHeight="1" x14ac:dyDescent="0.2">
      <c r="A155" s="193"/>
      <c r="B155" s="175"/>
      <c r="C155" s="111"/>
      <c r="D155" s="111"/>
      <c r="E155" s="9"/>
      <c r="F155" s="111"/>
      <c r="G155" s="111"/>
      <c r="H155" s="9"/>
      <c r="I155" s="9"/>
      <c r="J155" s="111"/>
      <c r="K155" s="111"/>
      <c r="L155" s="187"/>
      <c r="M155" s="16"/>
      <c r="N155" s="15"/>
      <c r="O155" s="15"/>
      <c r="P155" s="16"/>
      <c r="Q155" s="174"/>
      <c r="R155" s="174"/>
      <c r="S155" s="59"/>
      <c r="T155" s="59"/>
      <c r="U155" s="174"/>
      <c r="V155" s="174"/>
      <c r="W155" s="174"/>
      <c r="X155" s="59"/>
      <c r="Y155" s="59"/>
      <c r="Z155" s="92"/>
    </row>
    <row r="156" spans="1:26" ht="16.5" customHeight="1" x14ac:dyDescent="0.2">
      <c r="A156" s="193"/>
      <c r="B156" s="175"/>
      <c r="C156" s="111"/>
      <c r="D156" s="111"/>
      <c r="E156" s="9"/>
      <c r="F156" s="111"/>
      <c r="G156" s="111"/>
      <c r="H156" s="9"/>
      <c r="I156" s="9"/>
      <c r="J156" s="111"/>
      <c r="K156" s="111"/>
      <c r="L156" s="187"/>
      <c r="M156" s="16"/>
      <c r="N156" s="15"/>
      <c r="O156" s="15"/>
      <c r="P156" s="16"/>
      <c r="Q156" s="174"/>
      <c r="R156" s="174"/>
      <c r="S156" s="59"/>
      <c r="T156" s="59"/>
      <c r="U156" s="174"/>
      <c r="V156" s="174"/>
      <c r="W156" s="174"/>
      <c r="X156" s="59"/>
      <c r="Y156" s="59"/>
      <c r="Z156" s="92"/>
    </row>
    <row r="157" spans="1:26" ht="16.5" customHeight="1" x14ac:dyDescent="0.2">
      <c r="A157" s="193"/>
      <c r="B157" s="175"/>
      <c r="C157" s="111"/>
      <c r="D157" s="111"/>
      <c r="E157" s="9"/>
      <c r="F157" s="111"/>
      <c r="G157" s="111"/>
      <c r="H157" s="9"/>
      <c r="I157" s="9"/>
      <c r="J157" s="111"/>
      <c r="K157" s="111"/>
      <c r="L157" s="187"/>
      <c r="M157" s="16"/>
      <c r="N157" s="15"/>
      <c r="O157" s="15"/>
      <c r="P157" s="16"/>
      <c r="Q157" s="174"/>
      <c r="R157" s="174"/>
      <c r="S157" s="59"/>
      <c r="T157" s="59"/>
      <c r="U157" s="174"/>
      <c r="V157" s="174"/>
      <c r="W157" s="174"/>
      <c r="X157" s="59"/>
      <c r="Y157" s="59"/>
      <c r="Z157" s="92"/>
    </row>
    <row r="158" spans="1:26" ht="16.5" customHeight="1" x14ac:dyDescent="0.2">
      <c r="A158" s="193"/>
      <c r="B158" s="175"/>
      <c r="C158" s="111"/>
      <c r="D158" s="111"/>
      <c r="E158" s="9"/>
      <c r="F158" s="111"/>
      <c r="G158" s="111"/>
      <c r="H158" s="9"/>
      <c r="I158" s="9"/>
      <c r="J158" s="111"/>
      <c r="K158" s="111"/>
      <c r="L158" s="187"/>
      <c r="M158" s="16"/>
      <c r="N158" s="15"/>
      <c r="O158" s="15"/>
      <c r="P158" s="16"/>
      <c r="Q158" s="174"/>
      <c r="R158" s="174"/>
      <c r="S158" s="59"/>
      <c r="T158" s="59"/>
      <c r="U158" s="174"/>
      <c r="V158" s="174"/>
      <c r="W158" s="174"/>
      <c r="X158" s="59"/>
      <c r="Y158" s="59"/>
      <c r="Z158" s="92"/>
    </row>
    <row r="159" spans="1:26" ht="16.5" customHeight="1" x14ac:dyDescent="0.2">
      <c r="A159" s="193"/>
      <c r="B159" s="175"/>
      <c r="C159" s="111"/>
      <c r="D159" s="111"/>
      <c r="E159" s="9"/>
      <c r="F159" s="111"/>
      <c r="G159" s="111"/>
      <c r="H159" s="9"/>
      <c r="I159" s="9"/>
      <c r="J159" s="111"/>
      <c r="K159" s="111"/>
      <c r="L159" s="187"/>
      <c r="M159" s="16"/>
      <c r="N159" s="15"/>
      <c r="O159" s="15"/>
      <c r="P159" s="16"/>
      <c r="Q159" s="174"/>
      <c r="R159" s="174"/>
      <c r="S159" s="59"/>
      <c r="T159" s="59"/>
      <c r="U159" s="174"/>
      <c r="V159" s="174"/>
      <c r="W159" s="174"/>
      <c r="X159" s="59"/>
      <c r="Y159" s="59"/>
      <c r="Z159" s="92"/>
    </row>
    <row r="160" spans="1:26" ht="16.5" customHeight="1" x14ac:dyDescent="0.2">
      <c r="A160" s="193"/>
      <c r="B160" s="175"/>
      <c r="C160" s="111"/>
      <c r="D160" s="111"/>
      <c r="E160" s="9"/>
      <c r="F160" s="111"/>
      <c r="G160" s="111"/>
      <c r="H160" s="9"/>
      <c r="I160" s="9"/>
      <c r="J160" s="111"/>
      <c r="K160" s="111"/>
      <c r="L160" s="187"/>
      <c r="M160" s="16"/>
      <c r="N160" s="15"/>
      <c r="O160" s="15"/>
      <c r="P160" s="16"/>
      <c r="Q160" s="174"/>
      <c r="R160" s="174"/>
      <c r="S160" s="59"/>
      <c r="T160" s="59"/>
      <c r="U160" s="174"/>
      <c r="V160" s="174"/>
      <c r="W160" s="174"/>
      <c r="X160" s="59"/>
      <c r="Y160" s="59"/>
      <c r="Z160" s="92"/>
    </row>
    <row r="161" spans="1:26" ht="16.5" customHeight="1" x14ac:dyDescent="0.2">
      <c r="A161" s="193"/>
      <c r="B161" s="175"/>
      <c r="C161" s="111"/>
      <c r="D161" s="111"/>
      <c r="E161" s="9"/>
      <c r="F161" s="111"/>
      <c r="G161" s="111"/>
      <c r="H161" s="9"/>
      <c r="I161" s="9"/>
      <c r="J161" s="111"/>
      <c r="K161" s="111"/>
      <c r="L161" s="187"/>
      <c r="M161" s="16"/>
      <c r="N161" s="15"/>
      <c r="O161" s="15"/>
      <c r="P161" s="16"/>
      <c r="Q161" s="174"/>
      <c r="R161" s="174"/>
      <c r="S161" s="59"/>
      <c r="T161" s="59"/>
      <c r="U161" s="174"/>
      <c r="V161" s="174"/>
      <c r="W161" s="174"/>
      <c r="X161" s="59"/>
      <c r="Y161" s="59"/>
      <c r="Z161" s="92"/>
    </row>
    <row r="162" spans="1:26" ht="16.5" customHeight="1" x14ac:dyDescent="0.2">
      <c r="A162" s="193"/>
      <c r="B162" s="175"/>
      <c r="C162" s="111"/>
      <c r="D162" s="111"/>
      <c r="E162" s="9"/>
      <c r="F162" s="111"/>
      <c r="G162" s="111"/>
      <c r="H162" s="9"/>
      <c r="I162" s="9"/>
      <c r="J162" s="111"/>
      <c r="K162" s="111"/>
      <c r="L162" s="187"/>
      <c r="M162" s="16"/>
      <c r="N162" s="15"/>
      <c r="O162" s="15"/>
      <c r="P162" s="16"/>
      <c r="Q162" s="174"/>
      <c r="R162" s="174"/>
      <c r="S162" s="59"/>
      <c r="T162" s="59"/>
      <c r="U162" s="174"/>
      <c r="V162" s="174"/>
      <c r="W162" s="174"/>
      <c r="X162" s="59"/>
      <c r="Y162" s="59"/>
      <c r="Z162" s="92"/>
    </row>
    <row r="163" spans="1:26" ht="16.5" customHeight="1" x14ac:dyDescent="0.2">
      <c r="A163" s="193"/>
      <c r="B163" s="175"/>
      <c r="C163" s="111"/>
      <c r="D163" s="111"/>
      <c r="E163" s="9"/>
      <c r="F163" s="111"/>
      <c r="G163" s="111"/>
      <c r="H163" s="9"/>
      <c r="I163" s="9"/>
      <c r="J163" s="111"/>
      <c r="K163" s="111"/>
      <c r="L163" s="187"/>
      <c r="M163" s="16"/>
      <c r="N163" s="15"/>
      <c r="O163" s="15"/>
      <c r="P163" s="16"/>
      <c r="Q163" s="174"/>
      <c r="R163" s="174"/>
      <c r="S163" s="59"/>
      <c r="T163" s="59"/>
      <c r="U163" s="174"/>
      <c r="V163" s="174"/>
      <c r="W163" s="174"/>
      <c r="X163" s="59"/>
      <c r="Y163" s="59"/>
      <c r="Z163" s="92"/>
    </row>
    <row r="164" spans="1:26" ht="16.5" customHeight="1" x14ac:dyDescent="0.2">
      <c r="A164" s="193"/>
      <c r="B164" s="175"/>
      <c r="C164" s="111"/>
      <c r="D164" s="111"/>
      <c r="E164" s="9"/>
      <c r="F164" s="111"/>
      <c r="G164" s="111"/>
      <c r="H164" s="9"/>
      <c r="I164" s="9"/>
      <c r="J164" s="111"/>
      <c r="K164" s="111"/>
      <c r="L164" s="187"/>
      <c r="M164" s="16"/>
      <c r="N164" s="15"/>
      <c r="O164" s="15"/>
      <c r="P164" s="16"/>
      <c r="Q164" s="174"/>
      <c r="R164" s="174"/>
      <c r="S164" s="59"/>
      <c r="T164" s="59"/>
      <c r="U164" s="174"/>
      <c r="V164" s="174"/>
      <c r="W164" s="174"/>
      <c r="X164" s="59"/>
      <c r="Y164" s="59"/>
      <c r="Z164" s="92"/>
    </row>
    <row r="165" spans="1:26" ht="16.5" customHeight="1" x14ac:dyDescent="0.2">
      <c r="A165" s="193"/>
      <c r="B165" s="175"/>
      <c r="C165" s="111"/>
      <c r="D165" s="111"/>
      <c r="E165" s="9"/>
      <c r="F165" s="111"/>
      <c r="G165" s="111"/>
      <c r="H165" s="9"/>
      <c r="I165" s="9"/>
      <c r="J165" s="111"/>
      <c r="K165" s="111"/>
      <c r="L165" s="187"/>
      <c r="M165" s="16"/>
      <c r="N165" s="15"/>
      <c r="O165" s="15"/>
      <c r="P165" s="16"/>
      <c r="Q165" s="174"/>
      <c r="R165" s="174"/>
      <c r="S165" s="59"/>
      <c r="T165" s="59"/>
      <c r="U165" s="174"/>
      <c r="V165" s="174"/>
      <c r="W165" s="174"/>
      <c r="X165" s="59"/>
      <c r="Y165" s="59"/>
      <c r="Z165" s="92"/>
    </row>
    <row r="166" spans="1:26" ht="16.5" customHeight="1" x14ac:dyDescent="0.2">
      <c r="A166" s="193"/>
      <c r="B166" s="175"/>
      <c r="C166" s="111"/>
      <c r="D166" s="111"/>
      <c r="E166" s="9"/>
      <c r="F166" s="111"/>
      <c r="G166" s="111"/>
      <c r="H166" s="9"/>
      <c r="I166" s="9"/>
      <c r="J166" s="111"/>
      <c r="K166" s="111"/>
      <c r="L166" s="187"/>
      <c r="M166" s="16"/>
      <c r="N166" s="15"/>
      <c r="O166" s="15"/>
      <c r="P166" s="16"/>
      <c r="Q166" s="174"/>
      <c r="R166" s="174"/>
      <c r="S166" s="59"/>
      <c r="T166" s="59"/>
      <c r="U166" s="174"/>
      <c r="V166" s="174"/>
      <c r="W166" s="174"/>
      <c r="X166" s="59"/>
      <c r="Y166" s="59"/>
      <c r="Z166" s="92"/>
    </row>
    <row r="167" spans="1:26" ht="16.5" customHeight="1" x14ac:dyDescent="0.2">
      <c r="A167" s="193"/>
      <c r="B167" s="175"/>
      <c r="C167" s="111"/>
      <c r="D167" s="111"/>
      <c r="E167" s="9"/>
      <c r="F167" s="111"/>
      <c r="G167" s="111"/>
      <c r="H167" s="9"/>
      <c r="I167" s="9"/>
      <c r="J167" s="111"/>
      <c r="K167" s="111"/>
      <c r="L167" s="187"/>
      <c r="M167" s="16"/>
      <c r="N167" s="15"/>
      <c r="O167" s="15"/>
      <c r="P167" s="16"/>
      <c r="Q167" s="174"/>
      <c r="R167" s="174"/>
      <c r="S167" s="59"/>
      <c r="T167" s="59"/>
      <c r="U167" s="174"/>
      <c r="V167" s="174"/>
      <c r="W167" s="174"/>
      <c r="X167" s="59"/>
      <c r="Y167" s="59"/>
      <c r="Z167" s="92"/>
    </row>
    <row r="168" spans="1:26" ht="16.5" customHeight="1" x14ac:dyDescent="0.2">
      <c r="A168" s="193"/>
      <c r="B168" s="175"/>
      <c r="C168" s="111"/>
      <c r="D168" s="111"/>
      <c r="E168" s="9"/>
      <c r="F168" s="111"/>
      <c r="G168" s="111"/>
      <c r="H168" s="9"/>
      <c r="I168" s="9"/>
      <c r="J168" s="111"/>
      <c r="K168" s="111"/>
      <c r="L168" s="187"/>
      <c r="M168" s="16"/>
      <c r="N168" s="15"/>
      <c r="O168" s="15"/>
      <c r="P168" s="16"/>
      <c r="Q168" s="174"/>
      <c r="R168" s="174"/>
      <c r="S168" s="59"/>
      <c r="T168" s="59"/>
      <c r="U168" s="174"/>
      <c r="V168" s="174"/>
      <c r="W168" s="174"/>
      <c r="X168" s="59"/>
      <c r="Y168" s="59"/>
      <c r="Z168" s="92"/>
    </row>
    <row r="169" spans="1:26" ht="16.5" customHeight="1" x14ac:dyDescent="0.2">
      <c r="A169" s="193"/>
      <c r="B169" s="175"/>
      <c r="C169" s="111"/>
      <c r="D169" s="111"/>
      <c r="E169" s="9"/>
      <c r="F169" s="111"/>
      <c r="G169" s="111"/>
      <c r="H169" s="9"/>
      <c r="I169" s="9"/>
      <c r="J169" s="111"/>
      <c r="K169" s="111"/>
      <c r="L169" s="187"/>
      <c r="M169" s="16"/>
      <c r="N169" s="15"/>
      <c r="O169" s="15"/>
      <c r="P169" s="16"/>
      <c r="Q169" s="174"/>
      <c r="R169" s="174"/>
      <c r="S169" s="59"/>
      <c r="T169" s="59"/>
      <c r="U169" s="174"/>
      <c r="V169" s="174"/>
      <c r="W169" s="174"/>
      <c r="X169" s="59"/>
      <c r="Y169" s="59"/>
      <c r="Z169" s="92"/>
    </row>
    <row r="170" spans="1:26" ht="16.5" customHeight="1" x14ac:dyDescent="0.2">
      <c r="A170" s="193"/>
      <c r="B170" s="175"/>
      <c r="C170" s="111"/>
      <c r="D170" s="111"/>
      <c r="E170" s="9"/>
      <c r="F170" s="111"/>
      <c r="G170" s="111"/>
      <c r="H170" s="9"/>
      <c r="I170" s="9"/>
      <c r="J170" s="111"/>
      <c r="K170" s="111"/>
      <c r="L170" s="187"/>
      <c r="M170" s="16"/>
      <c r="N170" s="15"/>
      <c r="O170" s="15"/>
      <c r="P170" s="16"/>
      <c r="Q170" s="174"/>
      <c r="R170" s="174"/>
      <c r="S170" s="59"/>
      <c r="T170" s="59"/>
      <c r="U170" s="174"/>
      <c r="V170" s="174"/>
      <c r="W170" s="174"/>
      <c r="X170" s="59"/>
      <c r="Y170" s="59"/>
      <c r="Z170" s="92"/>
    </row>
    <row r="171" spans="1:26" ht="16.5" customHeight="1" x14ac:dyDescent="0.2">
      <c r="A171" s="193"/>
      <c r="B171" s="175"/>
      <c r="C171" s="111"/>
      <c r="D171" s="111"/>
      <c r="E171" s="9"/>
      <c r="F171" s="111"/>
      <c r="G171" s="111"/>
      <c r="H171" s="9"/>
      <c r="I171" s="9"/>
      <c r="J171" s="111"/>
      <c r="K171" s="111"/>
      <c r="L171" s="187"/>
      <c r="M171" s="16"/>
      <c r="N171" s="15"/>
      <c r="O171" s="15"/>
      <c r="P171" s="16"/>
      <c r="Q171" s="174"/>
      <c r="R171" s="174"/>
      <c r="S171" s="59"/>
      <c r="T171" s="59"/>
      <c r="U171" s="174"/>
      <c r="V171" s="174"/>
      <c r="W171" s="174"/>
      <c r="X171" s="59"/>
      <c r="Y171" s="59"/>
      <c r="Z171" s="92"/>
    </row>
    <row r="172" spans="1:26" ht="16.5" customHeight="1" x14ac:dyDescent="0.2">
      <c r="A172" s="193"/>
      <c r="B172" s="175"/>
      <c r="C172" s="111"/>
      <c r="D172" s="111"/>
      <c r="E172" s="9"/>
      <c r="F172" s="111"/>
      <c r="G172" s="111"/>
      <c r="H172" s="9"/>
      <c r="I172" s="9"/>
      <c r="J172" s="111"/>
      <c r="K172" s="111"/>
      <c r="L172" s="187"/>
      <c r="M172" s="16"/>
      <c r="N172" s="15"/>
      <c r="O172" s="15"/>
      <c r="P172" s="16"/>
      <c r="Q172" s="174"/>
      <c r="R172" s="174"/>
      <c r="S172" s="59"/>
      <c r="T172" s="59"/>
      <c r="U172" s="174"/>
      <c r="V172" s="174"/>
      <c r="W172" s="174"/>
      <c r="X172" s="59"/>
      <c r="Y172" s="59"/>
      <c r="Z172" s="92"/>
    </row>
    <row r="173" spans="1:26" ht="16.5" customHeight="1" x14ac:dyDescent="0.2">
      <c r="A173" s="193"/>
      <c r="B173" s="175"/>
      <c r="C173" s="111"/>
      <c r="D173" s="111"/>
      <c r="E173" s="9"/>
      <c r="F173" s="111"/>
      <c r="G173" s="111"/>
      <c r="H173" s="9"/>
      <c r="I173" s="9"/>
      <c r="J173" s="111"/>
      <c r="K173" s="111"/>
      <c r="L173" s="187"/>
      <c r="M173" s="16"/>
      <c r="N173" s="15"/>
      <c r="O173" s="15"/>
      <c r="P173" s="16"/>
      <c r="Q173" s="174"/>
      <c r="R173" s="174"/>
      <c r="S173" s="59"/>
      <c r="T173" s="59"/>
      <c r="U173" s="174"/>
      <c r="V173" s="174"/>
      <c r="W173" s="174"/>
      <c r="X173" s="59"/>
      <c r="Y173" s="59"/>
      <c r="Z173" s="92"/>
    </row>
    <row r="174" spans="1:26" ht="16.5" customHeight="1" x14ac:dyDescent="0.2">
      <c r="A174" s="193"/>
      <c r="B174" s="175"/>
      <c r="C174" s="111"/>
      <c r="D174" s="111"/>
      <c r="E174" s="9"/>
      <c r="F174" s="111"/>
      <c r="G174" s="111"/>
      <c r="H174" s="9"/>
      <c r="I174" s="9"/>
      <c r="J174" s="111"/>
      <c r="K174" s="111"/>
      <c r="L174" s="187"/>
      <c r="M174" s="16"/>
      <c r="N174" s="15"/>
      <c r="O174" s="15"/>
      <c r="P174" s="16"/>
      <c r="Q174" s="174"/>
      <c r="R174" s="174"/>
      <c r="S174" s="59"/>
      <c r="T174" s="59"/>
      <c r="U174" s="174"/>
      <c r="V174" s="174"/>
      <c r="W174" s="174"/>
      <c r="X174" s="59"/>
      <c r="Y174" s="59"/>
      <c r="Z174" s="92"/>
    </row>
    <row r="175" spans="1:26" ht="16.5" customHeight="1" x14ac:dyDescent="0.2">
      <c r="A175" s="193"/>
      <c r="B175" s="175"/>
      <c r="C175" s="111"/>
      <c r="D175" s="111"/>
      <c r="E175" s="9"/>
      <c r="F175" s="111"/>
      <c r="G175" s="111"/>
      <c r="H175" s="9"/>
      <c r="I175" s="9"/>
      <c r="J175" s="111"/>
      <c r="K175" s="111"/>
      <c r="L175" s="187"/>
      <c r="M175" s="16"/>
      <c r="N175" s="15"/>
      <c r="O175" s="15"/>
      <c r="P175" s="16"/>
      <c r="Q175" s="174"/>
      <c r="R175" s="174"/>
      <c r="S175" s="59"/>
      <c r="T175" s="59"/>
      <c r="U175" s="174"/>
      <c r="V175" s="174"/>
      <c r="W175" s="174"/>
      <c r="X175" s="59"/>
      <c r="Y175" s="59"/>
      <c r="Z175" s="92"/>
    </row>
    <row r="176" spans="1:26" ht="16.5" customHeight="1" x14ac:dyDescent="0.2">
      <c r="A176" s="193"/>
      <c r="B176" s="175"/>
      <c r="C176" s="111"/>
      <c r="D176" s="111"/>
      <c r="E176" s="9"/>
      <c r="F176" s="111"/>
      <c r="G176" s="111"/>
      <c r="H176" s="9"/>
      <c r="I176" s="9"/>
      <c r="J176" s="111"/>
      <c r="K176" s="111"/>
      <c r="L176" s="187"/>
      <c r="M176" s="16"/>
      <c r="N176" s="15"/>
      <c r="O176" s="15"/>
      <c r="P176" s="16"/>
      <c r="Q176" s="174"/>
      <c r="R176" s="174"/>
      <c r="S176" s="59"/>
      <c r="T176" s="59"/>
      <c r="U176" s="174"/>
      <c r="V176" s="174"/>
      <c r="W176" s="174"/>
      <c r="X176" s="59"/>
      <c r="Y176" s="59"/>
      <c r="Z176" s="92"/>
    </row>
    <row r="177" spans="1:26" ht="16.5" customHeight="1" x14ac:dyDescent="0.2">
      <c r="A177" s="193"/>
      <c r="B177" s="175"/>
      <c r="C177" s="111"/>
      <c r="D177" s="111"/>
      <c r="E177" s="9"/>
      <c r="F177" s="111"/>
      <c r="G177" s="111"/>
      <c r="H177" s="9"/>
      <c r="I177" s="9"/>
      <c r="J177" s="111"/>
      <c r="K177" s="111"/>
      <c r="L177" s="187"/>
      <c r="M177" s="16"/>
      <c r="N177" s="15"/>
      <c r="O177" s="15"/>
      <c r="P177" s="16"/>
      <c r="Q177" s="174"/>
      <c r="R177" s="174"/>
      <c r="S177" s="59"/>
      <c r="T177" s="59"/>
      <c r="U177" s="174"/>
      <c r="V177" s="174"/>
      <c r="W177" s="174"/>
      <c r="X177" s="59"/>
      <c r="Y177" s="59"/>
      <c r="Z177" s="92"/>
    </row>
    <row r="178" spans="1:26" ht="16.5" customHeight="1" x14ac:dyDescent="0.2">
      <c r="A178" s="193"/>
      <c r="B178" s="175"/>
      <c r="C178" s="111"/>
      <c r="D178" s="111"/>
      <c r="E178" s="9"/>
      <c r="F178" s="111"/>
      <c r="G178" s="111"/>
      <c r="H178" s="9"/>
      <c r="I178" s="9"/>
      <c r="J178" s="111"/>
      <c r="K178" s="111"/>
      <c r="L178" s="187"/>
      <c r="M178" s="16"/>
      <c r="N178" s="15"/>
      <c r="O178" s="15"/>
      <c r="P178" s="16"/>
      <c r="Q178" s="174"/>
      <c r="R178" s="174"/>
      <c r="S178" s="59"/>
      <c r="T178" s="59"/>
      <c r="U178" s="174"/>
      <c r="V178" s="174"/>
      <c r="W178" s="174"/>
      <c r="X178" s="59"/>
      <c r="Y178" s="59"/>
      <c r="Z178" s="92"/>
    </row>
    <row r="179" spans="1:26" ht="16.5" customHeight="1" x14ac:dyDescent="0.2">
      <c r="A179" s="193"/>
      <c r="B179" s="175"/>
      <c r="C179" s="111"/>
      <c r="D179" s="111"/>
      <c r="E179" s="9"/>
      <c r="F179" s="111"/>
      <c r="G179" s="111"/>
      <c r="H179" s="9"/>
      <c r="I179" s="9"/>
      <c r="J179" s="111"/>
      <c r="K179" s="111"/>
      <c r="L179" s="187"/>
      <c r="M179" s="16"/>
      <c r="N179" s="15"/>
      <c r="O179" s="15"/>
      <c r="P179" s="16"/>
      <c r="Q179" s="174"/>
      <c r="R179" s="174"/>
      <c r="S179" s="59"/>
      <c r="T179" s="59"/>
      <c r="U179" s="174"/>
      <c r="V179" s="174"/>
      <c r="W179" s="174"/>
      <c r="X179" s="59"/>
      <c r="Y179" s="59"/>
      <c r="Z179" s="92"/>
    </row>
    <row r="180" spans="1:26" ht="16.5" customHeight="1" x14ac:dyDescent="0.2">
      <c r="A180" s="193"/>
      <c r="B180" s="175"/>
      <c r="C180" s="111"/>
      <c r="D180" s="111"/>
      <c r="E180" s="9"/>
      <c r="F180" s="111"/>
      <c r="G180" s="111"/>
      <c r="H180" s="9"/>
      <c r="I180" s="9"/>
      <c r="J180" s="111"/>
      <c r="K180" s="111"/>
      <c r="L180" s="187"/>
      <c r="M180" s="16"/>
      <c r="N180" s="15"/>
      <c r="O180" s="15"/>
      <c r="P180" s="16"/>
      <c r="Q180" s="174"/>
      <c r="R180" s="174"/>
      <c r="S180" s="59"/>
      <c r="T180" s="59"/>
      <c r="U180" s="174"/>
      <c r="V180" s="174"/>
      <c r="W180" s="174"/>
      <c r="X180" s="59"/>
      <c r="Y180" s="59"/>
      <c r="Z180" s="92"/>
    </row>
    <row r="181" spans="1:26" ht="16.5" customHeight="1" x14ac:dyDescent="0.2">
      <c r="A181" s="193"/>
      <c r="B181" s="175"/>
      <c r="C181" s="111"/>
      <c r="D181" s="111"/>
      <c r="E181" s="9"/>
      <c r="F181" s="111"/>
      <c r="G181" s="111"/>
      <c r="H181" s="9"/>
      <c r="I181" s="9"/>
      <c r="J181" s="111"/>
      <c r="K181" s="111"/>
      <c r="L181" s="187"/>
      <c r="M181" s="16"/>
      <c r="N181" s="15"/>
      <c r="O181" s="15"/>
      <c r="P181" s="16"/>
      <c r="Q181" s="174"/>
      <c r="R181" s="174"/>
      <c r="S181" s="59"/>
      <c r="T181" s="59"/>
      <c r="U181" s="174"/>
      <c r="V181" s="174"/>
      <c r="W181" s="174"/>
      <c r="X181" s="59"/>
      <c r="Y181" s="59"/>
      <c r="Z181" s="92"/>
    </row>
    <row r="182" spans="1:26" ht="16.5" customHeight="1" x14ac:dyDescent="0.2">
      <c r="A182" s="193"/>
      <c r="B182" s="175"/>
      <c r="C182" s="111"/>
      <c r="D182" s="111"/>
      <c r="E182" s="9"/>
      <c r="F182" s="111"/>
      <c r="G182" s="111"/>
      <c r="H182" s="9"/>
      <c r="I182" s="9"/>
      <c r="J182" s="111"/>
      <c r="K182" s="111"/>
      <c r="L182" s="187"/>
      <c r="M182" s="16"/>
      <c r="N182" s="15"/>
      <c r="O182" s="15"/>
      <c r="P182" s="16"/>
      <c r="Q182" s="174"/>
      <c r="R182" s="174"/>
      <c r="S182" s="59"/>
      <c r="T182" s="59"/>
      <c r="U182" s="174"/>
      <c r="V182" s="174"/>
      <c r="W182" s="174"/>
      <c r="X182" s="59"/>
      <c r="Y182" s="59"/>
      <c r="Z182" s="92"/>
    </row>
    <row r="183" spans="1:26" ht="16.5" customHeight="1" x14ac:dyDescent="0.2">
      <c r="A183" s="193"/>
      <c r="B183" s="175"/>
      <c r="C183" s="111"/>
      <c r="D183" s="111"/>
      <c r="E183" s="9"/>
      <c r="F183" s="111"/>
      <c r="G183" s="111"/>
      <c r="H183" s="9"/>
      <c r="I183" s="9"/>
      <c r="J183" s="111"/>
      <c r="K183" s="111"/>
      <c r="L183" s="187"/>
      <c r="M183" s="16"/>
      <c r="N183" s="15"/>
      <c r="O183" s="15"/>
      <c r="P183" s="16"/>
      <c r="Q183" s="174"/>
      <c r="R183" s="174"/>
      <c r="S183" s="59"/>
      <c r="T183" s="59"/>
      <c r="U183" s="174"/>
      <c r="V183" s="174"/>
      <c r="W183" s="174"/>
      <c r="X183" s="59"/>
      <c r="Y183" s="59"/>
      <c r="Z183" s="92"/>
    </row>
    <row r="184" spans="1:26" ht="16.5" customHeight="1" x14ac:dyDescent="0.2">
      <c r="A184" s="193"/>
      <c r="B184" s="175"/>
      <c r="C184" s="111"/>
      <c r="D184" s="111"/>
      <c r="E184" s="9"/>
      <c r="F184" s="111"/>
      <c r="G184" s="111"/>
      <c r="H184" s="9"/>
      <c r="I184" s="9"/>
      <c r="J184" s="111"/>
      <c r="K184" s="111"/>
      <c r="L184" s="187"/>
      <c r="M184" s="16"/>
      <c r="N184" s="15"/>
      <c r="O184" s="15"/>
      <c r="P184" s="16"/>
      <c r="Q184" s="174"/>
      <c r="R184" s="174"/>
      <c r="S184" s="59"/>
      <c r="T184" s="59"/>
      <c r="U184" s="174"/>
      <c r="V184" s="174"/>
      <c r="W184" s="174"/>
      <c r="X184" s="59"/>
      <c r="Y184" s="59"/>
      <c r="Z184" s="92"/>
    </row>
    <row r="185" spans="1:26" ht="16.5" customHeight="1" x14ac:dyDescent="0.2">
      <c r="A185" s="193"/>
      <c r="B185" s="175"/>
      <c r="C185" s="111"/>
      <c r="D185" s="111"/>
      <c r="E185" s="9"/>
      <c r="F185" s="111"/>
      <c r="G185" s="111"/>
      <c r="H185" s="9"/>
      <c r="I185" s="9"/>
      <c r="J185" s="111"/>
      <c r="K185" s="111"/>
      <c r="L185" s="187"/>
      <c r="M185" s="16"/>
      <c r="N185" s="15"/>
      <c r="O185" s="15"/>
      <c r="P185" s="16"/>
      <c r="Q185" s="174"/>
      <c r="R185" s="174"/>
      <c r="S185" s="59"/>
      <c r="T185" s="59"/>
      <c r="U185" s="174"/>
      <c r="V185" s="174"/>
      <c r="W185" s="174"/>
      <c r="X185" s="59"/>
      <c r="Y185" s="59"/>
      <c r="Z185" s="92"/>
    </row>
    <row r="186" spans="1:26" ht="16.5" customHeight="1" x14ac:dyDescent="0.2">
      <c r="A186" s="193"/>
      <c r="B186" s="175"/>
      <c r="C186" s="111"/>
      <c r="D186" s="111"/>
      <c r="E186" s="9"/>
      <c r="F186" s="111"/>
      <c r="G186" s="111"/>
      <c r="H186" s="9"/>
      <c r="I186" s="9"/>
      <c r="J186" s="111"/>
      <c r="K186" s="111"/>
      <c r="L186" s="187"/>
      <c r="M186" s="16"/>
      <c r="N186" s="15"/>
      <c r="O186" s="15"/>
      <c r="P186" s="16"/>
      <c r="Q186" s="174"/>
      <c r="R186" s="174"/>
      <c r="S186" s="59"/>
      <c r="T186" s="59"/>
      <c r="U186" s="174"/>
      <c r="V186" s="174"/>
      <c r="W186" s="174"/>
      <c r="X186" s="59"/>
      <c r="Y186" s="59"/>
      <c r="Z186" s="92"/>
    </row>
    <row r="187" spans="1:26" ht="16.5" customHeight="1" x14ac:dyDescent="0.2">
      <c r="A187" s="193"/>
      <c r="B187" s="175"/>
      <c r="C187" s="111"/>
      <c r="D187" s="111"/>
      <c r="E187" s="9"/>
      <c r="F187" s="111"/>
      <c r="G187" s="111"/>
      <c r="H187" s="9"/>
      <c r="I187" s="9"/>
      <c r="J187" s="111"/>
      <c r="K187" s="111"/>
      <c r="L187" s="187"/>
      <c r="M187" s="16"/>
      <c r="N187" s="15"/>
      <c r="O187" s="15"/>
      <c r="P187" s="16"/>
      <c r="Q187" s="174"/>
      <c r="R187" s="174"/>
      <c r="S187" s="59"/>
      <c r="T187" s="59"/>
      <c r="U187" s="174"/>
      <c r="V187" s="174"/>
      <c r="W187" s="174"/>
      <c r="X187" s="59"/>
      <c r="Y187" s="59"/>
      <c r="Z187" s="92"/>
    </row>
    <row r="188" spans="1:26" ht="16.5" customHeight="1" x14ac:dyDescent="0.2">
      <c r="A188" s="193"/>
      <c r="B188" s="175"/>
      <c r="C188" s="111"/>
      <c r="D188" s="111"/>
      <c r="E188" s="9"/>
      <c r="F188" s="111"/>
      <c r="G188" s="111"/>
      <c r="H188" s="9"/>
      <c r="I188" s="9"/>
      <c r="J188" s="111"/>
      <c r="K188" s="111"/>
      <c r="L188" s="187"/>
      <c r="M188" s="16"/>
      <c r="N188" s="15"/>
      <c r="O188" s="15"/>
      <c r="P188" s="16"/>
      <c r="Q188" s="174"/>
      <c r="R188" s="174"/>
      <c r="S188" s="59"/>
      <c r="T188" s="59"/>
      <c r="U188" s="174"/>
      <c r="V188" s="174"/>
      <c r="W188" s="174"/>
      <c r="X188" s="59"/>
      <c r="Y188" s="59"/>
      <c r="Z188" s="92"/>
    </row>
    <row r="189" spans="1:26" ht="16.5" customHeight="1" x14ac:dyDescent="0.2">
      <c r="A189" s="193"/>
      <c r="B189" s="175"/>
      <c r="C189" s="111"/>
      <c r="D189" s="111"/>
      <c r="E189" s="9"/>
      <c r="F189" s="111"/>
      <c r="G189" s="111"/>
      <c r="H189" s="9"/>
      <c r="I189" s="9"/>
      <c r="J189" s="111"/>
      <c r="K189" s="111"/>
      <c r="L189" s="187"/>
      <c r="M189" s="16"/>
      <c r="N189" s="15"/>
      <c r="O189" s="15"/>
      <c r="P189" s="16"/>
      <c r="Q189" s="174"/>
      <c r="R189" s="174"/>
      <c r="S189" s="59"/>
      <c r="T189" s="59"/>
      <c r="U189" s="174"/>
      <c r="V189" s="174"/>
      <c r="W189" s="174"/>
      <c r="X189" s="59"/>
      <c r="Y189" s="59"/>
      <c r="Z189" s="92"/>
    </row>
    <row r="190" spans="1:26" ht="16.5" customHeight="1" x14ac:dyDescent="0.2">
      <c r="A190" s="193"/>
      <c r="B190" s="175"/>
      <c r="C190" s="111"/>
      <c r="D190" s="111"/>
      <c r="E190" s="9"/>
      <c r="F190" s="111"/>
      <c r="G190" s="111"/>
      <c r="H190" s="9"/>
      <c r="I190" s="9"/>
      <c r="J190" s="111"/>
      <c r="K190" s="111"/>
      <c r="L190" s="187"/>
      <c r="M190" s="16"/>
      <c r="N190" s="15"/>
      <c r="O190" s="15"/>
      <c r="P190" s="16"/>
      <c r="Q190" s="174"/>
      <c r="R190" s="174"/>
      <c r="S190" s="59"/>
      <c r="T190" s="59"/>
      <c r="U190" s="174"/>
      <c r="V190" s="174"/>
      <c r="W190" s="174"/>
      <c r="X190" s="59"/>
      <c r="Y190" s="59"/>
      <c r="Z190" s="92"/>
    </row>
    <row r="191" spans="1:26" ht="16.5" customHeight="1" x14ac:dyDescent="0.2">
      <c r="A191" s="193"/>
      <c r="B191" s="175"/>
      <c r="C191" s="111"/>
      <c r="D191" s="111"/>
      <c r="E191" s="9"/>
      <c r="F191" s="111"/>
      <c r="G191" s="111"/>
      <c r="H191" s="9"/>
      <c r="I191" s="9"/>
      <c r="J191" s="111"/>
      <c r="K191" s="111"/>
      <c r="L191" s="187"/>
      <c r="M191" s="16"/>
      <c r="N191" s="15"/>
      <c r="O191" s="15"/>
      <c r="P191" s="16"/>
      <c r="Q191" s="174"/>
      <c r="R191" s="174"/>
      <c r="S191" s="59"/>
      <c r="T191" s="59"/>
      <c r="U191" s="174"/>
      <c r="V191" s="174"/>
      <c r="W191" s="174"/>
      <c r="X191" s="59"/>
      <c r="Y191" s="59"/>
      <c r="Z191" s="92"/>
    </row>
    <row r="192" spans="1:26" ht="16.5" customHeight="1" x14ac:dyDescent="0.2">
      <c r="A192" s="193"/>
      <c r="B192" s="175"/>
      <c r="C192" s="111"/>
      <c r="D192" s="111"/>
      <c r="E192" s="9"/>
      <c r="F192" s="111"/>
      <c r="G192" s="111"/>
      <c r="H192" s="9"/>
      <c r="I192" s="9"/>
      <c r="J192" s="111"/>
      <c r="K192" s="111"/>
      <c r="L192" s="187"/>
      <c r="M192" s="16"/>
      <c r="N192" s="15"/>
      <c r="O192" s="15"/>
      <c r="P192" s="16"/>
      <c r="Q192" s="174"/>
      <c r="R192" s="174"/>
      <c r="S192" s="59"/>
      <c r="T192" s="59"/>
      <c r="U192" s="174"/>
      <c r="V192" s="174"/>
      <c r="W192" s="174"/>
      <c r="X192" s="59"/>
      <c r="Y192" s="59"/>
      <c r="Z192" s="92"/>
    </row>
    <row r="193" spans="1:26" ht="16.5" customHeight="1" x14ac:dyDescent="0.2">
      <c r="A193" s="193"/>
      <c r="B193" s="175"/>
      <c r="C193" s="111"/>
      <c r="D193" s="111"/>
      <c r="E193" s="9"/>
      <c r="F193" s="111"/>
      <c r="G193" s="111"/>
      <c r="H193" s="9"/>
      <c r="I193" s="9"/>
      <c r="J193" s="111"/>
      <c r="K193" s="111"/>
      <c r="L193" s="187"/>
      <c r="M193" s="16"/>
      <c r="N193" s="15"/>
      <c r="O193" s="15"/>
      <c r="P193" s="16"/>
      <c r="Q193" s="174"/>
      <c r="R193" s="174"/>
      <c r="S193" s="59"/>
      <c r="T193" s="59"/>
      <c r="U193" s="174"/>
      <c r="V193" s="174"/>
      <c r="W193" s="174"/>
      <c r="X193" s="59"/>
      <c r="Y193" s="59"/>
      <c r="Z193" s="92"/>
    </row>
    <row r="194" spans="1:26" ht="16.5" customHeight="1" x14ac:dyDescent="0.2">
      <c r="A194" s="193"/>
      <c r="B194" s="175"/>
      <c r="C194" s="111"/>
      <c r="D194" s="111"/>
      <c r="E194" s="9"/>
      <c r="F194" s="111"/>
      <c r="G194" s="111"/>
      <c r="H194" s="9"/>
      <c r="I194" s="9"/>
      <c r="J194" s="111"/>
      <c r="K194" s="111"/>
      <c r="L194" s="187"/>
      <c r="M194" s="16"/>
      <c r="N194" s="15"/>
      <c r="O194" s="15"/>
      <c r="P194" s="16"/>
      <c r="Q194" s="174"/>
      <c r="R194" s="174"/>
      <c r="S194" s="59"/>
      <c r="T194" s="59"/>
      <c r="U194" s="174"/>
      <c r="V194" s="174"/>
      <c r="W194" s="174"/>
      <c r="X194" s="59"/>
      <c r="Y194" s="59"/>
      <c r="Z194" s="92"/>
    </row>
    <row r="195" spans="1:26" ht="16.5" customHeight="1" x14ac:dyDescent="0.2">
      <c r="A195" s="193"/>
      <c r="B195" s="175"/>
      <c r="C195" s="111"/>
      <c r="D195" s="111"/>
      <c r="E195" s="9"/>
      <c r="F195" s="111"/>
      <c r="G195" s="111"/>
      <c r="H195" s="9"/>
      <c r="I195" s="9"/>
      <c r="J195" s="111"/>
      <c r="K195" s="111"/>
      <c r="L195" s="187"/>
      <c r="M195" s="16"/>
      <c r="N195" s="15"/>
      <c r="O195" s="15"/>
      <c r="P195" s="16"/>
      <c r="Q195" s="174"/>
      <c r="R195" s="174"/>
      <c r="S195" s="59"/>
      <c r="T195" s="59"/>
      <c r="U195" s="174"/>
      <c r="V195" s="174"/>
      <c r="W195" s="174"/>
      <c r="X195" s="59"/>
      <c r="Y195" s="59"/>
      <c r="Z195" s="92"/>
    </row>
    <row r="196" spans="1:26" ht="16.5" customHeight="1" x14ac:dyDescent="0.2">
      <c r="A196" s="193"/>
      <c r="B196" s="175"/>
      <c r="C196" s="111"/>
      <c r="D196" s="111"/>
      <c r="E196" s="9"/>
      <c r="F196" s="111"/>
      <c r="G196" s="111"/>
      <c r="H196" s="9"/>
      <c r="I196" s="9"/>
      <c r="J196" s="111"/>
      <c r="K196" s="111"/>
      <c r="L196" s="187"/>
      <c r="M196" s="16"/>
      <c r="N196" s="15"/>
      <c r="O196" s="15"/>
      <c r="P196" s="16"/>
      <c r="Q196" s="174"/>
      <c r="R196" s="174"/>
      <c r="S196" s="59"/>
      <c r="T196" s="59"/>
      <c r="U196" s="174"/>
      <c r="V196" s="174"/>
      <c r="W196" s="174"/>
      <c r="X196" s="59"/>
      <c r="Y196" s="59"/>
      <c r="Z196" s="92"/>
    </row>
    <row r="197" spans="1:26" ht="16.5" customHeight="1" x14ac:dyDescent="0.2">
      <c r="A197" s="193"/>
      <c r="B197" s="175"/>
      <c r="C197" s="111"/>
      <c r="D197" s="111"/>
      <c r="E197" s="9"/>
      <c r="F197" s="111"/>
      <c r="G197" s="111"/>
      <c r="H197" s="9"/>
      <c r="I197" s="9"/>
      <c r="J197" s="111"/>
      <c r="K197" s="111"/>
      <c r="L197" s="187"/>
      <c r="M197" s="16"/>
      <c r="N197" s="15"/>
      <c r="O197" s="15"/>
      <c r="P197" s="16"/>
      <c r="Q197" s="174"/>
      <c r="R197" s="174"/>
      <c r="S197" s="59"/>
      <c r="T197" s="59"/>
      <c r="U197" s="174"/>
      <c r="V197" s="174"/>
      <c r="W197" s="174"/>
      <c r="X197" s="59"/>
      <c r="Y197" s="59"/>
      <c r="Z197" s="92"/>
    </row>
    <row r="198" spans="1:26" ht="16.5" customHeight="1" x14ac:dyDescent="0.2">
      <c r="A198" s="193"/>
      <c r="B198" s="175"/>
      <c r="C198" s="111"/>
      <c r="D198" s="111"/>
      <c r="E198" s="9"/>
      <c r="F198" s="111"/>
      <c r="G198" s="111"/>
      <c r="H198" s="9"/>
      <c r="I198" s="9"/>
      <c r="J198" s="111"/>
      <c r="K198" s="111"/>
      <c r="L198" s="187"/>
      <c r="M198" s="16"/>
      <c r="N198" s="15"/>
      <c r="O198" s="15"/>
      <c r="P198" s="16"/>
      <c r="Q198" s="174"/>
      <c r="R198" s="174"/>
      <c r="S198" s="59"/>
      <c r="T198" s="59"/>
      <c r="U198" s="174"/>
      <c r="V198" s="174"/>
      <c r="W198" s="174"/>
      <c r="X198" s="59"/>
      <c r="Y198" s="59"/>
      <c r="Z198" s="92"/>
    </row>
    <row r="199" spans="1:26" ht="16.5" customHeight="1" x14ac:dyDescent="0.2">
      <c r="A199" s="193"/>
      <c r="B199" s="175"/>
      <c r="C199" s="111"/>
      <c r="D199" s="111"/>
      <c r="E199" s="9"/>
      <c r="F199" s="111"/>
      <c r="G199" s="111"/>
      <c r="H199" s="9"/>
      <c r="I199" s="9"/>
      <c r="J199" s="111"/>
      <c r="K199" s="111"/>
      <c r="L199" s="187"/>
      <c r="M199" s="16"/>
      <c r="N199" s="15"/>
      <c r="O199" s="15"/>
      <c r="P199" s="16"/>
      <c r="Q199" s="174"/>
      <c r="R199" s="174"/>
      <c r="S199" s="59"/>
      <c r="T199" s="59"/>
      <c r="U199" s="174"/>
      <c r="V199" s="174"/>
      <c r="W199" s="174"/>
      <c r="X199" s="59"/>
      <c r="Y199" s="59"/>
      <c r="Z199" s="92"/>
    </row>
    <row r="200" spans="1:26" ht="16.5" customHeight="1" x14ac:dyDescent="0.2">
      <c r="A200" s="193"/>
      <c r="B200" s="175"/>
      <c r="C200" s="111"/>
      <c r="D200" s="111"/>
      <c r="E200" s="9"/>
      <c r="F200" s="111"/>
      <c r="G200" s="111"/>
      <c r="H200" s="9"/>
      <c r="I200" s="9"/>
      <c r="J200" s="111"/>
      <c r="K200" s="111"/>
      <c r="L200" s="187"/>
      <c r="M200" s="16"/>
      <c r="N200" s="15"/>
      <c r="O200" s="15"/>
      <c r="P200" s="16"/>
      <c r="Q200" s="174"/>
      <c r="R200" s="174"/>
      <c r="S200" s="59"/>
      <c r="T200" s="59"/>
      <c r="U200" s="174"/>
      <c r="V200" s="174"/>
      <c r="W200" s="174"/>
      <c r="X200" s="59"/>
      <c r="Y200" s="59"/>
      <c r="Z200" s="92"/>
    </row>
    <row r="201" spans="1:26" ht="16.5" customHeight="1" x14ac:dyDescent="0.2">
      <c r="A201" s="193"/>
      <c r="B201" s="175"/>
      <c r="C201" s="111"/>
      <c r="D201" s="111"/>
      <c r="E201" s="9"/>
      <c r="F201" s="111"/>
      <c r="G201" s="111"/>
      <c r="H201" s="9"/>
      <c r="I201" s="9"/>
      <c r="J201" s="111"/>
      <c r="K201" s="111"/>
      <c r="L201" s="187"/>
      <c r="M201" s="16"/>
      <c r="N201" s="15"/>
      <c r="O201" s="15"/>
      <c r="P201" s="16"/>
      <c r="Q201" s="174"/>
      <c r="R201" s="174"/>
      <c r="S201" s="59"/>
      <c r="T201" s="59"/>
      <c r="U201" s="174"/>
      <c r="V201" s="174"/>
      <c r="W201" s="174"/>
      <c r="X201" s="59"/>
      <c r="Y201" s="59"/>
      <c r="Z201" s="92"/>
    </row>
    <row r="202" spans="1:26" ht="16.5" customHeight="1" x14ac:dyDescent="0.2">
      <c r="A202" s="193"/>
      <c r="B202" s="175"/>
      <c r="C202" s="111"/>
      <c r="D202" s="111"/>
      <c r="E202" s="9"/>
      <c r="F202" s="111"/>
      <c r="G202" s="111"/>
      <c r="H202" s="9"/>
      <c r="I202" s="9"/>
      <c r="J202" s="111"/>
      <c r="K202" s="111"/>
      <c r="L202" s="187"/>
      <c r="M202" s="16"/>
      <c r="N202" s="15"/>
      <c r="O202" s="15"/>
      <c r="P202" s="16"/>
      <c r="Q202" s="174"/>
      <c r="R202" s="174"/>
      <c r="S202" s="59"/>
      <c r="T202" s="59"/>
      <c r="U202" s="174"/>
      <c r="V202" s="174"/>
      <c r="W202" s="174"/>
      <c r="X202" s="59"/>
      <c r="Y202" s="59"/>
      <c r="Z202" s="92"/>
    </row>
    <row r="203" spans="1:26" ht="16.5" customHeight="1" x14ac:dyDescent="0.2">
      <c r="A203" s="193"/>
      <c r="B203" s="175"/>
      <c r="C203" s="111"/>
      <c r="D203" s="111"/>
      <c r="E203" s="9"/>
      <c r="F203" s="111"/>
      <c r="G203" s="111"/>
      <c r="H203" s="9"/>
      <c r="I203" s="9"/>
      <c r="J203" s="111"/>
      <c r="K203" s="111"/>
      <c r="L203" s="187"/>
      <c r="M203" s="16"/>
      <c r="N203" s="15"/>
      <c r="O203" s="15"/>
      <c r="P203" s="16"/>
      <c r="Q203" s="174"/>
      <c r="R203" s="174"/>
      <c r="S203" s="59"/>
      <c r="T203" s="59"/>
      <c r="U203" s="174"/>
      <c r="V203" s="174"/>
      <c r="W203" s="174"/>
      <c r="X203" s="59"/>
      <c r="Y203" s="59"/>
      <c r="Z203" s="92"/>
    </row>
    <row r="204" spans="1:26" ht="16.5" customHeight="1" x14ac:dyDescent="0.2">
      <c r="A204" s="193"/>
      <c r="B204" s="175"/>
      <c r="C204" s="111"/>
      <c r="D204" s="111"/>
      <c r="E204" s="9"/>
      <c r="F204" s="111"/>
      <c r="G204" s="111"/>
      <c r="H204" s="9"/>
      <c r="I204" s="9"/>
      <c r="J204" s="111"/>
      <c r="K204" s="111"/>
      <c r="L204" s="187"/>
      <c r="M204" s="16"/>
      <c r="N204" s="15"/>
      <c r="O204" s="15"/>
      <c r="P204" s="16"/>
      <c r="Q204" s="174"/>
      <c r="R204" s="174"/>
      <c r="S204" s="59"/>
      <c r="T204" s="59"/>
      <c r="U204" s="174"/>
      <c r="V204" s="174"/>
      <c r="W204" s="174"/>
      <c r="X204" s="59"/>
      <c r="Y204" s="59"/>
      <c r="Z204" s="92"/>
    </row>
    <row r="205" spans="1:26" ht="16.5" customHeight="1" x14ac:dyDescent="0.2">
      <c r="A205" s="193"/>
      <c r="B205" s="175"/>
      <c r="C205" s="111"/>
      <c r="D205" s="111"/>
      <c r="E205" s="9"/>
      <c r="F205" s="111"/>
      <c r="G205" s="111"/>
      <c r="H205" s="9"/>
      <c r="I205" s="9"/>
      <c r="J205" s="111"/>
      <c r="K205" s="111"/>
      <c r="L205" s="187"/>
      <c r="M205" s="16"/>
      <c r="N205" s="15"/>
      <c r="O205" s="15"/>
      <c r="P205" s="16"/>
      <c r="Q205" s="174"/>
      <c r="R205" s="174"/>
      <c r="S205" s="59"/>
      <c r="T205" s="59"/>
      <c r="U205" s="174"/>
      <c r="V205" s="174"/>
      <c r="W205" s="174"/>
      <c r="X205" s="59"/>
      <c r="Y205" s="59"/>
      <c r="Z205" s="92"/>
    </row>
    <row r="206" spans="1:26" ht="16.5" customHeight="1" x14ac:dyDescent="0.2">
      <c r="A206" s="193"/>
      <c r="B206" s="175"/>
      <c r="C206" s="111"/>
      <c r="D206" s="111"/>
      <c r="E206" s="9"/>
      <c r="F206" s="111"/>
      <c r="G206" s="111"/>
      <c r="H206" s="9"/>
      <c r="I206" s="9"/>
      <c r="J206" s="111"/>
      <c r="K206" s="111"/>
      <c r="L206" s="187"/>
      <c r="M206" s="16"/>
      <c r="N206" s="15"/>
      <c r="O206" s="15"/>
      <c r="P206" s="16"/>
      <c r="Q206" s="174"/>
      <c r="R206" s="174"/>
      <c r="S206" s="59"/>
      <c r="T206" s="59"/>
      <c r="U206" s="174"/>
      <c r="V206" s="174"/>
      <c r="W206" s="174"/>
      <c r="X206" s="59"/>
      <c r="Y206" s="59"/>
      <c r="Z206" s="92"/>
    </row>
    <row r="207" spans="1:26" ht="16.5" customHeight="1" x14ac:dyDescent="0.2">
      <c r="A207" s="193"/>
      <c r="B207" s="175"/>
      <c r="C207" s="111"/>
      <c r="D207" s="111"/>
      <c r="E207" s="9"/>
      <c r="F207" s="111"/>
      <c r="G207" s="111"/>
      <c r="H207" s="9"/>
      <c r="I207" s="9"/>
      <c r="J207" s="111"/>
      <c r="K207" s="111"/>
      <c r="L207" s="187"/>
      <c r="M207" s="16"/>
      <c r="N207" s="15"/>
      <c r="O207" s="15"/>
      <c r="P207" s="16"/>
      <c r="Q207" s="174"/>
      <c r="R207" s="174"/>
      <c r="S207" s="59"/>
      <c r="T207" s="59"/>
      <c r="U207" s="174"/>
      <c r="V207" s="174"/>
      <c r="W207" s="174"/>
      <c r="X207" s="59"/>
      <c r="Y207" s="59"/>
      <c r="Z207" s="92"/>
    </row>
    <row r="208" spans="1:26" ht="16.5" customHeight="1" x14ac:dyDescent="0.2">
      <c r="A208" s="193"/>
      <c r="B208" s="175"/>
      <c r="C208" s="111"/>
      <c r="D208" s="111"/>
      <c r="E208" s="9"/>
      <c r="F208" s="111"/>
      <c r="G208" s="111"/>
      <c r="H208" s="9"/>
      <c r="I208" s="9"/>
      <c r="J208" s="111"/>
      <c r="K208" s="111"/>
      <c r="L208" s="187"/>
      <c r="M208" s="16"/>
      <c r="N208" s="15"/>
      <c r="O208" s="15"/>
      <c r="P208" s="16"/>
      <c r="Q208" s="174"/>
      <c r="R208" s="174"/>
      <c r="S208" s="59"/>
      <c r="T208" s="59"/>
      <c r="U208" s="174"/>
      <c r="V208" s="174"/>
      <c r="W208" s="174"/>
      <c r="X208" s="59"/>
      <c r="Y208" s="59"/>
      <c r="Z208" s="92"/>
    </row>
    <row r="209" spans="1:26" ht="16.5" customHeight="1" x14ac:dyDescent="0.2">
      <c r="A209" s="193"/>
      <c r="B209" s="175"/>
      <c r="C209" s="111"/>
      <c r="D209" s="111"/>
      <c r="E209" s="9"/>
      <c r="F209" s="111"/>
      <c r="G209" s="111"/>
      <c r="H209" s="9"/>
      <c r="I209" s="9"/>
      <c r="J209" s="111"/>
      <c r="K209" s="111"/>
      <c r="L209" s="187"/>
      <c r="M209" s="16"/>
      <c r="N209" s="15"/>
      <c r="O209" s="15"/>
      <c r="P209" s="16"/>
      <c r="Q209" s="174"/>
      <c r="R209" s="174"/>
      <c r="S209" s="59"/>
      <c r="T209" s="59"/>
      <c r="U209" s="174"/>
      <c r="V209" s="174"/>
      <c r="W209" s="174"/>
      <c r="X209" s="59"/>
      <c r="Y209" s="59"/>
      <c r="Z209" s="92"/>
    </row>
    <row r="210" spans="1:26" ht="16.5" customHeight="1" x14ac:dyDescent="0.2">
      <c r="A210" s="193"/>
      <c r="B210" s="175"/>
      <c r="C210" s="111"/>
      <c r="D210" s="111"/>
      <c r="E210" s="9"/>
      <c r="F210" s="111"/>
      <c r="G210" s="111"/>
      <c r="H210" s="9"/>
      <c r="I210" s="9"/>
      <c r="J210" s="111"/>
      <c r="K210" s="111"/>
      <c r="L210" s="187"/>
      <c r="M210" s="16"/>
      <c r="N210" s="15"/>
      <c r="O210" s="15"/>
      <c r="P210" s="16"/>
      <c r="Q210" s="174"/>
      <c r="R210" s="174"/>
      <c r="S210" s="59"/>
      <c r="T210" s="59"/>
      <c r="U210" s="174"/>
      <c r="V210" s="174"/>
      <c r="W210" s="174"/>
      <c r="X210" s="59"/>
      <c r="Y210" s="59"/>
      <c r="Z210" s="92"/>
    </row>
    <row r="211" spans="1:26" ht="16.5" customHeight="1" x14ac:dyDescent="0.2">
      <c r="A211" s="193"/>
      <c r="B211" s="175"/>
      <c r="C211" s="111"/>
      <c r="D211" s="111"/>
      <c r="E211" s="9"/>
      <c r="F211" s="111"/>
      <c r="G211" s="111"/>
      <c r="H211" s="9"/>
      <c r="I211" s="9"/>
      <c r="J211" s="111"/>
      <c r="K211" s="111"/>
      <c r="L211" s="187"/>
      <c r="M211" s="16"/>
      <c r="N211" s="15"/>
      <c r="O211" s="15"/>
      <c r="P211" s="16"/>
      <c r="Q211" s="174"/>
      <c r="R211" s="174"/>
      <c r="S211" s="59"/>
      <c r="T211" s="59"/>
      <c r="U211" s="174"/>
      <c r="V211" s="174"/>
      <c r="W211" s="174"/>
      <c r="X211" s="59"/>
      <c r="Y211" s="59"/>
      <c r="Z211" s="92"/>
    </row>
    <row r="212" spans="1:26" ht="16.5" customHeight="1" x14ac:dyDescent="0.2">
      <c r="A212" s="193"/>
      <c r="B212" s="175"/>
      <c r="C212" s="111"/>
      <c r="D212" s="111"/>
      <c r="E212" s="9"/>
      <c r="F212" s="111"/>
      <c r="G212" s="111"/>
      <c r="H212" s="9"/>
      <c r="I212" s="9"/>
      <c r="J212" s="111"/>
      <c r="K212" s="111"/>
      <c r="L212" s="187"/>
      <c r="M212" s="16"/>
      <c r="N212" s="15"/>
      <c r="O212" s="15"/>
      <c r="P212" s="16"/>
      <c r="Q212" s="174"/>
      <c r="R212" s="174"/>
      <c r="S212" s="59"/>
      <c r="T212" s="59"/>
      <c r="U212" s="174"/>
      <c r="V212" s="174"/>
      <c r="W212" s="174"/>
      <c r="X212" s="59"/>
      <c r="Y212" s="59"/>
      <c r="Z212" s="92"/>
    </row>
    <row r="213" spans="1:26" ht="16.5" customHeight="1" x14ac:dyDescent="0.2">
      <c r="A213" s="193"/>
      <c r="B213" s="175"/>
      <c r="C213" s="111"/>
      <c r="D213" s="111"/>
      <c r="E213" s="9"/>
      <c r="F213" s="111"/>
      <c r="G213" s="111"/>
      <c r="H213" s="9"/>
      <c r="I213" s="9"/>
      <c r="J213" s="111"/>
      <c r="K213" s="111"/>
      <c r="L213" s="187"/>
      <c r="M213" s="16"/>
      <c r="N213" s="15"/>
      <c r="O213" s="15"/>
      <c r="P213" s="16"/>
      <c r="Q213" s="174"/>
      <c r="R213" s="174"/>
      <c r="S213" s="59"/>
      <c r="T213" s="59"/>
      <c r="U213" s="174"/>
      <c r="V213" s="174"/>
      <c r="W213" s="174"/>
      <c r="X213" s="59"/>
      <c r="Y213" s="59"/>
      <c r="Z213" s="92"/>
    </row>
  </sheetData>
  <autoFilter ref="A1:Z96">
    <filterColumn colId="3">
      <filters>
        <filter val="Thủy"/>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
  <sheetViews>
    <sheetView workbookViewId="0"/>
  </sheetViews>
  <sheetFormatPr defaultColWidth="17.140625" defaultRowHeight="12.75" customHeight="1" x14ac:dyDescent="0.2"/>
  <cols>
    <col min="1" max="1" width="10.42578125" customWidth="1"/>
    <col min="2" max="2" width="1.42578125" customWidth="1"/>
    <col min="3" max="3" width="13.5703125" customWidth="1"/>
    <col min="4" max="4" width="1.42578125" customWidth="1"/>
    <col min="6" max="6" width="1.28515625" customWidth="1"/>
    <col min="7" max="7" width="8.7109375" customWidth="1"/>
    <col min="8" max="8" width="1.5703125" customWidth="1"/>
    <col min="9" max="9" width="10.7109375" customWidth="1"/>
    <col min="10" max="10" width="2.140625" customWidth="1"/>
    <col min="12" max="12" width="1.7109375" customWidth="1"/>
    <col min="13" max="13" width="12.5703125" customWidth="1"/>
    <col min="14" max="14" width="1.7109375" customWidth="1"/>
    <col min="15" max="15" width="11.7109375" customWidth="1"/>
    <col min="16" max="16" width="2" customWidth="1"/>
    <col min="17" max="17" width="9.140625" customWidth="1"/>
    <col min="18" max="18" width="0.7109375" customWidth="1"/>
    <col min="19" max="19" width="14.28515625" customWidth="1"/>
    <col min="20" max="20" width="1.42578125" customWidth="1"/>
    <col min="21" max="21" width="19" customWidth="1"/>
    <col min="22" max="22" width="1.42578125" customWidth="1"/>
    <col min="23" max="23" width="14.85546875" customWidth="1"/>
    <col min="24" max="24" width="1.28515625" customWidth="1"/>
    <col min="25" max="25" width="13.85546875" customWidth="1"/>
    <col min="26" max="26" width="1.7109375" customWidth="1"/>
    <col min="27" max="27" width="8" customWidth="1"/>
    <col min="28" max="28" width="1.7109375" customWidth="1"/>
    <col min="30" max="30" width="2.85546875" customWidth="1"/>
  </cols>
  <sheetData>
    <row r="1" spans="1:29" x14ac:dyDescent="0.2">
      <c r="A1" t="s">
        <v>6100</v>
      </c>
      <c r="B1" s="218" t="s">
        <v>6101</v>
      </c>
      <c r="C1" s="218"/>
      <c r="D1" s="218"/>
      <c r="E1" s="218"/>
      <c r="F1" s="218"/>
      <c r="G1" s="218"/>
      <c r="H1" s="218"/>
      <c r="I1" s="218"/>
      <c r="J1" s="218"/>
      <c r="K1" s="218"/>
      <c r="L1" s="218"/>
      <c r="M1" s="218"/>
      <c r="N1" s="218"/>
      <c r="O1" s="218"/>
      <c r="P1" s="218"/>
      <c r="Q1" s="218"/>
      <c r="R1" s="218"/>
      <c r="S1" s="218"/>
      <c r="T1" s="218"/>
      <c r="U1" s="218"/>
      <c r="V1" s="218"/>
      <c r="W1" s="218"/>
      <c r="X1" s="218"/>
      <c r="Y1" s="218"/>
    </row>
    <row r="3" spans="1:29" ht="1.5" customHeight="1" x14ac:dyDescent="0.2">
      <c r="A3" s="43" t="s">
        <v>6102</v>
      </c>
      <c r="B3" s="132"/>
      <c r="C3" s="43" t="s">
        <v>6103</v>
      </c>
      <c r="D3" s="132"/>
      <c r="E3" s="43" t="s">
        <v>6104</v>
      </c>
      <c r="F3" s="132"/>
      <c r="G3" s="43" t="s">
        <v>6105</v>
      </c>
      <c r="H3" s="132"/>
      <c r="I3" s="43" t="s">
        <v>6106</v>
      </c>
      <c r="J3" s="132"/>
      <c r="K3" s="43" t="s">
        <v>5979</v>
      </c>
      <c r="L3" s="132"/>
      <c r="M3" s="43" t="s">
        <v>6107</v>
      </c>
      <c r="N3" s="132"/>
      <c r="O3" s="43" t="s">
        <v>6108</v>
      </c>
      <c r="P3" s="132"/>
      <c r="Q3" s="43" t="s">
        <v>6109</v>
      </c>
      <c r="R3" s="132"/>
      <c r="S3" s="43" t="s">
        <v>6110</v>
      </c>
      <c r="T3" s="132"/>
      <c r="U3" s="43" t="s">
        <v>6111</v>
      </c>
      <c r="V3" s="132"/>
      <c r="W3" s="43" t="s">
        <v>6112</v>
      </c>
      <c r="X3" s="132"/>
      <c r="Y3" s="43" t="s">
        <v>6113</v>
      </c>
      <c r="AA3" s="43" t="s">
        <v>6114</v>
      </c>
      <c r="AC3" s="43" t="s">
        <v>6115</v>
      </c>
    </row>
    <row r="4" spans="1:29" x14ac:dyDescent="0.2">
      <c r="A4" t="s">
        <v>6116</v>
      </c>
      <c r="C4" t="s">
        <v>6117</v>
      </c>
      <c r="E4" t="s">
        <v>6118</v>
      </c>
      <c r="G4" t="s">
        <v>6119</v>
      </c>
      <c r="I4" t="s">
        <v>6120</v>
      </c>
      <c r="K4" t="s">
        <v>6121</v>
      </c>
      <c r="M4">
        <v>1</v>
      </c>
      <c r="O4" t="s">
        <v>6122</v>
      </c>
      <c r="Q4" t="s">
        <v>6123</v>
      </c>
      <c r="S4" t="s">
        <v>52</v>
      </c>
      <c r="U4" t="s">
        <v>6124</v>
      </c>
      <c r="W4" t="s">
        <v>6125</v>
      </c>
      <c r="Y4" t="s">
        <v>6126</v>
      </c>
      <c r="AA4" t="s">
        <v>6127</v>
      </c>
      <c r="AC4" t="s">
        <v>6128</v>
      </c>
    </row>
    <row r="5" spans="1:29" ht="25.5" x14ac:dyDescent="0.2">
      <c r="A5" t="s">
        <v>62</v>
      </c>
      <c r="C5" t="s">
        <v>79</v>
      </c>
      <c r="E5" t="s">
        <v>6129</v>
      </c>
      <c r="G5" t="s">
        <v>5510</v>
      </c>
      <c r="I5" t="s">
        <v>6130</v>
      </c>
      <c r="K5" t="s">
        <v>6131</v>
      </c>
      <c r="M5">
        <v>0.9</v>
      </c>
      <c r="O5" t="s">
        <v>6132</v>
      </c>
      <c r="Q5" t="s">
        <v>6133</v>
      </c>
      <c r="S5" t="s">
        <v>6134</v>
      </c>
      <c r="U5" t="s">
        <v>6135</v>
      </c>
      <c r="W5" t="s">
        <v>6136</v>
      </c>
      <c r="Y5" t="s">
        <v>6137</v>
      </c>
      <c r="AA5" t="s">
        <v>6138</v>
      </c>
      <c r="AC5" t="s">
        <v>6139</v>
      </c>
    </row>
    <row r="6" spans="1:29" ht="25.5" x14ac:dyDescent="0.2">
      <c r="A6" t="s">
        <v>6140</v>
      </c>
      <c r="C6" t="s">
        <v>6141</v>
      </c>
      <c r="E6" t="s">
        <v>6142</v>
      </c>
      <c r="G6" t="s">
        <v>5651</v>
      </c>
      <c r="I6" t="s">
        <v>6143</v>
      </c>
      <c r="M6">
        <v>0.8</v>
      </c>
      <c r="O6" t="s">
        <v>6144</v>
      </c>
      <c r="U6" t="s">
        <v>6145</v>
      </c>
      <c r="W6" t="s">
        <v>6146</v>
      </c>
      <c r="Y6" t="s">
        <v>6147</v>
      </c>
      <c r="AA6" t="s">
        <v>6148</v>
      </c>
      <c r="AC6" t="s">
        <v>6149</v>
      </c>
    </row>
    <row r="7" spans="1:29" x14ac:dyDescent="0.2">
      <c r="A7" t="s">
        <v>6150</v>
      </c>
      <c r="C7" t="s">
        <v>6151</v>
      </c>
      <c r="E7" t="s">
        <v>6152</v>
      </c>
      <c r="G7" t="s">
        <v>6153</v>
      </c>
      <c r="M7">
        <v>0.7</v>
      </c>
      <c r="O7" t="s">
        <v>105</v>
      </c>
      <c r="W7" t="s">
        <v>6154</v>
      </c>
      <c r="Y7" t="s">
        <v>6154</v>
      </c>
      <c r="AA7" t="s">
        <v>6155</v>
      </c>
      <c r="AC7" t="s">
        <v>6154</v>
      </c>
    </row>
    <row r="8" spans="1:29" x14ac:dyDescent="0.2">
      <c r="A8" t="s">
        <v>6156</v>
      </c>
      <c r="C8" t="s">
        <v>6157</v>
      </c>
      <c r="G8" t="s">
        <v>6158</v>
      </c>
      <c r="M8">
        <v>0.6</v>
      </c>
    </row>
    <row r="9" spans="1:29" x14ac:dyDescent="0.2">
      <c r="A9" t="s">
        <v>294</v>
      </c>
      <c r="C9" t="s">
        <v>294</v>
      </c>
      <c r="G9" t="s">
        <v>6159</v>
      </c>
      <c r="M9">
        <v>0.5</v>
      </c>
    </row>
    <row r="10" spans="1:29" x14ac:dyDescent="0.2">
      <c r="A10" t="s">
        <v>236</v>
      </c>
      <c r="G10" t="s">
        <v>2322</v>
      </c>
      <c r="M10">
        <v>0.4</v>
      </c>
    </row>
    <row r="11" spans="1:29" x14ac:dyDescent="0.2">
      <c r="M11">
        <v>0.3</v>
      </c>
    </row>
    <row r="12" spans="1:29" x14ac:dyDescent="0.2">
      <c r="M12">
        <v>0.2</v>
      </c>
    </row>
    <row r="13" spans="1:29" x14ac:dyDescent="0.2">
      <c r="M13">
        <v>0.1</v>
      </c>
    </row>
  </sheetData>
  <mergeCells count="1">
    <mergeCell ref="B1:Y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71"/>
  <sheetViews>
    <sheetView tabSelected="1" workbookViewId="0"/>
  </sheetViews>
  <sheetFormatPr defaultColWidth="17.140625" defaultRowHeight="12.75" customHeight="1" x14ac:dyDescent="0.2"/>
  <sheetData>
    <row r="2" spans="1:29" ht="12.75" customHeight="1" x14ac:dyDescent="0.2">
      <c r="A2" t="s">
        <v>6160</v>
      </c>
      <c r="D2" t="s">
        <v>6161</v>
      </c>
      <c r="I2" t="s">
        <v>6162</v>
      </c>
      <c r="K2" t="s">
        <v>6163</v>
      </c>
      <c r="M2" t="s">
        <v>6164</v>
      </c>
      <c r="O2" t="s">
        <v>6165</v>
      </c>
      <c r="Q2" t="s">
        <v>6166</v>
      </c>
      <c r="S2" t="s">
        <v>6167</v>
      </c>
      <c r="U2" t="s">
        <v>6168</v>
      </c>
      <c r="W2" t="s">
        <v>6169</v>
      </c>
      <c r="Y2" t="s">
        <v>45</v>
      </c>
      <c r="AA2" t="s">
        <v>44</v>
      </c>
      <c r="AC2" t="s">
        <v>46</v>
      </c>
    </row>
    <row r="3" spans="1:29" ht="12.75" customHeight="1" x14ac:dyDescent="0.2">
      <c r="A3" t="s">
        <v>6170</v>
      </c>
      <c r="B3" t="s">
        <v>3</v>
      </c>
      <c r="D3" t="s">
        <v>6171</v>
      </c>
      <c r="E3" t="s">
        <v>6172</v>
      </c>
      <c r="F3" t="s">
        <v>6173</v>
      </c>
      <c r="I3" t="s">
        <v>6174</v>
      </c>
      <c r="K3" t="s">
        <v>6175</v>
      </c>
      <c r="M3" t="s">
        <v>6176</v>
      </c>
      <c r="O3" t="s">
        <v>6177</v>
      </c>
      <c r="Q3" t="s">
        <v>6178</v>
      </c>
      <c r="S3" t="s">
        <v>6179</v>
      </c>
      <c r="U3" t="s">
        <v>6180</v>
      </c>
      <c r="W3" t="s">
        <v>6181</v>
      </c>
      <c r="Y3" t="s">
        <v>107</v>
      </c>
      <c r="AA3" t="s">
        <v>6182</v>
      </c>
      <c r="AC3" t="s">
        <v>6183</v>
      </c>
    </row>
    <row r="4" spans="1:29" ht="12.75" customHeight="1" x14ac:dyDescent="0.2">
      <c r="A4" t="s">
        <v>284</v>
      </c>
      <c r="B4" t="s">
        <v>6184</v>
      </c>
      <c r="D4" t="s">
        <v>6185</v>
      </c>
      <c r="E4" t="s">
        <v>1166</v>
      </c>
      <c r="F4" t="s">
        <v>1906</v>
      </c>
      <c r="G4" t="s">
        <v>6186</v>
      </c>
      <c r="I4" t="s">
        <v>6187</v>
      </c>
      <c r="K4" t="s">
        <v>6188</v>
      </c>
      <c r="M4" t="s">
        <v>6189</v>
      </c>
      <c r="O4" t="s">
        <v>6190</v>
      </c>
      <c r="Q4" t="s">
        <v>6191</v>
      </c>
      <c r="S4" t="s">
        <v>6192</v>
      </c>
      <c r="U4" t="s">
        <v>6193</v>
      </c>
      <c r="W4" t="s">
        <v>6194</v>
      </c>
      <c r="Y4" t="s">
        <v>347</v>
      </c>
      <c r="AA4" t="s">
        <v>6195</v>
      </c>
      <c r="AC4" t="s">
        <v>6196</v>
      </c>
    </row>
    <row r="5" spans="1:29" ht="12.75" customHeight="1" x14ac:dyDescent="0.2">
      <c r="A5" t="s">
        <v>616</v>
      </c>
      <c r="B5" t="s">
        <v>6197</v>
      </c>
      <c r="D5" t="s">
        <v>6198</v>
      </c>
      <c r="E5" t="s">
        <v>207</v>
      </c>
      <c r="F5" t="s">
        <v>1167</v>
      </c>
      <c r="G5" t="s">
        <v>6199</v>
      </c>
      <c r="I5" t="s">
        <v>6200</v>
      </c>
      <c r="K5" t="s">
        <v>6201</v>
      </c>
      <c r="M5" t="s">
        <v>6202</v>
      </c>
      <c r="O5" t="s">
        <v>6203</v>
      </c>
      <c r="Q5" t="s">
        <v>6204</v>
      </c>
      <c r="S5" t="s">
        <v>6205</v>
      </c>
      <c r="U5" t="s">
        <v>6206</v>
      </c>
      <c r="W5" t="s">
        <v>6207</v>
      </c>
      <c r="Y5" t="s">
        <v>6208</v>
      </c>
      <c r="AA5" t="s">
        <v>6209</v>
      </c>
      <c r="AC5" t="s">
        <v>6210</v>
      </c>
    </row>
    <row r="6" spans="1:29" ht="12.75" customHeight="1" x14ac:dyDescent="0.2">
      <c r="A6" t="s">
        <v>3626</v>
      </c>
      <c r="B6" t="s">
        <v>6211</v>
      </c>
      <c r="D6" t="s">
        <v>148</v>
      </c>
      <c r="E6" t="s">
        <v>1343</v>
      </c>
      <c r="F6" t="s">
        <v>525</v>
      </c>
      <c r="G6" t="s">
        <v>6212</v>
      </c>
      <c r="I6" t="s">
        <v>6213</v>
      </c>
      <c r="K6" t="s">
        <v>6214</v>
      </c>
      <c r="M6" t="s">
        <v>6215</v>
      </c>
      <c r="O6" t="s">
        <v>6216</v>
      </c>
      <c r="Q6" t="s">
        <v>6217</v>
      </c>
      <c r="S6" t="s">
        <v>6218</v>
      </c>
      <c r="U6" t="s">
        <v>6219</v>
      </c>
      <c r="W6" t="s">
        <v>6220</v>
      </c>
      <c r="Y6" t="s">
        <v>67</v>
      </c>
      <c r="AC6" t="s">
        <v>6221</v>
      </c>
    </row>
    <row r="7" spans="1:29" ht="12.75" customHeight="1" x14ac:dyDescent="0.2">
      <c r="A7" t="s">
        <v>1937</v>
      </c>
      <c r="B7" t="s">
        <v>6222</v>
      </c>
      <c r="D7" t="s">
        <v>6141</v>
      </c>
      <c r="E7" t="s">
        <v>6223</v>
      </c>
      <c r="F7" t="s">
        <v>1128</v>
      </c>
      <c r="G7" t="s">
        <v>6224</v>
      </c>
      <c r="I7" t="s">
        <v>6225</v>
      </c>
      <c r="M7" t="s">
        <v>6226</v>
      </c>
      <c r="Q7" t="s">
        <v>6227</v>
      </c>
      <c r="S7" t="s">
        <v>6228</v>
      </c>
      <c r="U7" t="s">
        <v>6229</v>
      </c>
      <c r="W7" t="s">
        <v>6230</v>
      </c>
    </row>
    <row r="8" spans="1:29" ht="12.75" customHeight="1" x14ac:dyDescent="0.2">
      <c r="A8" t="s">
        <v>831</v>
      </c>
      <c r="B8" t="s">
        <v>6231</v>
      </c>
      <c r="D8" t="s">
        <v>6232</v>
      </c>
      <c r="E8" t="s">
        <v>512</v>
      </c>
      <c r="F8" t="s">
        <v>3523</v>
      </c>
      <c r="G8" t="s">
        <v>6233</v>
      </c>
      <c r="I8" t="s">
        <v>6234</v>
      </c>
      <c r="M8" t="s">
        <v>6235</v>
      </c>
      <c r="Q8" t="s">
        <v>6236</v>
      </c>
      <c r="S8" t="s">
        <v>6237</v>
      </c>
    </row>
    <row r="9" spans="1:29" ht="12.75" customHeight="1" x14ac:dyDescent="0.2">
      <c r="A9" t="s">
        <v>6157</v>
      </c>
      <c r="B9" t="s">
        <v>6238</v>
      </c>
      <c r="D9" t="s">
        <v>6239</v>
      </c>
      <c r="E9" t="s">
        <v>181</v>
      </c>
      <c r="F9" t="s">
        <v>6240</v>
      </c>
      <c r="G9" t="s">
        <v>6241</v>
      </c>
      <c r="Q9" t="s">
        <v>6242</v>
      </c>
    </row>
    <row r="10" spans="1:29" ht="12.75" customHeight="1" x14ac:dyDescent="0.2">
      <c r="A10" t="s">
        <v>206</v>
      </c>
      <c r="B10" t="s">
        <v>5696</v>
      </c>
      <c r="D10" t="s">
        <v>6243</v>
      </c>
      <c r="E10" t="s">
        <v>917</v>
      </c>
      <c r="F10" t="s">
        <v>2106</v>
      </c>
      <c r="G10" t="s">
        <v>6244</v>
      </c>
      <c r="Q10" t="s">
        <v>6245</v>
      </c>
      <c r="AA10" t="s">
        <v>6246</v>
      </c>
    </row>
    <row r="11" spans="1:29" ht="12.75" customHeight="1" x14ac:dyDescent="0.2">
      <c r="A11" t="s">
        <v>374</v>
      </c>
      <c r="B11" t="s">
        <v>5615</v>
      </c>
      <c r="D11" t="s">
        <v>248</v>
      </c>
      <c r="E11" t="s">
        <v>404</v>
      </c>
      <c r="F11" t="s">
        <v>585</v>
      </c>
      <c r="G11" t="s">
        <v>6247</v>
      </c>
      <c r="AA11" t="s">
        <v>6248</v>
      </c>
    </row>
    <row r="12" spans="1:29" ht="12.75" customHeight="1" x14ac:dyDescent="0.2">
      <c r="A12" t="s">
        <v>180</v>
      </c>
      <c r="B12" t="s">
        <v>6249</v>
      </c>
      <c r="E12" t="s">
        <v>6250</v>
      </c>
      <c r="F12" t="s">
        <v>1174</v>
      </c>
      <c r="G12" t="s">
        <v>6251</v>
      </c>
      <c r="AA12" t="s">
        <v>6252</v>
      </c>
    </row>
    <row r="13" spans="1:29" ht="12.75" customHeight="1" x14ac:dyDescent="0.2">
      <c r="A13" t="s">
        <v>102</v>
      </c>
      <c r="B13" t="s">
        <v>6253</v>
      </c>
      <c r="E13" t="s">
        <v>1067</v>
      </c>
      <c r="F13" t="s">
        <v>1749</v>
      </c>
      <c r="G13" t="s">
        <v>6254</v>
      </c>
      <c r="AA13" t="s">
        <v>6255</v>
      </c>
    </row>
    <row r="14" spans="1:29" ht="12.75" customHeight="1" x14ac:dyDescent="0.2">
      <c r="A14" t="s">
        <v>147</v>
      </c>
      <c r="B14" t="s">
        <v>6256</v>
      </c>
      <c r="E14" t="s">
        <v>104</v>
      </c>
      <c r="F14" t="s">
        <v>1344</v>
      </c>
      <c r="G14" t="s">
        <v>6257</v>
      </c>
    </row>
    <row r="15" spans="1:29" ht="12.75" customHeight="1" x14ac:dyDescent="0.2">
      <c r="A15" t="s">
        <v>157</v>
      </c>
      <c r="B15" t="s">
        <v>6258</v>
      </c>
      <c r="E15" t="s">
        <v>221</v>
      </c>
      <c r="F15" t="s">
        <v>2806</v>
      </c>
      <c r="G15" t="s">
        <v>6259</v>
      </c>
    </row>
    <row r="16" spans="1:29" ht="12.75" customHeight="1" x14ac:dyDescent="0.2">
      <c r="A16" t="s">
        <v>62</v>
      </c>
      <c r="B16" t="s">
        <v>6260</v>
      </c>
      <c r="E16" t="s">
        <v>198</v>
      </c>
      <c r="F16" t="s">
        <v>2800</v>
      </c>
      <c r="G16" t="s">
        <v>6261</v>
      </c>
    </row>
    <row r="17" spans="1:13" ht="12.75" customHeight="1" x14ac:dyDescent="0.2">
      <c r="A17" t="s">
        <v>91</v>
      </c>
      <c r="B17" t="s">
        <v>6262</v>
      </c>
      <c r="E17" t="s">
        <v>168</v>
      </c>
      <c r="F17" t="s">
        <v>973</v>
      </c>
      <c r="G17" t="s">
        <v>6263</v>
      </c>
    </row>
    <row r="18" spans="1:13" ht="12.75" customHeight="1" x14ac:dyDescent="0.2">
      <c r="E18" t="s">
        <v>1183</v>
      </c>
      <c r="F18" t="s">
        <v>1650</v>
      </c>
      <c r="G18" t="s">
        <v>6264</v>
      </c>
    </row>
    <row r="19" spans="1:13" ht="12.75" customHeight="1" x14ac:dyDescent="0.2">
      <c r="E19" t="s">
        <v>2442</v>
      </c>
      <c r="F19" t="s">
        <v>6265</v>
      </c>
      <c r="G19" t="s">
        <v>6266</v>
      </c>
    </row>
    <row r="20" spans="1:13" ht="12.75" customHeight="1" x14ac:dyDescent="0.2">
      <c r="E20" t="s">
        <v>866</v>
      </c>
      <c r="F20" t="s">
        <v>6267</v>
      </c>
      <c r="G20" t="s">
        <v>6268</v>
      </c>
    </row>
    <row r="21" spans="1:13" ht="12.75" customHeight="1" x14ac:dyDescent="0.2">
      <c r="E21" t="s">
        <v>1145</v>
      </c>
      <c r="F21" t="s">
        <v>1525</v>
      </c>
      <c r="G21" t="s">
        <v>6269</v>
      </c>
    </row>
    <row r="22" spans="1:13" ht="12.75" customHeight="1" x14ac:dyDescent="0.2">
      <c r="E22" t="s">
        <v>629</v>
      </c>
      <c r="F22" t="s">
        <v>475</v>
      </c>
      <c r="G22" t="s">
        <v>6270</v>
      </c>
      <c r="M22" t="s">
        <v>6271</v>
      </c>
    </row>
    <row r="23" spans="1:13" ht="12.75" customHeight="1" x14ac:dyDescent="0.2">
      <c r="A23" t="s">
        <v>6272</v>
      </c>
      <c r="E23" t="s">
        <v>3183</v>
      </c>
      <c r="F23" t="s">
        <v>792</v>
      </c>
      <c r="G23" t="s">
        <v>6273</v>
      </c>
    </row>
    <row r="24" spans="1:13" ht="12.75" customHeight="1" x14ac:dyDescent="0.2">
      <c r="B24" t="s">
        <v>6274</v>
      </c>
      <c r="E24" t="s">
        <v>230</v>
      </c>
      <c r="F24" t="s">
        <v>2099</v>
      </c>
      <c r="G24" t="s">
        <v>6275</v>
      </c>
    </row>
    <row r="25" spans="1:13" ht="12.75" customHeight="1" x14ac:dyDescent="0.2">
      <c r="B25" t="s">
        <v>6276</v>
      </c>
      <c r="E25" t="s">
        <v>6277</v>
      </c>
      <c r="F25" t="s">
        <v>376</v>
      </c>
      <c r="G25" t="s">
        <v>6278</v>
      </c>
    </row>
    <row r="26" spans="1:13" ht="12.75" customHeight="1" x14ac:dyDescent="0.2">
      <c r="B26" t="s">
        <v>6279</v>
      </c>
      <c r="E26" t="s">
        <v>2153</v>
      </c>
      <c r="F26" t="s">
        <v>6280</v>
      </c>
      <c r="G26" t="s">
        <v>6281</v>
      </c>
    </row>
    <row r="27" spans="1:13" ht="12.75" customHeight="1" x14ac:dyDescent="0.2">
      <c r="B27" t="s">
        <v>6282</v>
      </c>
      <c r="E27" t="s">
        <v>453</v>
      </c>
      <c r="F27" t="s">
        <v>1068</v>
      </c>
      <c r="G27" t="s">
        <v>6283</v>
      </c>
    </row>
    <row r="28" spans="1:13" ht="12.75" customHeight="1" x14ac:dyDescent="0.2">
      <c r="E28" t="s">
        <v>129</v>
      </c>
      <c r="F28" t="s">
        <v>1118</v>
      </c>
      <c r="G28" t="s">
        <v>6284</v>
      </c>
    </row>
    <row r="29" spans="1:13" ht="63.75" x14ac:dyDescent="0.2">
      <c r="B29" t="s">
        <v>6285</v>
      </c>
      <c r="F29" t="s">
        <v>963</v>
      </c>
      <c r="G29" t="s">
        <v>6286</v>
      </c>
    </row>
    <row r="30" spans="1:13" x14ac:dyDescent="0.2">
      <c r="B30" t="s">
        <v>6287</v>
      </c>
      <c r="F30" t="s">
        <v>4029</v>
      </c>
      <c r="G30" t="s">
        <v>6288</v>
      </c>
    </row>
    <row r="31" spans="1:13" ht="25.5" x14ac:dyDescent="0.2">
      <c r="B31" t="s">
        <v>6289</v>
      </c>
      <c r="F31" t="s">
        <v>6290</v>
      </c>
      <c r="G31" t="s">
        <v>6291</v>
      </c>
    </row>
    <row r="32" spans="1:13" ht="25.5" x14ac:dyDescent="0.2">
      <c r="B32" t="s">
        <v>6292</v>
      </c>
      <c r="F32" t="s">
        <v>6293</v>
      </c>
      <c r="G32" t="s">
        <v>6294</v>
      </c>
    </row>
    <row r="33" spans="2:7" ht="25.5" x14ac:dyDescent="0.2">
      <c r="B33" t="s">
        <v>6295</v>
      </c>
      <c r="F33" t="s">
        <v>6296</v>
      </c>
      <c r="G33" t="s">
        <v>6297</v>
      </c>
    </row>
    <row r="34" spans="2:7" x14ac:dyDescent="0.2">
      <c r="B34" t="s">
        <v>6298</v>
      </c>
      <c r="F34" t="s">
        <v>6299</v>
      </c>
      <c r="G34" t="s">
        <v>6300</v>
      </c>
    </row>
    <row r="35" spans="2:7" ht="38.25" x14ac:dyDescent="0.2">
      <c r="B35" t="s">
        <v>6301</v>
      </c>
      <c r="F35" t="s">
        <v>1807</v>
      </c>
      <c r="G35" t="s">
        <v>6302</v>
      </c>
    </row>
    <row r="36" spans="2:7" ht="25.5" x14ac:dyDescent="0.2">
      <c r="B36" t="s">
        <v>6303</v>
      </c>
      <c r="F36" t="s">
        <v>1184</v>
      </c>
      <c r="G36" t="s">
        <v>6304</v>
      </c>
    </row>
    <row r="37" spans="2:7" ht="25.5" x14ac:dyDescent="0.2">
      <c r="B37" t="s">
        <v>6305</v>
      </c>
      <c r="F37" t="s">
        <v>1219</v>
      </c>
      <c r="G37" t="s">
        <v>6286</v>
      </c>
    </row>
    <row r="38" spans="2:7" ht="25.5" x14ac:dyDescent="0.2">
      <c r="B38" t="s">
        <v>6306</v>
      </c>
      <c r="F38" t="s">
        <v>6307</v>
      </c>
      <c r="G38" t="s">
        <v>6186</v>
      </c>
    </row>
    <row r="39" spans="2:7" ht="25.5" x14ac:dyDescent="0.2">
      <c r="F39" t="s">
        <v>2443</v>
      </c>
      <c r="G39" t="s">
        <v>6308</v>
      </c>
    </row>
    <row r="40" spans="2:7" ht="25.5" x14ac:dyDescent="0.2">
      <c r="F40" t="s">
        <v>867</v>
      </c>
      <c r="G40" t="s">
        <v>6309</v>
      </c>
    </row>
    <row r="41" spans="2:7" ht="25.5" x14ac:dyDescent="0.2">
      <c r="F41" t="s">
        <v>6310</v>
      </c>
      <c r="G41" t="s">
        <v>6311</v>
      </c>
    </row>
    <row r="42" spans="2:7" ht="25.5" x14ac:dyDescent="0.2">
      <c r="F42" t="s">
        <v>6312</v>
      </c>
      <c r="G42" t="s">
        <v>6313</v>
      </c>
    </row>
    <row r="43" spans="2:7" ht="25.5" x14ac:dyDescent="0.2">
      <c r="F43" t="s">
        <v>901</v>
      </c>
      <c r="G43" t="s">
        <v>6314</v>
      </c>
    </row>
    <row r="44" spans="2:7" ht="25.5" x14ac:dyDescent="0.2">
      <c r="F44" t="s">
        <v>2373</v>
      </c>
      <c r="G44" t="s">
        <v>6315</v>
      </c>
    </row>
    <row r="45" spans="2:7" ht="25.5" x14ac:dyDescent="0.2">
      <c r="F45" t="s">
        <v>1938</v>
      </c>
      <c r="G45" t="s">
        <v>6316</v>
      </c>
    </row>
    <row r="46" spans="2:7" ht="38.25" x14ac:dyDescent="0.2">
      <c r="F46" t="s">
        <v>3730</v>
      </c>
      <c r="G46" t="s">
        <v>6317</v>
      </c>
    </row>
    <row r="47" spans="2:7" x14ac:dyDescent="0.2">
      <c r="F47" t="s">
        <v>1146</v>
      </c>
      <c r="G47" t="s">
        <v>6318</v>
      </c>
    </row>
    <row r="48" spans="2:7" ht="25.5" x14ac:dyDescent="0.2">
      <c r="F48" t="s">
        <v>2219</v>
      </c>
      <c r="G48" t="s">
        <v>6186</v>
      </c>
    </row>
    <row r="49" spans="6:7" x14ac:dyDescent="0.2">
      <c r="F49" t="s">
        <v>6319</v>
      </c>
      <c r="G49" t="s">
        <v>6320</v>
      </c>
    </row>
    <row r="50" spans="6:7" x14ac:dyDescent="0.2">
      <c r="F50" t="s">
        <v>6321</v>
      </c>
      <c r="G50" t="s">
        <v>6322</v>
      </c>
    </row>
    <row r="51" spans="6:7" ht="25.5" x14ac:dyDescent="0.2">
      <c r="F51" t="s">
        <v>1426</v>
      </c>
      <c r="G51" t="s">
        <v>6323</v>
      </c>
    </row>
    <row r="52" spans="6:7" ht="25.5" x14ac:dyDescent="0.2">
      <c r="F52" t="s">
        <v>2256</v>
      </c>
      <c r="G52" t="s">
        <v>6324</v>
      </c>
    </row>
    <row r="53" spans="6:7" ht="25.5" x14ac:dyDescent="0.2">
      <c r="F53" t="s">
        <v>1192</v>
      </c>
      <c r="G53" t="s">
        <v>6304</v>
      </c>
    </row>
    <row r="54" spans="6:7" ht="25.5" x14ac:dyDescent="0.2">
      <c r="F54" t="s">
        <v>839</v>
      </c>
      <c r="G54" t="s">
        <v>6325</v>
      </c>
    </row>
    <row r="55" spans="6:7" x14ac:dyDescent="0.2">
      <c r="F55" t="s">
        <v>1980</v>
      </c>
      <c r="G55" t="s">
        <v>6326</v>
      </c>
    </row>
    <row r="56" spans="6:7" ht="25.5" x14ac:dyDescent="0.2">
      <c r="F56" t="s">
        <v>2542</v>
      </c>
      <c r="G56" t="s">
        <v>6327</v>
      </c>
    </row>
    <row r="57" spans="6:7" x14ac:dyDescent="0.2">
      <c r="F57" t="s">
        <v>6328</v>
      </c>
      <c r="G57" t="s">
        <v>6329</v>
      </c>
    </row>
    <row r="58" spans="6:7" ht="25.5" x14ac:dyDescent="0.2">
      <c r="F58" t="s">
        <v>6330</v>
      </c>
      <c r="G58" t="s">
        <v>6331</v>
      </c>
    </row>
    <row r="59" spans="6:7" ht="25.5" x14ac:dyDescent="0.2">
      <c r="F59" t="s">
        <v>6332</v>
      </c>
      <c r="G59" t="s">
        <v>6333</v>
      </c>
    </row>
    <row r="60" spans="6:7" ht="25.5" x14ac:dyDescent="0.2">
      <c r="F60" t="s">
        <v>2558</v>
      </c>
      <c r="G60" t="s">
        <v>6186</v>
      </c>
    </row>
    <row r="61" spans="6:7" ht="25.5" x14ac:dyDescent="0.2">
      <c r="F61" t="s">
        <v>6334</v>
      </c>
      <c r="G61" t="s">
        <v>6335</v>
      </c>
    </row>
    <row r="62" spans="6:7" ht="25.5" x14ac:dyDescent="0.2">
      <c r="F62" t="s">
        <v>6336</v>
      </c>
      <c r="G62" t="s">
        <v>6337</v>
      </c>
    </row>
    <row r="63" spans="6:7" ht="25.5" x14ac:dyDescent="0.2">
      <c r="F63" t="s">
        <v>6338</v>
      </c>
      <c r="G63" t="s">
        <v>6339</v>
      </c>
    </row>
    <row r="64" spans="6:7" ht="25.5" x14ac:dyDescent="0.2">
      <c r="F64" t="s">
        <v>6340</v>
      </c>
      <c r="G64" t="s">
        <v>6341</v>
      </c>
    </row>
    <row r="65" spans="6:7" x14ac:dyDescent="0.2">
      <c r="F65" t="s">
        <v>2806</v>
      </c>
      <c r="G65" t="s">
        <v>6342</v>
      </c>
    </row>
    <row r="66" spans="6:7" x14ac:dyDescent="0.2">
      <c r="F66" t="s">
        <v>2800</v>
      </c>
      <c r="G66" t="s">
        <v>6343</v>
      </c>
    </row>
    <row r="67" spans="6:7" x14ac:dyDescent="0.2">
      <c r="F67" t="s">
        <v>6344</v>
      </c>
      <c r="G67" t="s">
        <v>6345</v>
      </c>
    </row>
    <row r="68" spans="6:7" ht="25.5" x14ac:dyDescent="0.2">
      <c r="F68" t="s">
        <v>918</v>
      </c>
      <c r="G68" t="s">
        <v>6346</v>
      </c>
    </row>
    <row r="69" spans="6:7" ht="25.5" x14ac:dyDescent="0.2">
      <c r="F69" t="s">
        <v>6347</v>
      </c>
      <c r="G69" t="s">
        <v>6348</v>
      </c>
    </row>
    <row r="70" spans="6:7" ht="25.5" x14ac:dyDescent="0.2">
      <c r="F70" t="s">
        <v>6349</v>
      </c>
      <c r="G70" t="s">
        <v>6350</v>
      </c>
    </row>
    <row r="71" spans="6:7" x14ac:dyDescent="0.2">
      <c r="F71" t="s">
        <v>6351</v>
      </c>
      <c r="G71" t="s">
        <v>6352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INPUT_Du_lieu_nhan_vien</vt:lpstr>
      <vt:lpstr>Copy of Copy of Sheet1</vt:lpstr>
      <vt:lpstr>Copy of Thong tin SN</vt:lpstr>
      <vt:lpstr>Copy of Headcount</vt:lpstr>
      <vt:lpstr>Parameter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Hoàng Tuấn Anh</cp:lastModifiedBy>
  <cp:lastPrinted>2014-03-06T10:56:02Z</cp:lastPrinted>
  <dcterms:created xsi:type="dcterms:W3CDTF">2014-03-06T07:33:43Z</dcterms:created>
  <dcterms:modified xsi:type="dcterms:W3CDTF">2014-03-26T05:15:22Z</dcterms:modified>
</cp:coreProperties>
</file>