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Denne_projektmappe"/>
  <mc:AlternateContent xmlns:mc="http://schemas.openxmlformats.org/markup-compatibility/2006">
    <mc:Choice Requires="x15">
      <x15ac:absPath xmlns:x15ac="http://schemas.microsoft.com/office/spreadsheetml/2010/11/ac" url="/Users/victorrahbek/Desktop/ExportTaxCalculator/"/>
    </mc:Choice>
  </mc:AlternateContent>
  <xr:revisionPtr revIDLastSave="0" documentId="13_ncr:1_{1325509E-08F8-3B4B-ADE2-ADA93378798C}" xr6:coauthVersionLast="47" xr6:coauthVersionMax="47" xr10:uidLastSave="{00000000-0000-0000-0000-000000000000}"/>
  <workbookProtection workbookAlgorithmName="SHA-512" workbookHashValue="dYmjCWDjiH3H9HkAooZr2A5NhHIrnc++t4vFRDCjfsv+dNUdP6TW2I5Cdrf2WViOmE6wqNC9BwiitinWxRDabg==" workbookSaltValue="MqW1Y6tdx/4YjpnzceL6NQ==" workbookSpinCount="100000" lockStructure="1"/>
  <bookViews>
    <workbookView xWindow="15080" yWindow="3640" windowWidth="13720" windowHeight="11800" activeTab="1" xr2:uid="{00000000-000D-0000-FFFF-FFFF00000000}"/>
  </bookViews>
  <sheets>
    <sheet name="Forside" sheetId="1" r:id="rId1"/>
    <sheet name="Brugte Personbiler" sheetId="2" r:id="rId2"/>
    <sheet name="Nye personbiler" sheetId="3" r:id="rId3"/>
    <sheet name="Brugte Varebiler" sheetId="4" r:id="rId4"/>
    <sheet name="Nye Varebil" sheetId="5" r:id="rId5"/>
    <sheet name="Værktøj til CO2" sheetId="6" r:id="rId6"/>
  </sheets>
  <definedNames>
    <definedName name="batCapacity01">'Brugte Personbiler'!$L$26</definedName>
    <definedName name="co2km01">'Brugte Personbiler'!$L$23</definedName>
    <definedName name="elwidth01">'Brugte Personbiler'!$L$25</definedName>
    <definedName name="finalTax01">'Brugte Personbiler'!$G$32</definedName>
    <definedName name="ge">'Brugte Varebiler'!$L$24</definedName>
    <definedName name="gw">'Brugte Varebiler'!$L$25</definedName>
    <definedName name="handelspris01">'Brugte Personbiler'!$L$21</definedName>
    <definedName name="nypris01">'Brugte Personbiler'!$L$22</definedName>
    <definedName name="_xlnm.Print_Area" localSheetId="1">'Brugte Personbiler'!$A$2:$Q$35</definedName>
    <definedName name="vanbatCapacity01">#REF!</definedName>
    <definedName name="vanco2km01">#REF!</definedName>
    <definedName name="vanelwidth01">#REF!</definedName>
    <definedName name="vanfinalTax01">#REF!</definedName>
    <definedName name="vanhandelspris01">#REF!</definedName>
    <definedName name="vannypris01">#REF!</definedName>
    <definedName name="vanwhkm01">#REF!</definedName>
    <definedName name="whkm01">'Brugte Personbiler'!$L$24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2" i="6" l="1" a="1"/>
  <c r="P32" i="6" s="1"/>
  <c r="C29" i="6"/>
  <c r="C30" i="6" s="1"/>
  <c r="G23" i="6"/>
  <c r="G20" i="6"/>
  <c r="G19" i="6"/>
  <c r="G17" i="6"/>
  <c r="F14" i="6" s="1"/>
  <c r="G16" i="6"/>
  <c r="C13" i="6"/>
  <c r="O32" i="5"/>
  <c r="G30" i="5"/>
  <c r="H26" i="5"/>
  <c r="L25" i="5"/>
  <c r="G25" i="5"/>
  <c r="H23" i="5"/>
  <c r="R21" i="5"/>
  <c r="G19" i="5"/>
  <c r="G20" i="5" s="1"/>
  <c r="G9" i="5"/>
  <c r="G11" i="5" s="1"/>
  <c r="G7" i="5"/>
  <c r="AA40" i="4"/>
  <c r="O32" i="4"/>
  <c r="L26" i="4"/>
  <c r="H26" i="4"/>
  <c r="G25" i="4"/>
  <c r="H23" i="4"/>
  <c r="R21" i="4"/>
  <c r="G29" i="4" s="1"/>
  <c r="G18" i="4"/>
  <c r="G19" i="4" s="1"/>
  <c r="W25" i="4" s="1"/>
  <c r="G9" i="4"/>
  <c r="G22" i="4" s="1"/>
  <c r="G7" i="4"/>
  <c r="O32" i="3"/>
  <c r="G30" i="3"/>
  <c r="G26" i="3"/>
  <c r="L25" i="3"/>
  <c r="R20" i="3"/>
  <c r="H20" i="3"/>
  <c r="H28" i="3" s="1"/>
  <c r="G20" i="3"/>
  <c r="G21" i="3" s="1"/>
  <c r="G7" i="3"/>
  <c r="G9" i="3" s="1"/>
  <c r="G11" i="3" s="1"/>
  <c r="O32" i="2"/>
  <c r="L26" i="2"/>
  <c r="R20" i="2"/>
  <c r="G29" i="2" s="1"/>
  <c r="H20" i="2"/>
  <c r="H28" i="2" s="1"/>
  <c r="G18" i="2"/>
  <c r="G19" i="2" s="1"/>
  <c r="G7" i="2"/>
  <c r="G9" i="2" s="1"/>
  <c r="G16" i="3" l="1"/>
  <c r="G15" i="3"/>
  <c r="G14" i="3"/>
  <c r="G17" i="3" s="1"/>
  <c r="G24" i="3" s="1"/>
  <c r="G15" i="5"/>
  <c r="G14" i="5"/>
  <c r="G16" i="5" s="1"/>
  <c r="G23" i="5" s="1"/>
  <c r="G12" i="4"/>
  <c r="G13" i="4"/>
  <c r="T28" i="5"/>
  <c r="G22" i="6"/>
  <c r="G25" i="6" s="1"/>
  <c r="G27" i="6" s="1"/>
  <c r="G25" i="2"/>
  <c r="U21" i="2" s="1"/>
  <c r="G22" i="2" s="1"/>
  <c r="G14" i="2" l="1"/>
  <c r="G13" i="2"/>
  <c r="G31" i="2"/>
  <c r="G12" i="2"/>
  <c r="G26" i="5"/>
  <c r="G14" i="4"/>
  <c r="G23" i="4" s="1"/>
  <c r="G27" i="3"/>
  <c r="G29" i="3" s="1"/>
  <c r="G32" i="3" s="1"/>
  <c r="H35" i="3" s="1"/>
  <c r="G26" i="4" l="1"/>
  <c r="H31" i="3"/>
  <c r="G29" i="5"/>
  <c r="H29" i="5" s="1"/>
  <c r="G15" i="2"/>
  <c r="G23" i="2" s="1"/>
  <c r="X24" i="5" l="1"/>
  <c r="H11" i="5"/>
  <c r="H10" i="5"/>
  <c r="H13" i="5" s="1"/>
  <c r="H30" i="5" s="1"/>
  <c r="G28" i="4"/>
  <c r="H29" i="4" s="1"/>
  <c r="W32" i="4"/>
  <c r="W28" i="4" s="1"/>
  <c r="W29" i="4" s="1"/>
  <c r="AB20" i="4" s="1"/>
  <c r="G26" i="2"/>
  <c r="G28" i="2" s="1"/>
  <c r="G32" i="2" s="1"/>
  <c r="H35" i="2" s="1"/>
  <c r="H11" i="3"/>
  <c r="H10" i="3"/>
  <c r="H13" i="3" s="1"/>
  <c r="H32" i="3" s="1"/>
  <c r="H34" i="3" s="1"/>
  <c r="H12" i="3"/>
  <c r="H32" i="5" l="1"/>
  <c r="H33" i="5" s="1"/>
  <c r="W21" i="4"/>
  <c r="G31" i="4" s="1"/>
  <c r="H35" i="4"/>
  <c r="AB31" i="4"/>
  <c r="H11" i="4"/>
  <c r="H10" i="4"/>
  <c r="H13" i="4" s="1"/>
  <c r="H30" i="4" s="1"/>
  <c r="H31" i="2"/>
  <c r="H35" i="5"/>
  <c r="X28" i="5"/>
  <c r="X29" i="5" s="1"/>
  <c r="X30" i="5" s="1"/>
  <c r="X31" i="5" s="1"/>
  <c r="AB26" i="5" s="1"/>
  <c r="G32" i="5" s="1"/>
  <c r="H11" i="2" l="1"/>
  <c r="H10" i="2"/>
  <c r="H12" i="2"/>
  <c r="AB30" i="4"/>
  <c r="G32" i="4" s="1"/>
  <c r="H32" i="4"/>
  <c r="H33" i="4" s="1"/>
  <c r="H13" i="2" l="1"/>
  <c r="H32" i="2" s="1"/>
  <c r="H34" i="2" s="1"/>
</calcChain>
</file>

<file path=xl/sharedStrings.xml><?xml version="1.0" encoding="utf-8"?>
<sst xmlns="http://schemas.openxmlformats.org/spreadsheetml/2006/main" count="303" uniqueCount="116">
  <si>
    <t xml:space="preserve">ASG-Digital </t>
  </si>
  <si>
    <t xml:space="preserve">Tryk på nedenstående for at gå til den ønskede beregningsmetode. </t>
  </si>
  <si>
    <t xml:space="preserve">Gå til beregning af brugte personbiler </t>
  </si>
  <si>
    <t>Gå til beregning af nye personbiler</t>
  </si>
  <si>
    <t>Gå til beregning af brugte varebiler</t>
  </si>
  <si>
    <t>Gå til beregning af nye varebiler</t>
  </si>
  <si>
    <t>Værktøj tli beregning af CO2</t>
  </si>
  <si>
    <t>Beregningerne er udarbejdet på baggrund af L129 som fremsat d. 18 december 2020. Vi tager forbehold for</t>
  </si>
  <si>
    <t>fejl og mangler, og eventuelle fejlfortolkninger af lovenforslaget som fremsat</t>
  </si>
  <si>
    <t>NYE / BRUGTE PERSONVOGNE 2021 - UDFYLD DE ORANGE FELTER</t>
  </si>
  <si>
    <t>OBS - Det er vigtigt at sætte CO2 / pr. km. til 0kr. hvis det er en elbil, ellers får køretøjet ikke de rigtige fradrag</t>
  </si>
  <si>
    <t>Fradrag/tillæg til værdien:</t>
  </si>
  <si>
    <t>Benyt evt nedenstående genveje</t>
  </si>
  <si>
    <t>Batterikapacitet fradrag værdi:</t>
  </si>
  <si>
    <t>Sum af fradrag/Tillæg til værdien</t>
  </si>
  <si>
    <t>Gå til forsiden</t>
  </si>
  <si>
    <t>Beregning af registreringsafgift før fradrag/tillæg</t>
  </si>
  <si>
    <t>1. Skalaknæk</t>
  </si>
  <si>
    <t>2. Skalaknæk</t>
  </si>
  <si>
    <t>3. Skalaknæk</t>
  </si>
  <si>
    <t>Bruttoafgift</t>
  </si>
  <si>
    <t>Vi tager forbehold for fejl og mangler</t>
  </si>
  <si>
    <t>Fradrag/tillæg til afgiften</t>
  </si>
  <si>
    <t>CO2 tillæg til afgift:</t>
  </si>
  <si>
    <t>Procent</t>
  </si>
  <si>
    <t>2021 Sats</t>
  </si>
  <si>
    <t>Sum af fradrag/tillæg til afgiften:</t>
  </si>
  <si>
    <t>Skalaknæk</t>
  </si>
  <si>
    <t>Resten</t>
  </si>
  <si>
    <t>Registreringsafgift</t>
  </si>
  <si>
    <t>Handelspris</t>
  </si>
  <si>
    <t>Benzin</t>
  </si>
  <si>
    <t>Afgiftspligtig værdi:</t>
  </si>
  <si>
    <t>Nypris</t>
  </si>
  <si>
    <t>Diesel</t>
  </si>
  <si>
    <t>Registreringsafgift:</t>
  </si>
  <si>
    <t>CO2 / pr km</t>
  </si>
  <si>
    <t>WLTP Sats</t>
  </si>
  <si>
    <t>CO2 sats</t>
  </si>
  <si>
    <t>Wh/Km</t>
  </si>
  <si>
    <t>0-125</t>
  </si>
  <si>
    <t>Bundfradrag</t>
  </si>
  <si>
    <t>Elektrisk rækkevidde</t>
  </si>
  <si>
    <t>126-160</t>
  </si>
  <si>
    <t>Reg afgift. Efter bundfradrag</t>
  </si>
  <si>
    <t>Batterikapacitet (kWh)</t>
  </si>
  <si>
    <t>161-999</t>
  </si>
  <si>
    <t>Fradrag indfasing</t>
  </si>
  <si>
    <t>EmissionsFradrag</t>
  </si>
  <si>
    <t>Lav-emission</t>
  </si>
  <si>
    <t>Nul-emission</t>
  </si>
  <si>
    <t>Afgiftspligtig værdi</t>
  </si>
  <si>
    <t>Endelig registreringsafgift</t>
  </si>
  <si>
    <t>Procentfald</t>
  </si>
  <si>
    <t>kWh/pris (max 45x)</t>
  </si>
  <si>
    <t>Afgiftpligtig værdi efter fradrag:</t>
  </si>
  <si>
    <t>Afgiftpligtig værdi</t>
  </si>
  <si>
    <t>Registreringsafgift efter CO2 tillæg:</t>
  </si>
  <si>
    <t>NYE /BRUGTE VAREVOGNE 2021 - UDFYLD DE ORANGE FELTER</t>
  </si>
  <si>
    <t>over 3.000 kg og som enten er åben eller uden sideruder bag føresædet</t>
  </si>
  <si>
    <t>Alle andre</t>
  </si>
  <si>
    <t>resten</t>
  </si>
  <si>
    <t>2021 satser</t>
  </si>
  <si>
    <t/>
  </si>
  <si>
    <t>Van Type</t>
  </si>
  <si>
    <t>Afgiftpligtig Værdi:</t>
  </si>
  <si>
    <t>Max afgift v/3t +</t>
  </si>
  <si>
    <t>Værktøj til beregning af CO2 forbrug</t>
  </si>
  <si>
    <t>Denne metode er beskrevet i L129 sektion 2.2.2 og beskriver metoden til at regne et CO2 forbrug hvis man intet info har omkring bilens forbrug. Denne metode er ikke anbefalelsesværdig da forbruget ofte bliver alt for højt</t>
  </si>
  <si>
    <t>WLTP</t>
  </si>
  <si>
    <t>faktor * l/100km</t>
  </si>
  <si>
    <t>NEDC</t>
  </si>
  <si>
    <t>NEDC-2</t>
  </si>
  <si>
    <t xml:space="preserve">Hvis vi kender l/100 km </t>
  </si>
  <si>
    <t>OBS - er målenormen ikke anvist så antag at det er NEDC</t>
  </si>
  <si>
    <t>std sats u/2585 kg</t>
  </si>
  <si>
    <t>Basis</t>
  </si>
  <si>
    <t>l/100km</t>
  </si>
  <si>
    <t>Første reg</t>
  </si>
  <si>
    <t xml:space="preserve">gange faktor </t>
  </si>
  <si>
    <t>Målenorm</t>
  </si>
  <si>
    <t>Vægt</t>
  </si>
  <si>
    <t>V/Diesel 12,5% lavere</t>
  </si>
  <si>
    <t>Brændstoftype:</t>
  </si>
  <si>
    <t>Type</t>
  </si>
  <si>
    <t>Personbil</t>
  </si>
  <si>
    <t>Brændstof</t>
  </si>
  <si>
    <t>std sats o/2585 kg</t>
  </si>
  <si>
    <t>g/CO2 pr km i alt:</t>
  </si>
  <si>
    <t>&lt;-- WLTP</t>
  </si>
  <si>
    <t>vægt grænse</t>
  </si>
  <si>
    <t>vægt over 2585</t>
  </si>
  <si>
    <t>Basis sats u/2585</t>
  </si>
  <si>
    <t>V diesel</t>
  </si>
  <si>
    <t>Basis sats o/2585</t>
  </si>
  <si>
    <t>Euro 6 og alt over</t>
  </si>
  <si>
    <t>Euro 5 max</t>
  </si>
  <si>
    <t>Variabel u/2585</t>
  </si>
  <si>
    <t>alt under 5</t>
  </si>
  <si>
    <t>Variabel o/2585</t>
  </si>
  <si>
    <t>Euro 5</t>
  </si>
  <si>
    <t>Euro 6</t>
  </si>
  <si>
    <t xml:space="preserve">Hvis vi kender km/l </t>
  </si>
  <si>
    <t>Total l/100km</t>
  </si>
  <si>
    <t>reduktion/tillæg</t>
  </si>
  <si>
    <t>varebiler</t>
  </si>
  <si>
    <t>Van</t>
  </si>
  <si>
    <t>km/l</t>
  </si>
  <si>
    <t>Samlet g/co2 pr km</t>
  </si>
  <si>
    <t>l /100km</t>
  </si>
  <si>
    <t>af vægt</t>
  </si>
  <si>
    <t>af forbrug</t>
  </si>
  <si>
    <t>kg</t>
  </si>
  <si>
    <t>gange vægt</t>
  </si>
  <si>
    <t>basis sats</t>
  </si>
  <si>
    <t>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</si>
</sst>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 &quot;kr.&quot;"/>
    <numFmt numFmtId="165" formatCode="#,##0.00\ &quot;kr.&quot;"/>
    <numFmt numFmtId="166" formatCode="_-* #,##0_-;\-* #,##0_-;_-* &quot;-&quot;??_-;_-@_-"/>
    <numFmt numFmtId="167" formatCode="0.0"/>
  </numFmts>
  <fonts count="34" x14ac:knownFonts="1">
    <font>
      <sz val="11"/>
      <color theme="1"/>
      <name val="Calibri"/>
      <family val="2"/>
      <scheme val="minor"/>
    </font>
    <font>
      <sz val="11"/>
      <color theme="1"/>
      <name val="Calibri"/>
      <family val="2"/>
      <scheme val="minor"/>
    </font>
    <font>
      <sz val="11"/>
      <color theme="1"/>
      <name val="Lato"/>
      <family val="2"/>
    </font>
    <font>
      <b/>
      <sz val="22"/>
      <color theme="0"/>
      <name val="Lato"/>
      <family val="2"/>
    </font>
    <font>
      <b/>
      <sz val="12"/>
      <color theme="1"/>
      <name val="Lato"/>
      <family val="2"/>
    </font>
    <font>
      <b/>
      <sz val="11"/>
      <color rgb="FF0070C0"/>
      <name val="Lato"/>
      <family val="2"/>
    </font>
    <font>
      <b/>
      <sz val="11"/>
      <color theme="1"/>
      <name val="Lato"/>
      <family val="2"/>
    </font>
    <font>
      <sz val="11"/>
      <color theme="0"/>
      <name val="Lato"/>
      <family val="2"/>
    </font>
    <font>
      <b/>
      <sz val="11"/>
      <color theme="0"/>
      <name val="Lato"/>
      <family val="2"/>
    </font>
    <font>
      <sz val="11"/>
      <color theme="1" tint="0.14999847407452621"/>
      <name val="Lato"/>
      <family val="2"/>
    </font>
    <font>
      <b/>
      <sz val="11"/>
      <color theme="1" tint="0.14999847407452621"/>
      <name val="Lato"/>
      <family val="2"/>
    </font>
    <font>
      <i/>
      <sz val="10"/>
      <color theme="1" tint="0.14999847407452621"/>
      <name val="Lato"/>
      <family val="2"/>
    </font>
    <font>
      <b/>
      <sz val="18"/>
      <color theme="0"/>
      <name val="Lato"/>
      <family val="2"/>
    </font>
    <font>
      <b/>
      <sz val="10"/>
      <color theme="1" tint="0.14999847407452621"/>
      <name val="Lato"/>
      <family val="2"/>
    </font>
    <font>
      <b/>
      <sz val="11"/>
      <color theme="1"/>
      <name val="Lato"/>
    </font>
    <font>
      <b/>
      <sz val="11"/>
      <color theme="0"/>
      <name val="Lato"/>
    </font>
    <font>
      <b/>
      <sz val="14"/>
      <color theme="1" tint="0.14999847407452621"/>
      <name val="Lato"/>
      <family val="2"/>
    </font>
    <font>
      <b/>
      <sz val="11"/>
      <color theme="1"/>
      <name val="Calibri"/>
      <family val="2"/>
      <scheme val="minor"/>
    </font>
    <font>
      <i/>
      <sz val="11"/>
      <color theme="1"/>
      <name val="Calibri"/>
      <family val="2"/>
      <scheme val="minor"/>
    </font>
    <font>
      <sz val="24"/>
      <color theme="0"/>
      <name val="Calibri"/>
      <family val="2"/>
      <scheme val="minor"/>
    </font>
    <font>
      <u/>
      <sz val="11"/>
      <color theme="10"/>
      <name val="Calibri"/>
      <family val="2"/>
      <scheme val="minor"/>
    </font>
    <font>
      <u/>
      <sz val="16"/>
      <color theme="10"/>
      <name val="Calibri"/>
      <family val="2"/>
      <scheme val="minor"/>
    </font>
    <font>
      <sz val="16"/>
      <color theme="1"/>
      <name val="Calibri"/>
      <family val="2"/>
      <scheme val="minor"/>
    </font>
    <font>
      <b/>
      <sz val="12"/>
      <color theme="1"/>
      <name val="Calibri"/>
      <family val="2"/>
      <scheme val="minor"/>
    </font>
    <font>
      <b/>
      <u/>
      <sz val="14"/>
      <color theme="10"/>
      <name val="Calibri"/>
      <family val="2"/>
      <scheme val="minor"/>
    </font>
    <font>
      <sz val="10"/>
      <name val="Calibri"/>
      <family val="2"/>
      <scheme val="minor"/>
    </font>
    <font>
      <u/>
      <sz val="11"/>
      <color theme="10"/>
      <name val="Lato"/>
    </font>
    <font>
      <i/>
      <sz val="22"/>
      <color theme="1" tint="0.14999847407452621"/>
      <name val="Lato"/>
    </font>
    <font>
      <sz val="11"/>
      <color theme="1" tint="0.14999847407452621"/>
      <name val="Lato"/>
    </font>
    <font>
      <sz val="11"/>
      <name val="Lato"/>
    </font>
    <font>
      <b/>
      <sz val="20"/>
      <color theme="1"/>
      <name val="Lato"/>
    </font>
    <font>
      <u/>
      <sz val="26"/>
      <color theme="10"/>
      <name val="Calibri"/>
      <family val="2"/>
      <scheme val="minor"/>
    </font>
    <font>
      <b/>
      <u/>
      <sz val="11"/>
      <color theme="10"/>
      <name val="Lato"/>
    </font>
    <font>
      <sz val="22"/>
      <color theme="0"/>
      <name val="Calibri"/>
      <family val="2"/>
      <scheme val="minor"/>
    </font>
  </fonts>
  <fills count="16">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499984740745262"/>
        <bgColor indexed="64"/>
      </patternFill>
    </fill>
    <fill>
      <patternFill patternType="solid">
        <fgColor rgb="FFE2725B"/>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rgb="FFFFFF00"/>
        <bgColor indexed="64"/>
      </patternFill>
    </fill>
    <fill>
      <patternFill patternType="solid">
        <fgColor theme="3" tint="-0.249977111117893"/>
        <bgColor indexed="64"/>
      </patternFill>
    </fill>
    <fill>
      <patternFill patternType="solid">
        <fgColor theme="9" tint="-0.499984740745262"/>
        <bgColor indexed="64"/>
      </patternFill>
    </fill>
    <fill>
      <patternFill patternType="solid">
        <fgColor theme="5"/>
        <bgColor indexed="64"/>
      </patternFill>
    </fill>
    <fill>
      <patternFill patternType="solid">
        <fgColor theme="8"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bottom style="double">
        <color indexed="64"/>
      </bottom>
      <diagonal/>
    </border>
    <border>
      <left/>
      <right/>
      <top/>
      <bottom style="double">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43" fontId="1" fillId="0" borderId="0"/>
    <xf numFmtId="0" fontId="20" fillId="0" borderId="0"/>
  </cellStyleXfs>
  <cellXfs count="154">
    <xf numFmtId="0" fontId="0" fillId="0" borderId="0" xfId="0"/>
    <xf numFmtId="0" fontId="2" fillId="3" borderId="0" xfId="0" applyFont="1" applyFill="1" applyProtection="1">
      <protection hidden="1"/>
    </xf>
    <xf numFmtId="0" fontId="2" fillId="0" borderId="0" xfId="0" applyFont="1" applyProtection="1">
      <protection hidden="1"/>
    </xf>
    <xf numFmtId="0" fontId="2" fillId="9" borderId="0" xfId="0" applyFont="1" applyFill="1" applyProtection="1">
      <protection hidden="1"/>
    </xf>
    <xf numFmtId="0" fontId="2" fillId="4" borderId="0" xfId="0" applyFont="1" applyFill="1" applyProtection="1">
      <protection hidden="1"/>
    </xf>
    <xf numFmtId="0" fontId="2" fillId="4" borderId="0" xfId="0" applyFont="1" applyFill="1" applyAlignment="1" applyProtection="1">
      <alignment horizontal="center" vertical="center"/>
      <protection hidden="1"/>
    </xf>
    <xf numFmtId="0" fontId="2" fillId="8" borderId="0" xfId="0" applyFont="1" applyFill="1" applyAlignment="1" applyProtection="1">
      <alignment vertical="center"/>
      <protection hidden="1"/>
    </xf>
    <xf numFmtId="0" fontId="6" fillId="8" borderId="0" xfId="0" applyFont="1" applyFill="1" applyAlignment="1" applyProtection="1">
      <alignment vertical="center"/>
      <protection hidden="1"/>
    </xf>
    <xf numFmtId="0" fontId="6" fillId="8" borderId="0" xfId="0" applyFont="1" applyFill="1" applyProtection="1">
      <protection hidden="1"/>
    </xf>
    <xf numFmtId="0" fontId="2" fillId="4" borderId="0" xfId="0" applyFont="1" applyFill="1" applyAlignment="1" applyProtection="1">
      <alignment horizontal="center"/>
      <protection hidden="1"/>
    </xf>
    <xf numFmtId="0" fontId="5" fillId="4" borderId="0" xfId="0" applyFont="1" applyFill="1" applyProtection="1">
      <protection hidden="1"/>
    </xf>
    <xf numFmtId="0" fontId="6" fillId="4" borderId="0" xfId="0" applyFont="1" applyFill="1" applyProtection="1">
      <protection hidden="1"/>
    </xf>
    <xf numFmtId="164" fontId="2" fillId="4" borderId="0" xfId="0" applyNumberFormat="1" applyFont="1" applyFill="1" applyProtection="1">
      <protection hidden="1"/>
    </xf>
    <xf numFmtId="164" fontId="6" fillId="4" borderId="0" xfId="0" applyNumberFormat="1" applyFont="1" applyFill="1" applyProtection="1">
      <protection hidden="1"/>
    </xf>
    <xf numFmtId="0" fontId="2" fillId="4" borderId="0" xfId="0" applyFont="1" applyFill="1" applyAlignment="1" applyProtection="1">
      <alignment horizontal="right"/>
      <protection hidden="1"/>
    </xf>
    <xf numFmtId="1" fontId="2" fillId="4" borderId="0" xfId="0" applyNumberFormat="1" applyFont="1" applyFill="1" applyProtection="1">
      <protection hidden="1"/>
    </xf>
    <xf numFmtId="1" fontId="2" fillId="3" borderId="0" xfId="0" applyNumberFormat="1" applyFont="1" applyFill="1" applyProtection="1">
      <protection hidden="1"/>
    </xf>
    <xf numFmtId="164" fontId="6" fillId="4" borderId="0" xfId="0" applyNumberFormat="1" applyFont="1" applyFill="1" applyAlignment="1" applyProtection="1">
      <alignment horizontal="right"/>
      <protection hidden="1"/>
    </xf>
    <xf numFmtId="0" fontId="2" fillId="5" borderId="0" xfId="0" applyFont="1" applyFill="1" applyProtection="1">
      <protection hidden="1"/>
    </xf>
    <xf numFmtId="0" fontId="8" fillId="7" borderId="0" xfId="0" applyFont="1" applyFill="1" applyProtection="1">
      <protection hidden="1"/>
    </xf>
    <xf numFmtId="9" fontId="9" fillId="5" borderId="0" xfId="0" applyNumberFormat="1" applyFont="1" applyFill="1" applyAlignment="1" applyProtection="1">
      <alignment horizontal="center" vertical="center"/>
      <protection hidden="1"/>
    </xf>
    <xf numFmtId="9" fontId="9" fillId="5" borderId="0" xfId="0" applyNumberFormat="1" applyFont="1" applyFill="1" applyAlignment="1" applyProtection="1">
      <alignment horizontal="center"/>
      <protection hidden="1"/>
    </xf>
    <xf numFmtId="0" fontId="9" fillId="5" borderId="0" xfId="0" applyFont="1" applyFill="1" applyProtection="1">
      <protection hidden="1"/>
    </xf>
    <xf numFmtId="0" fontId="9" fillId="5" borderId="0" xfId="0" applyFont="1" applyFill="1" applyAlignment="1" applyProtection="1">
      <alignment horizontal="center" vertical="center"/>
      <protection hidden="1"/>
    </xf>
    <xf numFmtId="0" fontId="10" fillId="5" borderId="0" xfId="0" applyFont="1" applyFill="1" applyProtection="1">
      <protection hidden="1"/>
    </xf>
    <xf numFmtId="0" fontId="8" fillId="7" borderId="0" xfId="0" applyFont="1" applyFill="1" applyAlignment="1" applyProtection="1">
      <alignment horizontal="left" vertical="top"/>
      <protection hidden="1"/>
    </xf>
    <xf numFmtId="0" fontId="8" fillId="7" borderId="0" xfId="0" applyFont="1" applyFill="1" applyAlignment="1" applyProtection="1">
      <alignment horizontal="left"/>
      <protection hidden="1"/>
    </xf>
    <xf numFmtId="164" fontId="10" fillId="5" borderId="0" xfId="0" applyNumberFormat="1" applyFont="1" applyFill="1" applyProtection="1">
      <protection hidden="1"/>
    </xf>
    <xf numFmtId="164" fontId="6" fillId="4" borderId="3" xfId="0" applyNumberFormat="1" applyFont="1" applyFill="1" applyBorder="1" applyProtection="1">
      <protection hidden="1"/>
    </xf>
    <xf numFmtId="1" fontId="2" fillId="5" borderId="0" xfId="0" applyNumberFormat="1" applyFont="1" applyFill="1" applyProtection="1">
      <protection hidden="1"/>
    </xf>
    <xf numFmtId="9" fontId="10" fillId="5" borderId="0" xfId="0" applyNumberFormat="1" applyFont="1" applyFill="1" applyProtection="1">
      <protection hidden="1"/>
    </xf>
    <xf numFmtId="1" fontId="2" fillId="9" borderId="0" xfId="0" applyNumberFormat="1" applyFont="1" applyFill="1" applyProtection="1">
      <protection hidden="1"/>
    </xf>
    <xf numFmtId="2" fontId="2" fillId="9" borderId="0" xfId="0" applyNumberFormat="1" applyFont="1" applyFill="1" applyProtection="1">
      <protection hidden="1"/>
    </xf>
    <xf numFmtId="0" fontId="6" fillId="3" borderId="0" xfId="0" applyFont="1" applyFill="1" applyProtection="1">
      <protection hidden="1"/>
    </xf>
    <xf numFmtId="0" fontId="2" fillId="2" borderId="0" xfId="0" applyFont="1" applyFill="1" applyProtection="1">
      <protection hidden="1"/>
    </xf>
    <xf numFmtId="0" fontId="3" fillId="2" borderId="0" xfId="0" applyFont="1" applyFill="1" applyProtection="1">
      <protection hidden="1"/>
    </xf>
    <xf numFmtId="0" fontId="2" fillId="3" borderId="0" xfId="0" applyFont="1" applyFill="1" applyAlignment="1" applyProtection="1">
      <alignment horizontal="center" vertical="center"/>
      <protection hidden="1"/>
    </xf>
    <xf numFmtId="0" fontId="2" fillId="3" borderId="0" xfId="0" applyFont="1" applyFill="1" applyAlignment="1" applyProtection="1">
      <alignment horizontal="center"/>
      <protection hidden="1"/>
    </xf>
    <xf numFmtId="165" fontId="2" fillId="4" borderId="0" xfId="0" applyNumberFormat="1" applyFont="1" applyFill="1" applyProtection="1">
      <protection hidden="1"/>
    </xf>
    <xf numFmtId="0" fontId="2" fillId="3" borderId="0" xfId="0" applyFont="1" applyFill="1" applyAlignment="1" applyProtection="1">
      <alignment horizontal="right"/>
      <protection hidden="1"/>
    </xf>
    <xf numFmtId="9" fontId="10" fillId="5" borderId="0" xfId="0" applyNumberFormat="1" applyFont="1" applyFill="1" applyAlignment="1" applyProtection="1">
      <alignment horizontal="center" vertical="center"/>
      <protection hidden="1"/>
    </xf>
    <xf numFmtId="9" fontId="10" fillId="5" borderId="0" xfId="0" applyNumberFormat="1" applyFont="1" applyFill="1" applyAlignment="1" applyProtection="1">
      <alignment horizontal="center"/>
      <protection hidden="1"/>
    </xf>
    <xf numFmtId="0" fontId="9" fillId="5" borderId="0" xfId="0" applyFont="1" applyFill="1" applyAlignment="1" applyProtection="1">
      <alignment horizontal="right"/>
      <protection hidden="1"/>
    </xf>
    <xf numFmtId="0" fontId="10" fillId="5" borderId="0" xfId="0" applyFont="1" applyFill="1" applyAlignment="1" applyProtection="1">
      <alignment horizontal="center" vertical="center"/>
      <protection hidden="1"/>
    </xf>
    <xf numFmtId="164" fontId="10" fillId="5" borderId="0" xfId="1" applyNumberFormat="1" applyFont="1" applyFill="1" applyProtection="1">
      <protection hidden="1"/>
    </xf>
    <xf numFmtId="2" fontId="2" fillId="2" borderId="0" xfId="0" applyNumberFormat="1" applyFont="1" applyFill="1" applyProtection="1">
      <protection hidden="1"/>
    </xf>
    <xf numFmtId="166" fontId="10" fillId="5" borderId="0" xfId="1" applyNumberFormat="1" applyFont="1" applyFill="1" applyProtection="1">
      <protection hidden="1"/>
    </xf>
    <xf numFmtId="2" fontId="2" fillId="5" borderId="0" xfId="0" applyNumberFormat="1" applyFont="1" applyFill="1" applyProtection="1">
      <protection hidden="1"/>
    </xf>
    <xf numFmtId="1" fontId="2" fillId="2" borderId="0" xfId="0" applyNumberFormat="1" applyFont="1" applyFill="1" applyProtection="1">
      <protection hidden="1"/>
    </xf>
    <xf numFmtId="164" fontId="10" fillId="6" borderId="1" xfId="1" applyNumberFormat="1" applyFont="1" applyFill="1" applyBorder="1" applyProtection="1">
      <protection locked="0"/>
    </xf>
    <xf numFmtId="164" fontId="10" fillId="6" borderId="1" xfId="1" applyNumberFormat="1" applyFont="1" applyFill="1" applyBorder="1" applyAlignment="1" applyProtection="1">
      <alignment horizontal="right"/>
      <protection locked="0"/>
    </xf>
    <xf numFmtId="0" fontId="10" fillId="6" borderId="1" xfId="0" applyFont="1" applyFill="1" applyBorder="1" applyProtection="1">
      <protection locked="0"/>
    </xf>
    <xf numFmtId="164" fontId="10" fillId="6" borderId="1" xfId="0" applyNumberFormat="1" applyFont="1" applyFill="1" applyBorder="1" applyProtection="1">
      <protection locked="0"/>
    </xf>
    <xf numFmtId="0" fontId="15" fillId="10" borderId="0" xfId="0" applyFont="1" applyFill="1" applyProtection="1">
      <protection hidden="1"/>
    </xf>
    <xf numFmtId="0" fontId="13" fillId="5" borderId="0" xfId="0" applyFont="1" applyFill="1" applyAlignment="1" applyProtection="1">
      <alignment vertical="center"/>
      <protection hidden="1"/>
    </xf>
    <xf numFmtId="164" fontId="6" fillId="4" borderId="2" xfId="0" applyNumberFormat="1" applyFont="1" applyFill="1" applyBorder="1" applyProtection="1">
      <protection hidden="1"/>
    </xf>
    <xf numFmtId="164" fontId="14" fillId="4" borderId="0" xfId="0" applyNumberFormat="1" applyFont="1" applyFill="1" applyProtection="1">
      <protection hidden="1"/>
    </xf>
    <xf numFmtId="0" fontId="2" fillId="12" borderId="0" xfId="0" applyFont="1" applyFill="1" applyProtection="1">
      <protection hidden="1"/>
    </xf>
    <xf numFmtId="0" fontId="14" fillId="4" borderId="0" xfId="0" applyFont="1" applyFill="1" applyProtection="1">
      <protection hidden="1"/>
    </xf>
    <xf numFmtId="0" fontId="7" fillId="5" borderId="0" xfId="0" applyFont="1" applyFill="1" applyProtection="1">
      <protection hidden="1"/>
    </xf>
    <xf numFmtId="2" fontId="8" fillId="5" borderId="0" xfId="0" applyNumberFormat="1" applyFont="1" applyFill="1" applyProtection="1">
      <protection hidden="1"/>
    </xf>
    <xf numFmtId="0" fontId="11" fillId="5" borderId="0" xfId="0" applyFont="1" applyFill="1" applyAlignment="1" applyProtection="1">
      <alignment vertical="top"/>
      <protection hidden="1"/>
    </xf>
    <xf numFmtId="0" fontId="9" fillId="5" borderId="0" xfId="0" applyFont="1" applyFill="1" applyAlignment="1" applyProtection="1">
      <alignment horizontal="left" vertical="top"/>
      <protection hidden="1"/>
    </xf>
    <xf numFmtId="0" fontId="27" fillId="5" borderId="0" xfId="0" applyFont="1" applyFill="1" applyAlignment="1" applyProtection="1">
      <alignment vertical="top"/>
      <protection hidden="1"/>
    </xf>
    <xf numFmtId="0" fontId="28" fillId="5" borderId="0" xfId="0" applyFont="1" applyFill="1" applyAlignment="1" applyProtection="1">
      <alignment vertical="top"/>
      <protection hidden="1"/>
    </xf>
    <xf numFmtId="0" fontId="2" fillId="0" borderId="0" xfId="0" applyFont="1" applyAlignment="1" applyProtection="1">
      <alignment vertical="top"/>
      <protection hidden="1"/>
    </xf>
    <xf numFmtId="0" fontId="31" fillId="0" borderId="0" xfId="2" applyFont="1" applyAlignment="1" applyProtection="1">
      <alignment vertical="center"/>
      <protection hidden="1"/>
    </xf>
    <xf numFmtId="0" fontId="0" fillId="13" borderId="0" xfId="0" applyFill="1" applyProtection="1">
      <protection hidden="1"/>
    </xf>
    <xf numFmtId="0" fontId="0" fillId="0" borderId="0" xfId="0" applyProtection="1">
      <protection hidden="1"/>
    </xf>
    <xf numFmtId="0" fontId="0" fillId="5" borderId="0" xfId="0" applyFill="1" applyProtection="1">
      <protection hidden="1"/>
    </xf>
    <xf numFmtId="0" fontId="23" fillId="5" borderId="0" xfId="0" applyFont="1" applyFill="1" applyProtection="1">
      <protection hidden="1"/>
    </xf>
    <xf numFmtId="0" fontId="21" fillId="5" borderId="0" xfId="2" quotePrefix="1" applyFont="1" applyFill="1" applyAlignment="1" applyProtection="1">
      <alignment horizontal="left"/>
      <protection hidden="1"/>
    </xf>
    <xf numFmtId="0" fontId="25" fillId="5" borderId="0" xfId="2" quotePrefix="1" applyFont="1" applyFill="1" applyAlignment="1" applyProtection="1">
      <alignment horizontal="left" vertical="top"/>
      <protection hidden="1"/>
    </xf>
    <xf numFmtId="0" fontId="26" fillId="0" borderId="0" xfId="2" applyFont="1" applyAlignment="1" applyProtection="1">
      <alignment vertical="top"/>
      <protection hidden="1"/>
    </xf>
    <xf numFmtId="0" fontId="26" fillId="0" borderId="0" xfId="2" quotePrefix="1" applyFont="1" applyAlignment="1" applyProtection="1">
      <alignment vertical="top"/>
      <protection hidden="1"/>
    </xf>
    <xf numFmtId="167" fontId="10" fillId="11" borderId="1" xfId="0" applyNumberFormat="1" applyFont="1" applyFill="1" applyBorder="1" applyProtection="1">
      <protection hidden="1"/>
    </xf>
    <xf numFmtId="0" fontId="29" fillId="5" borderId="0" xfId="2" applyFont="1" applyFill="1" applyAlignment="1" applyProtection="1">
      <alignment vertical="top"/>
      <protection hidden="1"/>
    </xf>
    <xf numFmtId="0" fontId="26" fillId="5" borderId="0" xfId="2" applyFont="1" applyFill="1" applyAlignment="1" applyProtection="1">
      <alignment vertical="top"/>
      <protection hidden="1"/>
    </xf>
    <xf numFmtId="2" fontId="10" fillId="11" borderId="1" xfId="0" applyNumberFormat="1" applyFont="1" applyFill="1" applyBorder="1" applyProtection="1">
      <protection hidden="1"/>
    </xf>
    <xf numFmtId="0" fontId="26" fillId="3" borderId="0" xfId="2" quotePrefix="1" applyFont="1" applyFill="1" applyAlignment="1" applyProtection="1">
      <alignment vertical="top"/>
      <protection hidden="1"/>
    </xf>
    <xf numFmtId="0" fontId="0" fillId="0" borderId="0" xfId="0" applyAlignment="1" applyProtection="1">
      <alignment horizontal="left" vertical="top"/>
      <protection hidden="1"/>
    </xf>
    <xf numFmtId="164" fontId="14" fillId="6" borderId="1" xfId="0" applyNumberFormat="1" applyFont="1" applyFill="1" applyBorder="1" applyProtection="1">
      <protection locked="0"/>
    </xf>
    <xf numFmtId="0" fontId="14" fillId="6" borderId="1" xfId="0" applyFont="1" applyFill="1" applyBorder="1" applyProtection="1">
      <protection locked="0"/>
    </xf>
    <xf numFmtId="164" fontId="2" fillId="0" borderId="0" xfId="0" applyNumberFormat="1" applyFont="1" applyProtection="1">
      <protection hidden="1"/>
    </xf>
    <xf numFmtId="1" fontId="2" fillId="0" borderId="0" xfId="0" applyNumberFormat="1" applyFont="1" applyProtection="1">
      <protection hidden="1"/>
    </xf>
    <xf numFmtId="164" fontId="14" fillId="4" borderId="4" xfId="0" applyNumberFormat="1" applyFont="1" applyFill="1" applyBorder="1" applyProtection="1">
      <protection hidden="1"/>
    </xf>
    <xf numFmtId="0" fontId="16" fillId="5" borderId="0" xfId="0" applyFont="1" applyFill="1" applyAlignment="1" applyProtection="1">
      <alignment horizontal="center" vertical="center"/>
      <protection hidden="1"/>
    </xf>
    <xf numFmtId="0" fontId="0" fillId="11" borderId="1" xfId="0" applyFill="1" applyBorder="1" applyAlignment="1" applyProtection="1">
      <alignment horizontal="center" vertical="center"/>
      <protection hidden="1"/>
    </xf>
    <xf numFmtId="0" fontId="0" fillId="6" borderId="1" xfId="0" applyFill="1" applyBorder="1" applyAlignment="1" applyProtection="1">
      <alignment horizontal="center" vertical="center"/>
      <protection locked="0"/>
    </xf>
    <xf numFmtId="0" fontId="0" fillId="0" borderId="0" xfId="0" applyAlignment="1" applyProtection="1">
      <alignment horizontal="center" vertical="center"/>
      <protection hidden="1"/>
    </xf>
    <xf numFmtId="0" fontId="0" fillId="11" borderId="0" xfId="0" applyFill="1" applyAlignment="1" applyProtection="1">
      <alignment horizontal="left" vertical="top"/>
      <protection hidden="1"/>
    </xf>
    <xf numFmtId="0" fontId="0" fillId="11" borderId="0" xfId="0" applyFill="1" applyProtection="1">
      <protection hidden="1"/>
    </xf>
    <xf numFmtId="0" fontId="0" fillId="5" borderId="9" xfId="0" applyFill="1" applyBorder="1" applyAlignment="1" applyProtection="1">
      <alignment horizontal="center" vertical="center"/>
      <protection hidden="1"/>
    </xf>
    <xf numFmtId="0" fontId="0" fillId="5" borderId="9" xfId="0" applyFill="1" applyBorder="1" applyProtection="1">
      <protection hidden="1"/>
    </xf>
    <xf numFmtId="0" fontId="17" fillId="11" borderId="0" xfId="0" applyFont="1" applyFill="1" applyProtection="1">
      <protection hidden="1"/>
    </xf>
    <xf numFmtId="10" fontId="0" fillId="11" borderId="0" xfId="0" applyNumberFormat="1" applyFill="1" applyAlignment="1" applyProtection="1">
      <alignment horizontal="left" vertical="top"/>
      <protection hidden="1"/>
    </xf>
    <xf numFmtId="0" fontId="18" fillId="11" borderId="0" xfId="0" applyFont="1" applyFill="1" applyProtection="1">
      <protection hidden="1"/>
    </xf>
    <xf numFmtId="14" fontId="0" fillId="11" borderId="0" xfId="0" applyNumberFormat="1" applyFill="1" applyAlignment="1" applyProtection="1">
      <alignment horizontal="left" vertical="top"/>
      <protection hidden="1"/>
    </xf>
    <xf numFmtId="0" fontId="0" fillId="5" borderId="5" xfId="0" applyFill="1" applyBorder="1" applyProtection="1">
      <protection hidden="1"/>
    </xf>
    <xf numFmtId="0" fontId="17" fillId="5" borderId="6" xfId="0" applyFont="1" applyFill="1" applyBorder="1" applyAlignment="1" applyProtection="1">
      <alignment horizontal="center" vertical="center"/>
      <protection hidden="1"/>
    </xf>
    <xf numFmtId="0" fontId="17" fillId="5" borderId="7" xfId="0" applyFont="1" applyFill="1" applyBorder="1" applyAlignment="1" applyProtection="1">
      <alignment horizontal="center" vertical="center"/>
      <protection hidden="1"/>
    </xf>
    <xf numFmtId="0" fontId="0" fillId="5" borderId="10" xfId="0" applyFill="1" applyBorder="1" applyProtection="1">
      <protection hidden="1"/>
    </xf>
    <xf numFmtId="0" fontId="0" fillId="11" borderId="11" xfId="0" applyFill="1" applyBorder="1" applyAlignment="1" applyProtection="1">
      <alignment horizontal="center" vertical="center"/>
      <protection hidden="1"/>
    </xf>
    <xf numFmtId="0" fontId="0" fillId="5" borderId="12" xfId="0" applyFill="1" applyBorder="1" applyAlignment="1" applyProtection="1">
      <alignment horizontal="center" vertical="center"/>
      <protection hidden="1"/>
    </xf>
    <xf numFmtId="0" fontId="17" fillId="5" borderId="10" xfId="0" applyFont="1" applyFill="1" applyBorder="1" applyProtection="1">
      <protection hidden="1"/>
    </xf>
    <xf numFmtId="0" fontId="0" fillId="5" borderId="0" xfId="0" applyFill="1" applyAlignment="1" applyProtection="1">
      <alignment horizontal="center" vertical="center"/>
      <protection hidden="1"/>
    </xf>
    <xf numFmtId="0" fontId="0" fillId="5" borderId="8" xfId="0" applyFill="1" applyBorder="1" applyProtection="1">
      <protection hidden="1"/>
    </xf>
    <xf numFmtId="0" fontId="0" fillId="5" borderId="12" xfId="0" applyFill="1" applyBorder="1" applyProtection="1">
      <protection hidden="1"/>
    </xf>
    <xf numFmtId="0" fontId="0" fillId="11" borderId="11" xfId="0" applyFill="1" applyBorder="1" applyAlignment="1" applyProtection="1">
      <alignment horizontal="left" vertical="top"/>
      <protection hidden="1"/>
    </xf>
    <xf numFmtId="0" fontId="0" fillId="5" borderId="12" xfId="0" applyFill="1" applyBorder="1" applyAlignment="1" applyProtection="1">
      <alignment horizontal="left" vertical="top"/>
      <protection hidden="1"/>
    </xf>
    <xf numFmtId="2" fontId="0" fillId="11" borderId="11" xfId="0" applyNumberFormat="1" applyFill="1" applyBorder="1" applyAlignment="1" applyProtection="1">
      <alignment horizontal="left" vertical="top"/>
      <protection hidden="1"/>
    </xf>
    <xf numFmtId="14" fontId="0" fillId="5" borderId="12" xfId="0" applyNumberFormat="1" applyFill="1" applyBorder="1" applyProtection="1">
      <protection hidden="1"/>
    </xf>
    <xf numFmtId="0" fontId="17" fillId="11" borderId="13" xfId="0" applyFont="1" applyFill="1" applyBorder="1" applyAlignment="1" applyProtection="1">
      <alignment horizontal="left" vertical="top"/>
      <protection hidden="1"/>
    </xf>
    <xf numFmtId="167" fontId="0" fillId="11" borderId="1" xfId="0" applyNumberFormat="1" applyFill="1" applyBorder="1" applyAlignment="1" applyProtection="1">
      <alignment horizontal="center" vertical="center"/>
      <protection hidden="1"/>
    </xf>
    <xf numFmtId="0" fontId="2" fillId="3" borderId="0" xfId="0" applyFont="1" applyFill="1" applyAlignment="1" applyProtection="1">
      <alignment vertical="top"/>
      <protection locked="0"/>
    </xf>
    <xf numFmtId="0" fontId="2" fillId="3" borderId="0" xfId="0" applyFont="1" applyFill="1" applyProtection="1">
      <protection locked="0"/>
    </xf>
    <xf numFmtId="0" fontId="28" fillId="5" borderId="0" xfId="0" applyFont="1" applyFill="1" applyAlignment="1" applyProtection="1">
      <alignment horizontal="center" vertical="center"/>
      <protection hidden="1"/>
    </xf>
    <xf numFmtId="14" fontId="0" fillId="6" borderId="11" xfId="0" applyNumberFormat="1"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22" fillId="5" borderId="0" xfId="0" applyFont="1" applyFill="1" applyProtection="1">
      <protection locked="0"/>
    </xf>
    <xf numFmtId="0" fontId="0" fillId="5" borderId="0" xfId="0" applyFill="1" applyProtection="1">
      <protection locked="0"/>
    </xf>
    <xf numFmtId="1" fontId="0" fillId="5" borderId="0" xfId="0" applyNumberFormat="1" applyFill="1" applyAlignment="1" applyProtection="1">
      <alignment horizontal="center" vertical="center"/>
      <protection hidden="1"/>
    </xf>
    <xf numFmtId="1" fontId="17" fillId="5" borderId="4" xfId="0" applyNumberFormat="1" applyFont="1" applyFill="1" applyBorder="1" applyAlignment="1" applyProtection="1">
      <alignment horizontal="center" vertical="center"/>
      <protection hidden="1"/>
    </xf>
    <xf numFmtId="167" fontId="0" fillId="5" borderId="0" xfId="0" applyNumberFormat="1" applyFill="1" applyAlignment="1" applyProtection="1">
      <alignment horizontal="center" vertical="center"/>
      <protection hidden="1"/>
    </xf>
    <xf numFmtId="1" fontId="17" fillId="11" borderId="1" xfId="0" applyNumberFormat="1" applyFont="1" applyFill="1" applyBorder="1" applyAlignment="1" applyProtection="1">
      <alignment horizontal="center" vertical="center"/>
      <protection hidden="1"/>
    </xf>
    <xf numFmtId="164" fontId="14" fillId="15" borderId="2" xfId="0" applyNumberFormat="1" applyFont="1" applyFill="1" applyBorder="1" applyProtection="1">
      <protection hidden="1"/>
    </xf>
    <xf numFmtId="164" fontId="14" fillId="15" borderId="0" xfId="0" applyNumberFormat="1" applyFont="1" applyFill="1" applyProtection="1">
      <protection hidden="1"/>
    </xf>
    <xf numFmtId="164" fontId="14" fillId="15" borderId="14" xfId="0" applyNumberFormat="1" applyFont="1" applyFill="1" applyBorder="1" applyProtection="1">
      <protection hidden="1"/>
    </xf>
    <xf numFmtId="0" fontId="6" fillId="6" borderId="1" xfId="0" applyFont="1" applyFill="1" applyBorder="1" applyProtection="1">
      <protection locked="0"/>
    </xf>
    <xf numFmtId="0" fontId="24" fillId="5" borderId="0" xfId="2" quotePrefix="1" applyFont="1" applyFill="1" applyAlignment="1" applyProtection="1">
      <alignment horizontal="left"/>
      <protection locked="0"/>
    </xf>
    <xf numFmtId="0" fontId="0" fillId="0" borderId="0" xfId="0" applyProtection="1">
      <protection locked="0"/>
    </xf>
    <xf numFmtId="0" fontId="24" fillId="5" borderId="0" xfId="2" applyFont="1" applyFill="1" applyAlignment="1" applyProtection="1">
      <alignment horizontal="left"/>
      <protection locked="0"/>
    </xf>
    <xf numFmtId="0" fontId="19" fillId="13" borderId="0" xfId="0" applyFont="1" applyFill="1" applyAlignment="1" applyProtection="1">
      <alignment horizontal="center"/>
      <protection hidden="1"/>
    </xf>
    <xf numFmtId="0" fontId="0" fillId="0" borderId="0" xfId="0" applyProtection="1">
      <protection hidden="1"/>
    </xf>
    <xf numFmtId="0" fontId="30" fillId="3"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26" fillId="5" borderId="0" xfId="2" quotePrefix="1" applyFont="1" applyFill="1" applyAlignment="1" applyProtection="1">
      <alignment horizontal="left" vertical="top"/>
      <protection hidden="1"/>
    </xf>
    <xf numFmtId="0" fontId="32" fillId="3" borderId="0" xfId="2" quotePrefix="1" applyFont="1" applyFill="1" applyAlignment="1" applyProtection="1">
      <alignment horizontal="left" vertical="top"/>
      <protection locked="0"/>
    </xf>
    <xf numFmtId="0" fontId="32" fillId="3" borderId="0" xfId="2" applyFont="1" applyFill="1" applyAlignment="1" applyProtection="1">
      <alignment horizontal="left" vertical="top"/>
      <protection locked="0"/>
    </xf>
    <xf numFmtId="0" fontId="29" fillId="5" borderId="0" xfId="2" quotePrefix="1" applyFont="1" applyFill="1" applyAlignment="1" applyProtection="1">
      <alignment horizontal="left" vertical="top"/>
      <protection hidden="1"/>
    </xf>
    <xf numFmtId="0" fontId="4" fillId="3" borderId="0" xfId="0" applyFont="1" applyFill="1" applyAlignment="1" applyProtection="1">
      <alignment horizontal="center"/>
      <protection hidden="1"/>
    </xf>
    <xf numFmtId="0" fontId="31" fillId="3" borderId="0" xfId="2" applyFont="1" applyFill="1" applyAlignment="1" applyProtection="1">
      <alignment horizontal="left" vertical="center"/>
      <protection locked="0"/>
    </xf>
    <xf numFmtId="0" fontId="12" fillId="9" borderId="0" xfId="0" applyFont="1" applyFill="1" applyAlignment="1" applyProtection="1">
      <alignment horizontal="center" vertical="center"/>
      <protection hidden="1"/>
    </xf>
    <xf numFmtId="0" fontId="16" fillId="5" borderId="0" xfId="0" applyFont="1" applyFill="1" applyAlignment="1" applyProtection="1">
      <alignment horizontal="center" vertical="center"/>
      <protection hidden="1"/>
    </xf>
    <xf numFmtId="0" fontId="11" fillId="5" borderId="0" xfId="0" applyFont="1" applyFill="1" applyAlignment="1" applyProtection="1">
      <alignment horizontal="center" vertical="top" wrapText="1"/>
      <protection hidden="1"/>
    </xf>
    <xf numFmtId="0" fontId="33" fillId="14" borderId="0" xfId="0" applyFont="1" applyFill="1" applyAlignment="1" applyProtection="1">
      <alignment horizontal="center"/>
      <protection hidden="1"/>
    </xf>
    <xf numFmtId="0" fontId="32" fillId="5" borderId="17" xfId="2" applyFont="1" applyFill="1" applyBorder="1" applyAlignment="1" applyProtection="1">
      <alignment horizontal="left" vertical="top"/>
      <protection hidden="1"/>
    </xf>
    <xf numFmtId="0" fontId="0" fillId="0" borderId="7" xfId="0" applyBorder="1" applyProtection="1">
      <protection hidden="1"/>
    </xf>
    <xf numFmtId="0" fontId="32" fillId="5" borderId="16" xfId="2" quotePrefix="1" applyFont="1" applyFill="1" applyBorder="1" applyAlignment="1" applyProtection="1">
      <alignment horizontal="left" vertical="top"/>
      <protection hidden="1"/>
    </xf>
    <xf numFmtId="0" fontId="0" fillId="0" borderId="9" xfId="0" applyBorder="1" applyProtection="1">
      <protection hidden="1"/>
    </xf>
    <xf numFmtId="0" fontId="32" fillId="5" borderId="15" xfId="2" quotePrefix="1" applyFont="1" applyFill="1" applyBorder="1" applyAlignment="1" applyProtection="1">
      <alignment horizontal="left" vertical="top"/>
      <protection hidden="1"/>
    </xf>
    <xf numFmtId="0" fontId="0" fillId="0" borderId="12" xfId="0" applyBorder="1" applyProtection="1">
      <protection hidden="1"/>
    </xf>
    <xf numFmtId="0" fontId="17" fillId="5" borderId="17" xfId="0" applyFont="1" applyFill="1" applyBorder="1" applyAlignment="1" applyProtection="1">
      <alignment horizontal="center" vertical="center" wrapText="1"/>
      <protection hidden="1"/>
    </xf>
    <xf numFmtId="0" fontId="0" fillId="0" borderId="10" xfId="0" applyBorder="1" applyProtection="1">
      <protection hidden="1"/>
    </xf>
  </cellXfs>
  <cellStyles count="3">
    <cellStyle name="Komma" xfId="1" builtinId="3"/>
    <cellStyle name="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SplitleasingDanmark">
      <a:dk1>
        <a:sysClr val="windowText" lastClr="000000"/>
      </a:dk1>
      <a:lt1>
        <a:sysClr val="window" lastClr="FFFFFF"/>
      </a:lt1>
      <a:dk2>
        <a:srgbClr val="44546A"/>
      </a:dk2>
      <a:lt2>
        <a:srgbClr val="E7E6E6"/>
      </a:lt2>
      <a:accent1>
        <a:srgbClr val="262626"/>
      </a:accent1>
      <a:accent2>
        <a:srgbClr val="4E626D"/>
      </a:accent2>
      <a:accent3>
        <a:srgbClr val="A5A5A5"/>
      </a:accent3>
      <a:accent4>
        <a:srgbClr val="B3C1C9"/>
      </a:accent4>
      <a:accent5>
        <a:srgbClr val="44546A"/>
      </a:accent5>
      <a:accent6>
        <a:srgbClr val="8A9FAA"/>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zoomScaleNormal="100" workbookViewId="0">
      <selection activeCell="C11" sqref="C11:K11"/>
    </sheetView>
  </sheetViews>
  <sheetFormatPr baseColWidth="10" defaultColWidth="8.83203125" defaultRowHeight="15" x14ac:dyDescent="0.2"/>
  <cols>
    <col min="1" max="1" width="8.83203125" style="68" customWidth="1"/>
    <col min="2" max="16384" width="8.83203125" style="68"/>
  </cols>
  <sheetData>
    <row r="1" spans="1:13" x14ac:dyDescent="0.2">
      <c r="A1" s="67"/>
      <c r="B1" s="67"/>
      <c r="C1" s="132" t="s">
        <v>0</v>
      </c>
      <c r="D1" s="133"/>
      <c r="E1" s="133"/>
      <c r="F1" s="133"/>
      <c r="G1" s="133"/>
      <c r="H1" s="133"/>
      <c r="I1" s="133"/>
      <c r="J1" s="133"/>
      <c r="K1" s="133"/>
      <c r="L1" s="67"/>
      <c r="M1" s="67"/>
    </row>
    <row r="2" spans="1:13" x14ac:dyDescent="0.2">
      <c r="A2" s="67"/>
      <c r="B2" s="67"/>
      <c r="C2" s="133"/>
      <c r="D2" s="133"/>
      <c r="E2" s="133"/>
      <c r="F2" s="133"/>
      <c r="G2" s="133"/>
      <c r="H2" s="133"/>
      <c r="I2" s="133"/>
      <c r="J2" s="133"/>
      <c r="K2" s="133"/>
      <c r="L2" s="67"/>
      <c r="M2" s="67"/>
    </row>
    <row r="3" spans="1:13" x14ac:dyDescent="0.2">
      <c r="A3" s="67"/>
      <c r="B3" s="69"/>
      <c r="C3" s="69"/>
      <c r="D3" s="69"/>
      <c r="E3" s="69"/>
      <c r="F3" s="69"/>
      <c r="G3" s="69"/>
      <c r="H3" s="69"/>
      <c r="I3" s="69"/>
      <c r="J3" s="69"/>
      <c r="K3" s="69"/>
      <c r="L3" s="69"/>
      <c r="M3" s="67"/>
    </row>
    <row r="4" spans="1:13" x14ac:dyDescent="0.2">
      <c r="A4" s="67"/>
      <c r="B4" s="69"/>
      <c r="C4" s="69"/>
      <c r="D4" s="69"/>
      <c r="E4" s="69"/>
      <c r="F4" s="69"/>
      <c r="G4" s="69"/>
      <c r="H4" s="69"/>
      <c r="I4" s="69"/>
      <c r="J4" s="69"/>
      <c r="K4" s="69"/>
      <c r="L4" s="69"/>
      <c r="M4" s="67"/>
    </row>
    <row r="5" spans="1:13" x14ac:dyDescent="0.2">
      <c r="A5" s="67"/>
      <c r="B5" s="69"/>
      <c r="C5" s="69"/>
      <c r="D5" s="69"/>
      <c r="E5" s="69"/>
      <c r="F5" s="69"/>
      <c r="G5" s="69"/>
      <c r="H5" s="69"/>
      <c r="I5" s="69"/>
      <c r="J5" s="69"/>
      <c r="K5" s="69"/>
      <c r="L5" s="69"/>
      <c r="M5" s="67"/>
    </row>
    <row r="6" spans="1:13" x14ac:dyDescent="0.2">
      <c r="A6" s="67"/>
      <c r="B6" s="69"/>
      <c r="C6" s="69"/>
      <c r="D6" s="69"/>
      <c r="E6" s="69"/>
      <c r="F6" s="69"/>
      <c r="G6" s="69"/>
      <c r="H6" s="69"/>
      <c r="I6" s="69"/>
      <c r="J6" s="69"/>
      <c r="K6" s="69"/>
      <c r="L6" s="69"/>
      <c r="M6" s="67"/>
    </row>
    <row r="7" spans="1:13" x14ac:dyDescent="0.2">
      <c r="A7" s="67"/>
      <c r="B7" s="69"/>
      <c r="C7" s="69"/>
      <c r="D7" s="69"/>
      <c r="E7" s="69"/>
      <c r="F7" s="69"/>
      <c r="G7" s="69"/>
      <c r="H7" s="69"/>
      <c r="I7" s="69"/>
      <c r="J7" s="69"/>
      <c r="K7" s="69"/>
      <c r="L7" s="69"/>
      <c r="M7" s="67"/>
    </row>
    <row r="8" spans="1:13" ht="15.75" customHeight="1" x14ac:dyDescent="0.2">
      <c r="A8" s="67"/>
      <c r="B8" s="69"/>
      <c r="C8" s="70" t="s">
        <v>1</v>
      </c>
      <c r="D8" s="69"/>
      <c r="E8" s="69"/>
      <c r="F8" s="69"/>
      <c r="G8" s="69"/>
      <c r="H8" s="69"/>
      <c r="I8" s="69"/>
      <c r="J8" s="69"/>
      <c r="K8" s="69"/>
      <c r="L8" s="69"/>
      <c r="M8" s="67"/>
    </row>
    <row r="9" spans="1:13" x14ac:dyDescent="0.2">
      <c r="A9" s="67"/>
      <c r="B9" s="69"/>
      <c r="C9" s="69"/>
      <c r="D9" s="69"/>
      <c r="E9" s="69"/>
      <c r="F9" s="69"/>
      <c r="G9" s="69"/>
      <c r="H9" s="69"/>
      <c r="I9" s="69"/>
      <c r="J9" s="69"/>
      <c r="K9" s="69"/>
      <c r="L9" s="69"/>
      <c r="M9" s="67"/>
    </row>
    <row r="10" spans="1:13" x14ac:dyDescent="0.2">
      <c r="A10" s="67"/>
      <c r="B10" s="69"/>
      <c r="C10" s="69"/>
      <c r="D10" s="69"/>
      <c r="E10" s="69"/>
      <c r="F10" s="69"/>
      <c r="G10" s="69"/>
      <c r="H10" s="69"/>
      <c r="I10" s="69"/>
      <c r="J10" s="69"/>
      <c r="K10" s="69"/>
      <c r="L10" s="69"/>
      <c r="M10" s="67"/>
    </row>
    <row r="11" spans="1:13" ht="18.75" customHeight="1" x14ac:dyDescent="0.25">
      <c r="A11" s="67"/>
      <c r="B11" s="69"/>
      <c r="C11" s="131" t="s">
        <v>2</v>
      </c>
      <c r="D11" s="130"/>
      <c r="E11" s="130"/>
      <c r="F11" s="130"/>
      <c r="G11" s="130"/>
      <c r="H11" s="130"/>
      <c r="I11" s="130"/>
      <c r="J11" s="130"/>
      <c r="K11" s="130"/>
      <c r="L11" s="69"/>
      <c r="M11" s="67"/>
    </row>
    <row r="12" spans="1:13" ht="21" customHeight="1" x14ac:dyDescent="0.25">
      <c r="A12" s="67"/>
      <c r="B12" s="69"/>
      <c r="C12" s="119"/>
      <c r="D12" s="119"/>
      <c r="E12" s="119"/>
      <c r="F12" s="119"/>
      <c r="G12" s="120"/>
      <c r="H12" s="120"/>
      <c r="I12" s="120"/>
      <c r="J12" s="120"/>
      <c r="K12" s="120"/>
      <c r="L12" s="69"/>
      <c r="M12" s="67"/>
    </row>
    <row r="13" spans="1:13" ht="18.75" customHeight="1" x14ac:dyDescent="0.25">
      <c r="A13" s="67"/>
      <c r="B13" s="69"/>
      <c r="C13" s="129" t="s">
        <v>3</v>
      </c>
      <c r="D13" s="130"/>
      <c r="E13" s="130"/>
      <c r="F13" s="130"/>
      <c r="G13" s="130"/>
      <c r="H13" s="130"/>
      <c r="I13" s="130"/>
      <c r="J13" s="130"/>
      <c r="K13" s="130"/>
      <c r="L13" s="69"/>
      <c r="M13" s="67"/>
    </row>
    <row r="14" spans="1:13" ht="21" customHeight="1" x14ac:dyDescent="0.25">
      <c r="A14" s="67"/>
      <c r="B14" s="69"/>
      <c r="C14" s="119"/>
      <c r="D14" s="119"/>
      <c r="E14" s="119"/>
      <c r="F14" s="119"/>
      <c r="G14" s="120"/>
      <c r="H14" s="120"/>
      <c r="I14" s="120"/>
      <c r="J14" s="120"/>
      <c r="K14" s="120"/>
      <c r="L14" s="69"/>
      <c r="M14" s="67"/>
    </row>
    <row r="15" spans="1:13" ht="18.75" customHeight="1" x14ac:dyDescent="0.25">
      <c r="A15" s="67"/>
      <c r="B15" s="69"/>
      <c r="C15" s="129" t="s">
        <v>4</v>
      </c>
      <c r="D15" s="130"/>
      <c r="E15" s="130"/>
      <c r="F15" s="130"/>
      <c r="G15" s="130"/>
      <c r="H15" s="130"/>
      <c r="I15" s="130"/>
      <c r="J15" s="130"/>
      <c r="K15" s="130"/>
      <c r="L15" s="69"/>
      <c r="M15" s="67"/>
    </row>
    <row r="16" spans="1:13" ht="21" customHeight="1" x14ac:dyDescent="0.25">
      <c r="A16" s="67"/>
      <c r="B16" s="69"/>
      <c r="C16" s="119"/>
      <c r="D16" s="119"/>
      <c r="E16" s="119"/>
      <c r="F16" s="119"/>
      <c r="G16" s="120"/>
      <c r="H16" s="120"/>
      <c r="I16" s="120"/>
      <c r="J16" s="120"/>
      <c r="K16" s="120"/>
      <c r="L16" s="69"/>
      <c r="M16" s="67"/>
    </row>
    <row r="17" spans="1:13" ht="18.75" customHeight="1" x14ac:dyDescent="0.25">
      <c r="A17" s="67"/>
      <c r="B17" s="69"/>
      <c r="C17" s="129" t="s">
        <v>5</v>
      </c>
      <c r="D17" s="130"/>
      <c r="E17" s="130"/>
      <c r="F17" s="130"/>
      <c r="G17" s="130"/>
      <c r="H17" s="130"/>
      <c r="I17" s="130"/>
      <c r="J17" s="130"/>
      <c r="K17" s="130"/>
      <c r="L17" s="69"/>
      <c r="M17" s="67"/>
    </row>
    <row r="18" spans="1:13" ht="21" customHeight="1" x14ac:dyDescent="0.25">
      <c r="A18" s="67"/>
      <c r="B18" s="69"/>
      <c r="C18" s="119"/>
      <c r="D18" s="119"/>
      <c r="E18" s="119"/>
      <c r="F18" s="119"/>
      <c r="G18" s="120"/>
      <c r="H18" s="120"/>
      <c r="I18" s="120"/>
      <c r="J18" s="120"/>
      <c r="K18" s="120"/>
      <c r="L18" s="69"/>
      <c r="M18" s="67"/>
    </row>
    <row r="19" spans="1:13" ht="18.75" customHeight="1" x14ac:dyDescent="0.25">
      <c r="A19" s="67"/>
      <c r="B19" s="69"/>
      <c r="C19" s="129" t="s">
        <v>6</v>
      </c>
      <c r="D19" s="130"/>
      <c r="E19" s="130"/>
      <c r="F19" s="130"/>
      <c r="G19" s="130"/>
      <c r="H19" s="130"/>
      <c r="I19" s="130"/>
      <c r="J19" s="130"/>
      <c r="K19" s="130"/>
      <c r="L19" s="69"/>
      <c r="M19" s="67"/>
    </row>
    <row r="20" spans="1:13" ht="21" customHeight="1" x14ac:dyDescent="0.25">
      <c r="A20" s="67"/>
      <c r="B20" s="69"/>
      <c r="C20" s="71"/>
      <c r="D20" s="71"/>
      <c r="E20" s="71"/>
      <c r="F20" s="71"/>
      <c r="G20" s="71"/>
      <c r="H20" s="71"/>
      <c r="I20" s="71"/>
      <c r="J20" s="71"/>
      <c r="K20" s="71"/>
      <c r="L20" s="69"/>
      <c r="M20" s="67"/>
    </row>
    <row r="21" spans="1:13" ht="14.5" customHeight="1" x14ac:dyDescent="0.25">
      <c r="A21" s="67"/>
      <c r="B21" s="69"/>
      <c r="C21" s="72" t="s">
        <v>7</v>
      </c>
      <c r="D21" s="71"/>
      <c r="E21" s="71"/>
      <c r="F21" s="71"/>
      <c r="G21" s="71"/>
      <c r="H21" s="71"/>
      <c r="I21" s="71"/>
      <c r="J21" s="71"/>
      <c r="K21" s="71"/>
      <c r="L21" s="69"/>
      <c r="M21" s="67"/>
    </row>
    <row r="22" spans="1:13" ht="14.5" customHeight="1" x14ac:dyDescent="0.2">
      <c r="A22" s="67"/>
      <c r="B22" s="69"/>
      <c r="C22" s="69" t="s">
        <v>8</v>
      </c>
      <c r="D22" s="69"/>
      <c r="E22" s="69"/>
      <c r="F22" s="69"/>
      <c r="G22" s="69"/>
      <c r="H22" s="69"/>
      <c r="I22" s="69"/>
      <c r="J22" s="69"/>
      <c r="K22" s="69"/>
      <c r="L22" s="69"/>
      <c r="M22" s="67"/>
    </row>
    <row r="23" spans="1:13" x14ac:dyDescent="0.2">
      <c r="A23" s="67"/>
      <c r="B23" s="69"/>
      <c r="C23" s="69"/>
      <c r="D23" s="69"/>
      <c r="E23" s="69"/>
      <c r="F23" s="69"/>
      <c r="G23" s="69"/>
      <c r="H23" s="69"/>
      <c r="I23" s="69"/>
      <c r="J23" s="69"/>
      <c r="K23" s="69"/>
      <c r="L23" s="69"/>
      <c r="M23" s="67"/>
    </row>
    <row r="24" spans="1:13" x14ac:dyDescent="0.2">
      <c r="A24" s="67"/>
      <c r="B24" s="67"/>
      <c r="C24" s="67"/>
      <c r="D24" s="67"/>
      <c r="E24" s="67"/>
      <c r="F24" s="67"/>
      <c r="G24" s="67"/>
      <c r="H24" s="67"/>
      <c r="I24" s="67"/>
      <c r="J24" s="67"/>
      <c r="K24" s="67"/>
      <c r="L24" s="67"/>
      <c r="M24" s="67"/>
    </row>
    <row r="25" spans="1:13" x14ac:dyDescent="0.2">
      <c r="A25" s="67"/>
      <c r="B25" s="67"/>
      <c r="C25" s="67"/>
      <c r="D25" s="67"/>
      <c r="E25" s="67"/>
      <c r="F25" s="67"/>
      <c r="G25" s="67"/>
      <c r="H25" s="67"/>
      <c r="I25" s="67"/>
      <c r="J25" s="67"/>
      <c r="K25" s="67"/>
      <c r="L25" s="67"/>
      <c r="M25" s="67"/>
    </row>
  </sheetData>
  <sheetProtection algorithmName="SHA-512" hashValue="0z3usV7V4A7wCtfpj9SneLf3qy1hnYkSddhR6WaBh+Kpx/rrBHJOudYEIrM2aHyytNKy/O8gaHoTB6JTtABKCg==" saltValue="lVN3Ik/oJJEeDHUPDZpfjQ==" spinCount="100000" sheet="1" selectLockedCells="1"/>
  <mergeCells count="6">
    <mergeCell ref="C15:K15"/>
    <mergeCell ref="C11:K11"/>
    <mergeCell ref="C1:K2"/>
    <mergeCell ref="C19:K19"/>
    <mergeCell ref="C13:K13"/>
    <mergeCell ref="C17:K17"/>
  </mergeCells>
  <hyperlinks>
    <hyperlink ref="C11" location="'Brugte Personbiler'!A1" display="Tryk her" xr:uid="{00000000-0004-0000-0000-000000000000}"/>
    <hyperlink ref="C13" location="'Nye personbiler'!A1" display="'Nye personbiler'!A1" xr:uid="{00000000-0004-0000-0000-000001000000}"/>
    <hyperlink ref="C15" location="'Brugte Varebiler'!A1" display="'Brugte Varebiler'!A1" xr:uid="{00000000-0004-0000-0000-000002000000}"/>
    <hyperlink ref="C17" location="'Nye Varebil'!A1" display="'Nye Varebil'!A1" xr:uid="{00000000-0004-0000-0000-000003000000}"/>
    <hyperlink ref="C19" location="'Værktøj til CO2'!A1" display="'Værktøj til CO2'!A1"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pageSetUpPr fitToPage="1"/>
  </sheetPr>
  <dimension ref="A1:V35"/>
  <sheetViews>
    <sheetView tabSelected="1" topLeftCell="A2" zoomScale="70" zoomScaleNormal="70" workbookViewId="0">
      <selection activeCell="L23" sqref="L23"/>
    </sheetView>
  </sheetViews>
  <sheetFormatPr baseColWidth="10" defaultColWidth="9.1640625" defaultRowHeight="14" x14ac:dyDescent="0.2"/>
  <cols>
    <col min="1" max="1" width="2.6640625" style="2" customWidth="1"/>
    <col min="2" max="2" width="3" style="2" customWidth="1"/>
    <col min="3" max="3" width="11.83203125" style="2" bestFit="1" customWidth="1"/>
    <col min="4" max="4" width="9.1640625" style="2" customWidth="1"/>
    <col min="5" max="5" width="5.33203125" style="2" customWidth="1"/>
    <col min="6" max="6" width="5.6640625" style="2" customWidth="1"/>
    <col min="7" max="7" width="22.83203125" style="2" customWidth="1"/>
    <col min="8" max="8" width="2.5" style="2" hidden="1" customWidth="1"/>
    <col min="9" max="10" width="1.6640625" style="2" customWidth="1"/>
    <col min="11" max="11" width="26" style="2" customWidth="1"/>
    <col min="12" max="12" width="19.5" style="2" customWidth="1"/>
    <col min="13" max="13" width="21.83203125" style="2" customWidth="1"/>
    <col min="14" max="14" width="22.83203125" style="2" bestFit="1" customWidth="1"/>
    <col min="15" max="15" width="16.33203125" style="2" customWidth="1"/>
    <col min="16" max="16" width="2.83203125" style="2" customWidth="1"/>
    <col min="17" max="17" width="3.1640625" style="2" customWidth="1"/>
    <col min="18" max="18" width="12.33203125" style="2" hidden="1" customWidth="1"/>
    <col min="19" max="19" width="9.1640625" style="2" customWidth="1"/>
    <col min="20" max="20" width="13" style="2" hidden="1" customWidth="1"/>
    <col min="21" max="21" width="17.83203125" style="2" hidden="1" customWidth="1"/>
    <col min="22" max="22" width="18.5" style="2" hidden="1" customWidth="1"/>
    <col min="23" max="23" width="9.1640625" style="2" customWidth="1"/>
    <col min="24" max="16384" width="9.1640625" style="2"/>
  </cols>
  <sheetData>
    <row r="1" spans="1:18" hidden="1" x14ac:dyDescent="0.2">
      <c r="A1" s="1"/>
      <c r="B1" s="1"/>
      <c r="C1" s="1"/>
      <c r="D1" s="1"/>
      <c r="E1" s="1"/>
      <c r="F1" s="1"/>
      <c r="G1" s="1"/>
      <c r="H1" s="1"/>
      <c r="I1" s="1"/>
      <c r="J1" s="1"/>
      <c r="K1" s="1"/>
      <c r="L1" s="1"/>
      <c r="M1" s="1"/>
      <c r="N1" s="1"/>
      <c r="O1" s="1"/>
      <c r="P1" s="1"/>
      <c r="Q1" s="1"/>
    </row>
    <row r="2" spans="1:18" ht="24.75" customHeight="1" x14ac:dyDescent="0.35">
      <c r="A2" s="34"/>
      <c r="B2" s="34"/>
      <c r="C2" s="135" t="s">
        <v>9</v>
      </c>
      <c r="D2" s="133"/>
      <c r="E2" s="133"/>
      <c r="F2" s="133"/>
      <c r="G2" s="133"/>
      <c r="H2" s="133"/>
      <c r="I2" s="133"/>
      <c r="J2" s="133"/>
      <c r="K2" s="133"/>
      <c r="L2" s="133"/>
      <c r="M2" s="133"/>
      <c r="N2" s="133"/>
      <c r="O2" s="133"/>
      <c r="P2" s="35"/>
      <c r="Q2" s="34"/>
      <c r="R2" s="1"/>
    </row>
    <row r="3" spans="1:18" ht="6" customHeight="1" x14ac:dyDescent="0.2">
      <c r="A3" s="34"/>
      <c r="B3" s="4"/>
      <c r="C3" s="4"/>
      <c r="D3" s="5"/>
      <c r="E3" s="5"/>
      <c r="F3" s="5"/>
      <c r="G3" s="5"/>
      <c r="H3" s="1"/>
      <c r="I3" s="4"/>
      <c r="J3" s="1"/>
      <c r="K3" s="1"/>
      <c r="L3" s="1"/>
      <c r="M3" s="1"/>
      <c r="N3" s="33"/>
      <c r="O3" s="33"/>
      <c r="P3" s="1"/>
      <c r="Q3" s="34"/>
      <c r="R3" s="1"/>
    </row>
    <row r="4" spans="1:18" ht="17" customHeight="1" x14ac:dyDescent="0.2">
      <c r="A4" s="34"/>
      <c r="B4" s="4"/>
      <c r="C4" s="4"/>
      <c r="D4" s="4"/>
      <c r="E4" s="4"/>
      <c r="F4" s="4"/>
      <c r="G4" s="4"/>
      <c r="H4" s="36"/>
      <c r="I4" s="5"/>
      <c r="J4" s="1"/>
      <c r="K4" s="6" t="s">
        <v>10</v>
      </c>
      <c r="L4" s="7"/>
      <c r="M4" s="8"/>
      <c r="N4" s="8"/>
      <c r="O4" s="8"/>
      <c r="P4" s="1"/>
      <c r="Q4" s="34"/>
      <c r="R4" s="1"/>
    </row>
    <row r="5" spans="1:18" ht="17" customHeight="1" x14ac:dyDescent="0.2">
      <c r="A5" s="34"/>
      <c r="B5" s="4">
        <v>1071565</v>
      </c>
      <c r="C5" s="4"/>
      <c r="D5" s="4"/>
      <c r="E5" s="4"/>
      <c r="F5" s="4"/>
      <c r="G5" s="4"/>
      <c r="H5" s="37"/>
      <c r="I5" s="9"/>
      <c r="J5" s="1"/>
      <c r="K5" s="6"/>
      <c r="L5" s="7"/>
      <c r="M5" s="8"/>
      <c r="N5" s="8"/>
      <c r="O5" s="8"/>
      <c r="P5" s="1"/>
      <c r="Q5" s="34"/>
      <c r="R5" s="1"/>
    </row>
    <row r="6" spans="1:18" ht="17" customHeight="1" x14ac:dyDescent="0.2">
      <c r="A6" s="34"/>
      <c r="B6" s="4"/>
      <c r="C6" s="10" t="s">
        <v>11</v>
      </c>
      <c r="D6" s="11"/>
      <c r="E6" s="11"/>
      <c r="F6" s="4"/>
      <c r="G6" s="38"/>
      <c r="H6" s="1"/>
      <c r="I6" s="4"/>
      <c r="J6" s="1"/>
      <c r="K6" s="134" t="s">
        <v>12</v>
      </c>
      <c r="L6" s="133"/>
      <c r="M6" s="133"/>
      <c r="N6" s="133"/>
      <c r="O6" s="133"/>
      <c r="P6" s="1"/>
      <c r="Q6" s="34"/>
      <c r="R6" s="1"/>
    </row>
    <row r="7" spans="1:18" ht="17" customHeight="1" x14ac:dyDescent="0.2">
      <c r="A7" s="34"/>
      <c r="B7" s="4"/>
      <c r="C7" s="4" t="s">
        <v>13</v>
      </c>
      <c r="D7" s="4"/>
      <c r="E7" s="4"/>
      <c r="F7" s="4"/>
      <c r="G7" s="12">
        <f>IF(L23&lt;50,IF(L26&lt;46,L26*O33,O33*45)*-1,0)</f>
        <v>0</v>
      </c>
      <c r="H7" s="36"/>
      <c r="I7" s="5"/>
      <c r="J7" s="1"/>
      <c r="K7" s="133"/>
      <c r="L7" s="133"/>
      <c r="M7" s="133"/>
      <c r="N7" s="133"/>
      <c r="O7" s="133"/>
      <c r="P7" s="1"/>
      <c r="Q7" s="34"/>
      <c r="R7" s="1"/>
    </row>
    <row r="8" spans="1:18" ht="17" customHeight="1" x14ac:dyDescent="0.2">
      <c r="A8" s="34"/>
      <c r="B8" s="4"/>
      <c r="C8" s="4"/>
      <c r="D8" s="4"/>
      <c r="E8" s="4"/>
      <c r="F8" s="4"/>
      <c r="G8" s="12"/>
      <c r="H8" s="36"/>
      <c r="I8" s="5"/>
      <c r="J8" s="1"/>
      <c r="K8" s="133"/>
      <c r="L8" s="133"/>
      <c r="M8" s="133"/>
      <c r="N8" s="133"/>
      <c r="O8" s="133"/>
      <c r="P8" s="1"/>
      <c r="Q8" s="34"/>
      <c r="R8" s="1"/>
    </row>
    <row r="9" spans="1:18" ht="17" customHeight="1" x14ac:dyDescent="0.2">
      <c r="A9" s="34"/>
      <c r="B9" s="4"/>
      <c r="C9" s="11" t="s">
        <v>14</v>
      </c>
      <c r="D9" s="4"/>
      <c r="E9" s="4"/>
      <c r="F9" s="4"/>
      <c r="G9" s="13">
        <f>G7</f>
        <v>0</v>
      </c>
      <c r="H9" s="36"/>
      <c r="I9" s="5"/>
      <c r="J9" s="1"/>
      <c r="K9" s="138" t="s">
        <v>2</v>
      </c>
      <c r="L9" s="130"/>
      <c r="M9" s="114"/>
      <c r="N9" s="114"/>
      <c r="O9" s="114"/>
      <c r="P9" s="1"/>
      <c r="Q9" s="34"/>
      <c r="R9" s="1"/>
    </row>
    <row r="10" spans="1:18" ht="17" customHeight="1" x14ac:dyDescent="0.2">
      <c r="A10" s="34"/>
      <c r="B10" s="4"/>
      <c r="C10" s="4"/>
      <c r="D10" s="4"/>
      <c r="E10" s="4"/>
      <c r="F10" s="4"/>
      <c r="G10" s="38"/>
      <c r="H10" s="39">
        <f>IF(H31&lt;=L19*R20,H31*L18,L19*R20*L18)</f>
        <v>11125.424260414684</v>
      </c>
      <c r="I10" s="14"/>
      <c r="J10" s="1"/>
      <c r="K10" s="137" t="s">
        <v>3</v>
      </c>
      <c r="L10" s="130"/>
      <c r="M10" s="141" t="s">
        <v>15</v>
      </c>
      <c r="N10" s="130"/>
      <c r="O10" s="130"/>
      <c r="P10" s="1"/>
      <c r="Q10" s="34"/>
      <c r="R10" s="1"/>
    </row>
    <row r="11" spans="1:18" ht="17" customHeight="1" x14ac:dyDescent="0.2">
      <c r="A11" s="34"/>
      <c r="B11" s="4"/>
      <c r="C11" s="10" t="s">
        <v>16</v>
      </c>
      <c r="D11" s="11"/>
      <c r="E11" s="11"/>
      <c r="F11" s="11"/>
      <c r="G11" s="38"/>
      <c r="H11" s="16">
        <f>IF(H31&gt;L19*R20,IF(AND(H31&lt;=M19*R20,(H31&gt;=L19*R20)),(H31-L19*R20)*M18,(M19-L19)*R20*M18),0)</f>
        <v>79842.890907665249</v>
      </c>
      <c r="I11" s="15"/>
      <c r="J11" s="1"/>
      <c r="K11" s="137" t="s">
        <v>4</v>
      </c>
      <c r="L11" s="130"/>
      <c r="M11" s="130"/>
      <c r="N11" s="130"/>
      <c r="O11" s="130"/>
      <c r="P11" s="1"/>
      <c r="Q11" s="34"/>
      <c r="R11" s="1"/>
    </row>
    <row r="12" spans="1:18" ht="17" customHeight="1" x14ac:dyDescent="0.2">
      <c r="A12" s="34"/>
      <c r="B12" s="4"/>
      <c r="C12" s="4" t="s">
        <v>17</v>
      </c>
      <c r="D12" s="4"/>
      <c r="E12" s="4"/>
      <c r="F12" s="4"/>
      <c r="G12" s="12">
        <f>IF(G22&lt;=L19*R20,G22*L18,L19*R20*L18)</f>
        <v>11125.424260414684</v>
      </c>
      <c r="H12" s="1">
        <f>IF(H31&gt;M19*R20,SUM(H31-M19*R20)*N18,0)</f>
        <v>273033.31578416767</v>
      </c>
      <c r="I12" s="4"/>
      <c r="J12" s="1"/>
      <c r="K12" s="137" t="s">
        <v>5</v>
      </c>
      <c r="L12" s="130"/>
      <c r="M12" s="130"/>
      <c r="N12" s="130"/>
      <c r="O12" s="130"/>
      <c r="P12" s="1"/>
      <c r="Q12" s="34"/>
      <c r="R12" s="1"/>
    </row>
    <row r="13" spans="1:18" ht="17" customHeight="1" x14ac:dyDescent="0.2">
      <c r="A13" s="34"/>
      <c r="B13" s="4"/>
      <c r="C13" s="4" t="s">
        <v>18</v>
      </c>
      <c r="D13" s="4"/>
      <c r="E13" s="4"/>
      <c r="F13" s="4"/>
      <c r="G13" s="12">
        <f>IF(G22&gt;L19*R20,IF(AND(G22&lt;=M19*R20,(G22&gt;=L19*R20)),(G22-L19*R20)*M18,(M19-L19)*R20*M18),0)</f>
        <v>79842.890907665249</v>
      </c>
      <c r="H13" s="16">
        <f>SUM(H10:H12)</f>
        <v>364001.63095224759</v>
      </c>
      <c r="I13" s="15"/>
      <c r="J13" s="1"/>
      <c r="K13" s="137">
        <v>185000</v>
      </c>
      <c r="L13" s="130"/>
      <c r="M13" s="115"/>
      <c r="N13" s="115"/>
      <c r="O13" s="115"/>
      <c r="P13" s="1"/>
      <c r="Q13" s="34"/>
      <c r="R13" s="1"/>
    </row>
    <row r="14" spans="1:18" ht="17" customHeight="1" x14ac:dyDescent="0.2">
      <c r="A14" s="34"/>
      <c r="B14" s="4"/>
      <c r="C14" s="4" t="s">
        <v>19</v>
      </c>
      <c r="D14" s="4"/>
      <c r="E14" s="4"/>
      <c r="F14" s="4"/>
      <c r="G14" s="12">
        <f>IF(G22&gt;M19*R20,SUM(G22-M19*R20)*N18,0)</f>
        <v>29143.134430342878</v>
      </c>
      <c r="H14" s="1"/>
      <c r="I14" s="4"/>
      <c r="J14" s="1"/>
      <c r="K14" s="1"/>
      <c r="L14" s="1"/>
      <c r="M14" s="1"/>
      <c r="N14" s="1"/>
      <c r="O14" s="1"/>
      <c r="P14" s="1"/>
      <c r="Q14" s="34"/>
      <c r="R14" s="1"/>
    </row>
    <row r="15" spans="1:18" ht="17" customHeight="1" x14ac:dyDescent="0.2">
      <c r="A15" s="34"/>
      <c r="B15" s="4"/>
      <c r="C15" s="11" t="s">
        <v>20</v>
      </c>
      <c r="D15" s="4"/>
      <c r="E15" s="4"/>
      <c r="F15" s="4"/>
      <c r="G15" s="13">
        <f>SUM(G12:G14)</f>
        <v>120111.44959842281</v>
      </c>
      <c r="H15" s="1"/>
      <c r="I15" s="4"/>
      <c r="J15" s="16"/>
      <c r="L15" s="1"/>
      <c r="M15" s="1"/>
      <c r="N15" s="1"/>
      <c r="O15" s="1"/>
      <c r="P15" s="1"/>
      <c r="Q15" s="34"/>
      <c r="R15" s="1"/>
    </row>
    <row r="16" spans="1:18" ht="17" customHeight="1" x14ac:dyDescent="0.2">
      <c r="A16" s="34"/>
      <c r="B16" s="4"/>
      <c r="C16" s="4"/>
      <c r="D16" s="4"/>
      <c r="E16" s="4"/>
      <c r="F16" s="4"/>
      <c r="G16" s="38"/>
      <c r="H16" s="1"/>
      <c r="I16" s="4"/>
      <c r="J16" s="16"/>
      <c r="K16" s="140" t="s">
        <v>21</v>
      </c>
      <c r="L16" s="133"/>
      <c r="M16" s="133"/>
      <c r="N16" s="133"/>
      <c r="O16" s="133"/>
      <c r="P16" s="1"/>
      <c r="Q16" s="34"/>
      <c r="R16" s="1"/>
    </row>
    <row r="17" spans="1:22" ht="17" customHeight="1" x14ac:dyDescent="0.2">
      <c r="A17" s="34"/>
      <c r="B17" s="4"/>
      <c r="C17" s="10" t="s">
        <v>22</v>
      </c>
      <c r="D17" s="11"/>
      <c r="E17" s="11"/>
      <c r="F17" s="4"/>
      <c r="G17" s="38"/>
      <c r="H17" s="1"/>
      <c r="I17" s="4"/>
      <c r="J17" s="16"/>
      <c r="L17" s="1"/>
      <c r="M17" s="1"/>
      <c r="N17" s="1"/>
      <c r="P17" s="1"/>
      <c r="Q17" s="34"/>
      <c r="R17" s="1"/>
    </row>
    <row r="18" spans="1:22" ht="17" customHeight="1" x14ac:dyDescent="0.2">
      <c r="A18" s="34"/>
      <c r="B18" s="4"/>
      <c r="C18" s="4" t="s">
        <v>23</v>
      </c>
      <c r="D18" s="4"/>
      <c r="E18" s="4"/>
      <c r="F18" s="4"/>
      <c r="G18" s="12">
        <f>IF(L23&lt;126,O24*L23,IF(L23&lt;161,31250+(L23-125)*O25,(O24*125)+(O25*35)+(L23-160)*O26))/(L22/L21)</f>
        <v>42482.004637460377</v>
      </c>
      <c r="H18" s="1"/>
      <c r="I18" s="4"/>
      <c r="J18" s="29"/>
      <c r="K18" s="19" t="s">
        <v>24</v>
      </c>
      <c r="L18" s="40">
        <v>0.25</v>
      </c>
      <c r="M18" s="40">
        <v>0.85</v>
      </c>
      <c r="N18" s="41">
        <v>1.5</v>
      </c>
      <c r="O18" s="86" t="s">
        <v>25</v>
      </c>
      <c r="P18" s="54"/>
      <c r="Q18" s="34"/>
      <c r="R18" s="1"/>
    </row>
    <row r="19" spans="1:22" ht="17" customHeight="1" x14ac:dyDescent="0.2">
      <c r="A19" s="34"/>
      <c r="B19" s="4"/>
      <c r="C19" s="11" t="s">
        <v>26</v>
      </c>
      <c r="D19" s="4"/>
      <c r="E19" s="4"/>
      <c r="F19" s="4"/>
      <c r="G19" s="17">
        <f>G18</f>
        <v>42482.004637460377</v>
      </c>
      <c r="H19" s="1"/>
      <c r="I19" s="4"/>
      <c r="J19" s="29"/>
      <c r="K19" s="19" t="s">
        <v>27</v>
      </c>
      <c r="L19" s="43">
        <v>65000</v>
      </c>
      <c r="M19" s="43">
        <v>202200</v>
      </c>
      <c r="N19" s="43" t="s">
        <v>28</v>
      </c>
      <c r="O19" s="29"/>
      <c r="P19" s="18"/>
      <c r="Q19" s="34"/>
      <c r="R19" s="1"/>
    </row>
    <row r="20" spans="1:22" ht="17" customHeight="1" x14ac:dyDescent="0.2">
      <c r="A20" s="34"/>
      <c r="B20" s="4"/>
      <c r="C20" s="4"/>
      <c r="D20" s="4"/>
      <c r="E20" s="4"/>
      <c r="F20" s="4"/>
      <c r="G20" s="12"/>
      <c r="H20" s="1">
        <f>IF(L23&lt;126,O24*L23,IF(L23&lt;161,31250+(L23-125)*O25,48750+(L23-160)*O26))/(L22/L21)</f>
        <v>42482.004637460377</v>
      </c>
      <c r="I20" s="4"/>
      <c r="J20" s="18"/>
      <c r="K20" s="22"/>
      <c r="L20" s="22"/>
      <c r="M20" s="22"/>
      <c r="N20" s="22"/>
      <c r="O20" s="18"/>
      <c r="P20" s="18"/>
      <c r="Q20" s="34"/>
      <c r="R20" s="42">
        <f>L21/L22</f>
        <v>0.68464149294859589</v>
      </c>
    </row>
    <row r="21" spans="1:22" ht="17" customHeight="1" x14ac:dyDescent="0.2">
      <c r="A21" s="34"/>
      <c r="B21" s="4"/>
      <c r="C21" s="10" t="s">
        <v>29</v>
      </c>
      <c r="D21" s="11"/>
      <c r="E21" s="4"/>
      <c r="F21" s="4"/>
      <c r="G21" s="12"/>
      <c r="H21" s="1"/>
      <c r="I21" s="4"/>
      <c r="J21" s="18"/>
      <c r="K21" s="19" t="s">
        <v>30</v>
      </c>
      <c r="L21" s="49">
        <v>305600</v>
      </c>
      <c r="M21" s="22"/>
      <c r="N21" s="22"/>
      <c r="O21" s="18"/>
      <c r="P21" s="18"/>
      <c r="Q21" s="34"/>
      <c r="R21" s="42" t="s">
        <v>31</v>
      </c>
      <c r="U21" s="2">
        <f>IF((L21+G9-(G19+G25)*(1-O32)-G29)/(1+L18*(1-O32))&lt;L19*R20,(L21+G9-(G19+G25)*(1-O32)-G29)/(1+L18*(1-O32)),IF((L21+G9-L19*R20*L18*(1-O32)+L19*R20*M18*(1-O32)-(G19+G25)*(1-O32)-G29)/(1+M18*(1-O32))&lt;M19*R20,(L21+G9-L19*R20*L18*(1-O32)+L19*R20*M18*(1-O32)-(G19+G25)*(1-O32)-G29)/(1+M18*(1-O32)),(L21+G9-L19*R20*L18*(1-O32)-(M19*R20-L19*R20)*M18*(1-O32)+M19*R20*N18*(1-O32)-(G19+G25)*(1-O32)-G29)/(1+N18*(1-O32))))</f>
        <v>157863.26616110135</v>
      </c>
    </row>
    <row r="22" spans="1:22" ht="17" customHeight="1" x14ac:dyDescent="0.2">
      <c r="A22" s="34"/>
      <c r="B22" s="4"/>
      <c r="C22" s="4" t="s">
        <v>32</v>
      </c>
      <c r="D22" s="4"/>
      <c r="E22" s="4"/>
      <c r="F22" s="4"/>
      <c r="G22" s="12">
        <f>IF(U21&lt;2,1,U21)</f>
        <v>157863.26616110135</v>
      </c>
      <c r="H22" s="1"/>
      <c r="I22" s="4"/>
      <c r="J22" s="18"/>
      <c r="K22" s="19" t="s">
        <v>33</v>
      </c>
      <c r="L22" s="50">
        <v>446365</v>
      </c>
      <c r="M22" s="22"/>
      <c r="N22" s="22"/>
      <c r="O22" s="18"/>
      <c r="P22" s="18"/>
      <c r="Q22" s="34"/>
      <c r="R22" s="42" t="s">
        <v>34</v>
      </c>
    </row>
    <row r="23" spans="1:22" ht="17" customHeight="1" x14ac:dyDescent="0.2">
      <c r="A23" s="34"/>
      <c r="B23" s="4"/>
      <c r="C23" s="4" t="s">
        <v>35</v>
      </c>
      <c r="D23" s="4"/>
      <c r="E23" s="4"/>
      <c r="F23" s="4"/>
      <c r="G23" s="12">
        <f>G15+G19</f>
        <v>162593.4542358832</v>
      </c>
      <c r="H23" s="1"/>
      <c r="I23" s="4"/>
      <c r="J23" s="18"/>
      <c r="K23" s="19" t="s">
        <v>36</v>
      </c>
      <c r="L23" s="51">
        <v>174</v>
      </c>
      <c r="M23" s="24" t="s">
        <v>37</v>
      </c>
      <c r="N23" s="19" t="s">
        <v>38</v>
      </c>
      <c r="O23" s="24"/>
      <c r="P23" s="18"/>
      <c r="Q23" s="34"/>
      <c r="R23" s="1"/>
    </row>
    <row r="24" spans="1:22" ht="17" customHeight="1" x14ac:dyDescent="0.2">
      <c r="A24" s="34"/>
      <c r="B24" s="4"/>
      <c r="C24" s="4"/>
      <c r="D24" s="4"/>
      <c r="E24" s="4"/>
      <c r="F24" s="4"/>
      <c r="G24" s="12"/>
      <c r="H24" s="1"/>
      <c r="I24" s="4"/>
      <c r="J24" s="18"/>
      <c r="K24" s="19" t="s">
        <v>39</v>
      </c>
      <c r="L24" s="51"/>
      <c r="M24" s="22"/>
      <c r="N24" s="25" t="s">
        <v>40</v>
      </c>
      <c r="O24" s="24">
        <v>250</v>
      </c>
      <c r="P24" s="18"/>
      <c r="Q24" s="34"/>
      <c r="R24" s="1"/>
      <c r="U24" s="73"/>
      <c r="V24" s="73"/>
    </row>
    <row r="25" spans="1:22" ht="17" customHeight="1" x14ac:dyDescent="0.2">
      <c r="A25" s="34"/>
      <c r="B25" s="4"/>
      <c r="C25" s="4" t="s">
        <v>41</v>
      </c>
      <c r="D25" s="4"/>
      <c r="E25" s="4"/>
      <c r="F25" s="4"/>
      <c r="G25" s="12">
        <f>O28*-1*R20</f>
        <v>-14856.72039698453</v>
      </c>
      <c r="H25" s="1"/>
      <c r="I25" s="4"/>
      <c r="J25" s="18"/>
      <c r="K25" s="19" t="s">
        <v>42</v>
      </c>
      <c r="L25" s="51"/>
      <c r="M25" s="22"/>
      <c r="N25" s="25" t="s">
        <v>43</v>
      </c>
      <c r="O25" s="24">
        <v>500</v>
      </c>
      <c r="P25" s="18"/>
      <c r="Q25" s="34"/>
      <c r="R25" s="1"/>
      <c r="U25" s="74"/>
      <c r="V25" s="74"/>
    </row>
    <row r="26" spans="1:22" ht="17" customHeight="1" x14ac:dyDescent="0.2">
      <c r="A26" s="34"/>
      <c r="B26" s="4"/>
      <c r="C26" s="4" t="s">
        <v>44</v>
      </c>
      <c r="D26" s="4"/>
      <c r="E26" s="4"/>
      <c r="F26" s="4"/>
      <c r="G26" s="12">
        <f>G23+G25</f>
        <v>147736.73383889865</v>
      </c>
      <c r="H26" s="1"/>
      <c r="I26" s="4"/>
      <c r="J26" s="18"/>
      <c r="K26" s="19" t="s">
        <v>45</v>
      </c>
      <c r="L26" s="75">
        <f>whkm01/1000*elwidth01</f>
        <v>0</v>
      </c>
      <c r="M26" s="22"/>
      <c r="N26" s="26" t="s">
        <v>46</v>
      </c>
      <c r="O26" s="24">
        <v>950</v>
      </c>
      <c r="P26" s="18"/>
      <c r="Q26" s="34"/>
      <c r="R26" s="1"/>
      <c r="U26" s="74"/>
      <c r="V26" s="74"/>
    </row>
    <row r="27" spans="1:22" ht="17" customHeight="1" x14ac:dyDescent="0.2">
      <c r="A27" s="34"/>
      <c r="B27" s="4"/>
      <c r="C27" s="4"/>
      <c r="D27" s="4"/>
      <c r="E27" s="4"/>
      <c r="F27" s="4"/>
      <c r="G27" s="12"/>
      <c r="H27" s="1"/>
      <c r="I27" s="4"/>
      <c r="J27" s="18"/>
      <c r="K27" s="63"/>
      <c r="L27" s="61"/>
      <c r="M27" s="22"/>
      <c r="N27" s="24"/>
      <c r="O27" s="24"/>
      <c r="P27" s="18"/>
      <c r="Q27" s="34"/>
      <c r="R27" s="1"/>
      <c r="U27" s="74"/>
      <c r="V27" s="74"/>
    </row>
    <row r="28" spans="1:22" ht="17" customHeight="1" x14ac:dyDescent="0.2">
      <c r="A28" s="34"/>
      <c r="B28" s="4"/>
      <c r="C28" s="4" t="s">
        <v>47</v>
      </c>
      <c r="D28" s="4"/>
      <c r="E28" s="4"/>
      <c r="F28" s="4"/>
      <c r="G28" s="12">
        <f>G26*O32*-1</f>
        <v>0</v>
      </c>
      <c r="H28" s="1">
        <f>H20</f>
        <v>42482.004637460377</v>
      </c>
      <c r="I28" s="4"/>
      <c r="J28" s="18"/>
      <c r="K28" s="64"/>
      <c r="L28" s="61"/>
      <c r="M28" s="62"/>
      <c r="N28" s="19" t="s">
        <v>41</v>
      </c>
      <c r="O28" s="44">
        <v>21700</v>
      </c>
      <c r="P28" s="18"/>
      <c r="Q28" s="34"/>
      <c r="R28" s="1"/>
      <c r="U28" s="74"/>
      <c r="V28" s="74"/>
    </row>
    <row r="29" spans="1:22" ht="17" customHeight="1" x14ac:dyDescent="0.2">
      <c r="A29" s="34"/>
      <c r="B29" s="4"/>
      <c r="C29" s="4" t="s">
        <v>48</v>
      </c>
      <c r="D29" s="4"/>
      <c r="E29" s="4"/>
      <c r="F29" s="4"/>
      <c r="G29" s="12">
        <f>IF(L23&lt;1,O30,IF(L23&lt;50,O29,0))*R20*-1</f>
        <v>0</v>
      </c>
      <c r="H29" s="1"/>
      <c r="I29" s="4"/>
      <c r="J29" s="18"/>
      <c r="K29" s="76"/>
      <c r="L29" s="77"/>
      <c r="M29" s="22"/>
      <c r="N29" s="19" t="s">
        <v>49</v>
      </c>
      <c r="O29" s="44">
        <v>50000</v>
      </c>
      <c r="P29" s="18"/>
      <c r="Q29" s="34"/>
      <c r="R29" s="1"/>
    </row>
    <row r="30" spans="1:22" ht="17" customHeight="1" x14ac:dyDescent="0.2">
      <c r="A30" s="34"/>
      <c r="B30" s="4"/>
      <c r="C30" s="4"/>
      <c r="D30" s="4"/>
      <c r="E30" s="4"/>
      <c r="F30" s="4"/>
      <c r="G30" s="12"/>
      <c r="H30" s="1"/>
      <c r="I30" s="4"/>
      <c r="J30" s="18"/>
      <c r="K30" s="139"/>
      <c r="L30" s="133"/>
      <c r="M30" s="22"/>
      <c r="N30" s="19" t="s">
        <v>50</v>
      </c>
      <c r="O30" s="44">
        <v>170000</v>
      </c>
      <c r="P30" s="18"/>
      <c r="Q30" s="34"/>
      <c r="R30" s="1"/>
    </row>
    <row r="31" spans="1:22" ht="17" customHeight="1" x14ac:dyDescent="0.2">
      <c r="A31" s="34"/>
      <c r="B31" s="4"/>
      <c r="C31" s="11" t="s">
        <v>51</v>
      </c>
      <c r="D31" s="4"/>
      <c r="E31" s="4"/>
      <c r="F31" s="4"/>
      <c r="G31" s="13">
        <f>G22</f>
        <v>157863.26616110135</v>
      </c>
      <c r="H31" s="16">
        <f>G23+G28+G29+G22</f>
        <v>320456.72039698454</v>
      </c>
      <c r="I31" s="15"/>
      <c r="J31" s="18"/>
      <c r="K31" s="136"/>
      <c r="L31" s="133"/>
      <c r="M31" s="22"/>
      <c r="N31" s="24"/>
      <c r="O31" s="24"/>
      <c r="P31" s="18"/>
      <c r="Q31" s="34"/>
      <c r="R31" s="1"/>
    </row>
    <row r="32" spans="1:22" ht="17" customHeight="1" thickBot="1" x14ac:dyDescent="0.25">
      <c r="A32" s="34"/>
      <c r="B32" s="4"/>
      <c r="C32" s="11" t="s">
        <v>52</v>
      </c>
      <c r="D32" s="4"/>
      <c r="E32" s="4"/>
      <c r="F32" s="4"/>
      <c r="G32" s="55">
        <f>IF(G28+G26+G29&lt;0,0,G26+G29+G28)</f>
        <v>147736.73383889865</v>
      </c>
      <c r="H32" s="16">
        <f>H13+H28</f>
        <v>406483.63558970799</v>
      </c>
      <c r="I32" s="15"/>
      <c r="J32" s="18"/>
      <c r="K32" s="136"/>
      <c r="L32" s="133"/>
      <c r="M32" s="22"/>
      <c r="N32" s="19" t="s">
        <v>53</v>
      </c>
      <c r="O32" s="30">
        <f>IF(L23&lt;1,60%,IF(L23&lt;50,55%,0))</f>
        <v>0</v>
      </c>
      <c r="P32" s="18"/>
      <c r="Q32" s="45"/>
      <c r="R32" s="1"/>
    </row>
    <row r="33" spans="1:18" ht="17" customHeight="1" thickTop="1" x14ac:dyDescent="0.2">
      <c r="A33" s="34"/>
      <c r="B33" s="4"/>
      <c r="C33" s="4"/>
      <c r="D33" s="4"/>
      <c r="E33" s="4"/>
      <c r="F33" s="4"/>
      <c r="G33" s="4"/>
      <c r="H33" s="16"/>
      <c r="I33" s="15"/>
      <c r="J33" s="18"/>
      <c r="K33" s="136"/>
      <c r="L33" s="133"/>
      <c r="M33" s="22"/>
      <c r="N33" s="19" t="s">
        <v>54</v>
      </c>
      <c r="O33" s="46">
        <v>1700</v>
      </c>
      <c r="P33" s="18"/>
      <c r="Q33" s="45"/>
      <c r="R33" s="1"/>
    </row>
    <row r="34" spans="1:18" ht="7.5" customHeight="1" x14ac:dyDescent="0.2">
      <c r="A34" s="34"/>
      <c r="B34" s="4"/>
      <c r="C34" s="4"/>
      <c r="D34" s="4"/>
      <c r="E34" s="4"/>
      <c r="F34" s="4"/>
      <c r="G34" s="4"/>
      <c r="H34" s="15" t="e">
        <f>(H32+#REF!)*-1</f>
        <v>#REF!</v>
      </c>
      <c r="I34" s="15"/>
      <c r="J34" s="18"/>
      <c r="K34" s="18"/>
      <c r="L34" s="18"/>
      <c r="M34" s="18"/>
      <c r="N34" s="47"/>
      <c r="O34" s="18"/>
      <c r="P34" s="18"/>
      <c r="Q34" s="34"/>
      <c r="R34" s="1"/>
    </row>
    <row r="35" spans="1:18" ht="17" customHeight="1" x14ac:dyDescent="0.2">
      <c r="A35" s="34"/>
      <c r="B35" s="34"/>
      <c r="C35" s="34"/>
      <c r="D35" s="34"/>
      <c r="E35" s="34"/>
      <c r="F35" s="34"/>
      <c r="G35" s="34"/>
      <c r="H35" s="48">
        <f>G32</f>
        <v>147736.73383889865</v>
      </c>
      <c r="I35" s="48"/>
      <c r="J35" s="34"/>
      <c r="K35" s="34"/>
      <c r="L35" s="34"/>
      <c r="M35" s="34"/>
      <c r="N35" s="45"/>
      <c r="O35" s="34"/>
      <c r="P35" s="34"/>
      <c r="Q35" s="34"/>
      <c r="R35" s="1"/>
    </row>
  </sheetData>
  <sheetProtection algorithmName="SHA-512" hashValue="oXzeKb6Kt3kil17BdTNcpD55DObvjHzkwdJBn9fLwLyyvf8s735gocbJ20+uyzOaDSvxblhocSsU8FcuMMbH8g==" saltValue="C8qIUr9oTURWUQ9Au/zHuw==" spinCount="100000" sheet="1" selectLockedCells="1"/>
  <mergeCells count="13">
    <mergeCell ref="K6:O8"/>
    <mergeCell ref="C2:O2"/>
    <mergeCell ref="K32:L32"/>
    <mergeCell ref="K33:L33"/>
    <mergeCell ref="K10:L10"/>
    <mergeCell ref="K9:L9"/>
    <mergeCell ref="K31:L31"/>
    <mergeCell ref="K13:L13"/>
    <mergeCell ref="K30:L30"/>
    <mergeCell ref="K16:O16"/>
    <mergeCell ref="K11:L11"/>
    <mergeCell ref="K12:L12"/>
    <mergeCell ref="M10:O12"/>
  </mergeCells>
  <hyperlinks>
    <hyperlink ref="K9" location="'Brugte Personbiler'!A1" display="Tryk her" xr:uid="{00000000-0004-0000-0100-000000000000}"/>
    <hyperlink ref="K10" location="'Nye personbiler'!A1" display="'Nye personbiler'!A1" xr:uid="{00000000-0004-0000-0100-000001000000}"/>
    <hyperlink ref="M10" location="Forside!A1" display="Forside!A1" xr:uid="{00000000-0004-0000-0100-000002000000}"/>
    <hyperlink ref="K11" location="'Brugte Varebiler'!A1" display="'Brugte Varebiler'!A1" xr:uid="{00000000-0004-0000-0100-000003000000}"/>
    <hyperlink ref="K12" location="'Nye Varebil'!A1" display="'Nye Varebil'!A1" xr:uid="{00000000-0004-0000-0100-000004000000}"/>
    <hyperlink ref="K13" location="'Værktøj til CO2'!A1" display="'Værktøj til CO2'!A1" xr:uid="{00000000-0004-0000-0100-000005000000}"/>
  </hyperlinks>
  <pageMargins left="0.25" right="0.25" top="0.75" bottom="0.75" header="0.3" footer="0.3"/>
  <pageSetup paperSize="9" scale="8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5"/>
  <sheetViews>
    <sheetView topLeftCell="A2" zoomScale="85" zoomScaleNormal="85" workbookViewId="0">
      <selection activeCell="L24" sqref="L24"/>
    </sheetView>
  </sheetViews>
  <sheetFormatPr baseColWidth="10" defaultColWidth="9.1640625" defaultRowHeight="14" x14ac:dyDescent="0.2"/>
  <cols>
    <col min="1" max="1" width="2.6640625" style="2" customWidth="1"/>
    <col min="2" max="2" width="3" style="2" customWidth="1"/>
    <col min="3" max="3" width="11.83203125" style="2" bestFit="1" customWidth="1"/>
    <col min="4" max="4" width="9.1640625" style="2" customWidth="1"/>
    <col min="5" max="5" width="5.33203125" style="2" customWidth="1"/>
    <col min="6" max="6" width="5.6640625" style="2" customWidth="1"/>
    <col min="7" max="7" width="22.83203125" style="2" customWidth="1"/>
    <col min="8" max="8" width="2.5" style="2" hidden="1" customWidth="1"/>
    <col min="9" max="10" width="1.6640625" style="2" customWidth="1"/>
    <col min="11" max="11" width="26" style="2" customWidth="1"/>
    <col min="12" max="12" width="19.5" style="2" customWidth="1"/>
    <col min="13" max="13" width="21.83203125" style="2" customWidth="1"/>
    <col min="14" max="14" width="22.83203125" style="2" bestFit="1" customWidth="1"/>
    <col min="15" max="15" width="16.33203125" style="2" customWidth="1"/>
    <col min="16" max="16" width="2.83203125" style="2" customWidth="1"/>
    <col min="17" max="17" width="3.1640625" style="2" customWidth="1"/>
    <col min="18" max="18" width="12.33203125" style="2" hidden="1" customWidth="1"/>
    <col min="19" max="19" width="9.1640625" style="2" customWidth="1"/>
    <col min="20" max="16384" width="9.1640625" style="2"/>
  </cols>
  <sheetData>
    <row r="1" spans="1:18" hidden="1" x14ac:dyDescent="0.2">
      <c r="A1" s="1"/>
      <c r="B1" s="1"/>
      <c r="C1" s="1"/>
      <c r="D1" s="1"/>
      <c r="E1" s="1"/>
      <c r="F1" s="1"/>
      <c r="G1" s="1"/>
      <c r="H1" s="1"/>
      <c r="I1" s="1"/>
      <c r="J1" s="1"/>
      <c r="K1" s="1"/>
      <c r="L1" s="1"/>
      <c r="M1" s="1"/>
      <c r="N1" s="1"/>
      <c r="O1" s="1"/>
      <c r="P1" s="1"/>
      <c r="Q1" s="1"/>
    </row>
    <row r="2" spans="1:18" ht="24.75" customHeight="1" x14ac:dyDescent="0.35">
      <c r="A2" s="34"/>
      <c r="B2" s="34"/>
      <c r="C2" s="135" t="s">
        <v>9</v>
      </c>
      <c r="D2" s="133"/>
      <c r="E2" s="133"/>
      <c r="F2" s="133"/>
      <c r="G2" s="133"/>
      <c r="H2" s="133"/>
      <c r="I2" s="133"/>
      <c r="J2" s="133"/>
      <c r="K2" s="133"/>
      <c r="L2" s="133"/>
      <c r="M2" s="133"/>
      <c r="N2" s="133"/>
      <c r="O2" s="133"/>
      <c r="P2" s="35"/>
      <c r="Q2" s="34"/>
      <c r="R2" s="1"/>
    </row>
    <row r="3" spans="1:18" ht="6" customHeight="1" x14ac:dyDescent="0.2">
      <c r="A3" s="34"/>
      <c r="B3" s="4"/>
      <c r="C3" s="4"/>
      <c r="D3" s="5"/>
      <c r="E3" s="5"/>
      <c r="F3" s="5"/>
      <c r="G3" s="5"/>
      <c r="H3" s="1"/>
      <c r="I3" s="4"/>
      <c r="J3" s="1"/>
      <c r="K3" s="1"/>
      <c r="L3" s="1"/>
      <c r="M3" s="1"/>
      <c r="N3" s="33"/>
      <c r="O3" s="33"/>
      <c r="P3" s="1"/>
      <c r="Q3" s="34"/>
      <c r="R3" s="1"/>
    </row>
    <row r="4" spans="1:18" ht="17" customHeight="1" x14ac:dyDescent="0.2">
      <c r="A4" s="34"/>
      <c r="B4" s="4"/>
      <c r="C4" s="4"/>
      <c r="D4" s="4"/>
      <c r="E4" s="4"/>
      <c r="F4" s="4"/>
      <c r="G4" s="4"/>
      <c r="H4" s="36"/>
      <c r="I4" s="5"/>
      <c r="J4" s="1"/>
      <c r="K4" s="6" t="s">
        <v>10</v>
      </c>
      <c r="L4" s="7"/>
      <c r="M4" s="8"/>
      <c r="N4" s="8"/>
      <c r="O4" s="8"/>
      <c r="P4" s="1"/>
      <c r="Q4" s="34"/>
      <c r="R4" s="1"/>
    </row>
    <row r="5" spans="1:18" ht="17" customHeight="1" x14ac:dyDescent="0.2">
      <c r="A5" s="34"/>
      <c r="B5" s="4"/>
      <c r="C5" s="4"/>
      <c r="D5" s="4"/>
      <c r="E5" s="4"/>
      <c r="F5" s="4"/>
      <c r="G5" s="4"/>
      <c r="H5" s="37"/>
      <c r="I5" s="9"/>
      <c r="J5" s="1"/>
      <c r="K5" s="6"/>
      <c r="L5" s="7"/>
      <c r="M5" s="8"/>
      <c r="N5" s="8"/>
      <c r="O5" s="8"/>
      <c r="P5" s="1"/>
      <c r="Q5" s="34"/>
      <c r="R5" s="1"/>
    </row>
    <row r="6" spans="1:18" ht="17" customHeight="1" x14ac:dyDescent="0.2">
      <c r="A6" s="34"/>
      <c r="B6" s="4"/>
      <c r="C6" s="10" t="s">
        <v>11</v>
      </c>
      <c r="D6" s="11"/>
      <c r="E6" s="11"/>
      <c r="F6" s="4"/>
      <c r="G6" s="38"/>
      <c r="H6" s="1"/>
      <c r="I6" s="4"/>
      <c r="J6" s="1"/>
      <c r="K6" s="134" t="s">
        <v>12</v>
      </c>
      <c r="L6" s="133"/>
      <c r="M6" s="133"/>
      <c r="N6" s="133"/>
      <c r="O6" s="133"/>
      <c r="P6" s="1"/>
      <c r="Q6" s="34"/>
      <c r="R6" s="1"/>
    </row>
    <row r="7" spans="1:18" ht="17" customHeight="1" x14ac:dyDescent="0.2">
      <c r="A7" s="34"/>
      <c r="B7" s="4"/>
      <c r="C7" s="4" t="s">
        <v>13</v>
      </c>
      <c r="D7" s="4"/>
      <c r="E7" s="4"/>
      <c r="F7" s="4"/>
      <c r="G7" s="12">
        <f>IF(L22&lt;50,IF(L25&lt;46,L25*O33,O33*45)*-1,0)</f>
        <v>0</v>
      </c>
      <c r="H7" s="36"/>
      <c r="I7" s="5"/>
      <c r="J7" s="1"/>
      <c r="K7" s="133"/>
      <c r="L7" s="133"/>
      <c r="M7" s="133"/>
      <c r="N7" s="133"/>
      <c r="O7" s="133"/>
      <c r="P7" s="1"/>
      <c r="Q7" s="34"/>
      <c r="R7" s="1"/>
    </row>
    <row r="8" spans="1:18" ht="17" customHeight="1" x14ac:dyDescent="0.2">
      <c r="A8" s="34"/>
      <c r="B8" s="4"/>
      <c r="C8" s="4"/>
      <c r="D8" s="4"/>
      <c r="E8" s="4"/>
      <c r="F8" s="4"/>
      <c r="G8" s="12"/>
      <c r="H8" s="36"/>
      <c r="I8" s="5"/>
      <c r="J8" s="1"/>
      <c r="K8" s="133"/>
      <c r="L8" s="133"/>
      <c r="M8" s="133"/>
      <c r="N8" s="133"/>
      <c r="O8" s="133"/>
      <c r="P8" s="1"/>
      <c r="Q8" s="34"/>
      <c r="R8" s="1"/>
    </row>
    <row r="9" spans="1:18" ht="17" customHeight="1" x14ac:dyDescent="0.2">
      <c r="A9" s="34"/>
      <c r="B9" s="4"/>
      <c r="C9" s="11" t="s">
        <v>14</v>
      </c>
      <c r="D9" s="4"/>
      <c r="E9" s="4"/>
      <c r="F9" s="4"/>
      <c r="G9" s="13">
        <f>G7</f>
        <v>0</v>
      </c>
      <c r="H9" s="36"/>
      <c r="I9" s="5"/>
      <c r="J9" s="1"/>
      <c r="K9" s="138" t="s">
        <v>2</v>
      </c>
      <c r="L9" s="130"/>
      <c r="M9" s="114"/>
      <c r="N9" s="114"/>
      <c r="O9" s="114"/>
      <c r="P9" s="1"/>
      <c r="Q9" s="34"/>
      <c r="R9" s="1"/>
    </row>
    <row r="10" spans="1:18" ht="17" customHeight="1" x14ac:dyDescent="0.2">
      <c r="A10" s="34"/>
      <c r="B10" s="4"/>
      <c r="C10" s="4"/>
      <c r="D10" s="4"/>
      <c r="E10" s="4"/>
      <c r="F10" s="4"/>
      <c r="G10" s="38"/>
      <c r="H10" s="39" t="e">
        <f>IF(H31&lt;=L19*R20,H31*L18,L19*R20*L18)</f>
        <v>#REF!</v>
      </c>
      <c r="I10" s="14"/>
      <c r="J10" s="1"/>
      <c r="K10" s="137" t="s">
        <v>3</v>
      </c>
      <c r="L10" s="130"/>
      <c r="M10" s="141" t="s">
        <v>15</v>
      </c>
      <c r="N10" s="130"/>
      <c r="O10" s="130"/>
      <c r="P10" s="1"/>
      <c r="Q10" s="34"/>
      <c r="R10" s="1"/>
    </row>
    <row r="11" spans="1:18" ht="17" customHeight="1" x14ac:dyDescent="0.2">
      <c r="A11" s="34"/>
      <c r="B11" s="4"/>
      <c r="C11" s="58" t="s">
        <v>55</v>
      </c>
      <c r="D11" s="4"/>
      <c r="E11" s="4"/>
      <c r="F11" s="4"/>
      <c r="G11" s="56">
        <f>L21+G9</f>
        <v>150000</v>
      </c>
      <c r="H11" s="16" t="e">
        <f>IF(H31&gt;L19*R20,IF(AND(H31&lt;=M19*R20,(H31&gt;=L19*R20)),(H31-L19*R20)*M18,(M19-L19)*R20*M18),0)</f>
        <v>#REF!</v>
      </c>
      <c r="I11" s="15"/>
      <c r="J11" s="1"/>
      <c r="K11" s="137" t="s">
        <v>4</v>
      </c>
      <c r="L11" s="130"/>
      <c r="M11" s="130"/>
      <c r="N11" s="130"/>
      <c r="O11" s="130"/>
      <c r="P11" s="1"/>
      <c r="Q11" s="34"/>
      <c r="R11" s="1"/>
    </row>
    <row r="12" spans="1:18" ht="17" customHeight="1" x14ac:dyDescent="0.2">
      <c r="A12" s="34"/>
      <c r="B12" s="4"/>
      <c r="C12" s="4"/>
      <c r="D12" s="4"/>
      <c r="E12" s="4"/>
      <c r="F12" s="4"/>
      <c r="G12" s="4"/>
      <c r="H12" s="1" t="e">
        <f>IF(H31&gt;M19*R20,SUM(H31-M19*R20)*N18,0)</f>
        <v>#REF!</v>
      </c>
      <c r="I12" s="4"/>
      <c r="J12" s="1"/>
      <c r="K12" s="137" t="s">
        <v>5</v>
      </c>
      <c r="L12" s="130"/>
      <c r="M12" s="130"/>
      <c r="N12" s="130"/>
      <c r="O12" s="130"/>
      <c r="P12" s="1"/>
      <c r="Q12" s="34"/>
      <c r="R12" s="1"/>
    </row>
    <row r="13" spans="1:18" ht="17" customHeight="1" x14ac:dyDescent="0.2">
      <c r="A13" s="34"/>
      <c r="B13" s="4"/>
      <c r="C13" s="10" t="s">
        <v>16</v>
      </c>
      <c r="D13" s="11"/>
      <c r="E13" s="11"/>
      <c r="F13" s="11"/>
      <c r="G13" s="38"/>
      <c r="H13" s="16" t="e">
        <f>SUM(H10:H12)</f>
        <v>#REF!</v>
      </c>
      <c r="I13" s="15"/>
      <c r="J13" s="1"/>
      <c r="K13" s="137" t="s">
        <v>6</v>
      </c>
      <c r="L13" s="130"/>
      <c r="M13" s="115"/>
      <c r="N13" s="115"/>
      <c r="O13" s="115"/>
      <c r="P13" s="1"/>
      <c r="Q13" s="34"/>
      <c r="R13" s="1"/>
    </row>
    <row r="14" spans="1:18" ht="17" customHeight="1" x14ac:dyDescent="0.2">
      <c r="A14" s="34"/>
      <c r="B14" s="4"/>
      <c r="C14" s="4" t="s">
        <v>17</v>
      </c>
      <c r="D14" s="4"/>
      <c r="E14" s="4"/>
      <c r="F14" s="4"/>
      <c r="G14" s="12">
        <f>IF(G11&lt;=L19,G11*L18,L19*L18)</f>
        <v>16250</v>
      </c>
      <c r="H14" s="1"/>
      <c r="I14" s="4"/>
      <c r="J14" s="1"/>
      <c r="K14" s="1"/>
      <c r="L14" s="1"/>
      <c r="M14" s="1"/>
      <c r="N14" s="1"/>
      <c r="O14" s="1"/>
      <c r="P14" s="1"/>
      <c r="Q14" s="34"/>
      <c r="R14" s="1"/>
    </row>
    <row r="15" spans="1:18" ht="17" customHeight="1" x14ac:dyDescent="0.2">
      <c r="A15" s="34"/>
      <c r="B15" s="4"/>
      <c r="C15" s="4" t="s">
        <v>18</v>
      </c>
      <c r="D15" s="4"/>
      <c r="E15" s="4"/>
      <c r="F15" s="4"/>
      <c r="G15" s="12">
        <f>IF(G11&gt;L19,IF(AND(G11&lt;=M19,(G11&gt;=L19)),(G11-L19)*M18,(M19-L19)*M18),0)</f>
        <v>72250</v>
      </c>
      <c r="H15" s="1"/>
      <c r="I15" s="4"/>
      <c r="J15" s="16"/>
      <c r="L15" s="1"/>
      <c r="M15" s="1"/>
      <c r="N15" s="1"/>
      <c r="O15" s="1"/>
      <c r="P15" s="1"/>
      <c r="Q15" s="34"/>
      <c r="R15" s="1"/>
    </row>
    <row r="16" spans="1:18" ht="17" customHeight="1" x14ac:dyDescent="0.2">
      <c r="A16" s="34"/>
      <c r="B16" s="4"/>
      <c r="C16" s="4" t="s">
        <v>19</v>
      </c>
      <c r="D16" s="4"/>
      <c r="E16" s="4"/>
      <c r="F16" s="4"/>
      <c r="G16" s="12">
        <f>IF(G11&gt;M19,SUM(G11-M19)*N18,0)</f>
        <v>0</v>
      </c>
      <c r="H16" s="1"/>
      <c r="I16" s="4"/>
      <c r="J16" s="16"/>
      <c r="K16" s="140" t="s">
        <v>21</v>
      </c>
      <c r="L16" s="133"/>
      <c r="M16" s="133"/>
      <c r="N16" s="133"/>
      <c r="O16" s="133"/>
      <c r="P16" s="1"/>
      <c r="Q16" s="34"/>
      <c r="R16" s="1"/>
    </row>
    <row r="17" spans="1:18" ht="17" customHeight="1" x14ac:dyDescent="0.2">
      <c r="A17" s="34"/>
      <c r="B17" s="4"/>
      <c r="C17" s="11" t="s">
        <v>20</v>
      </c>
      <c r="D17" s="4"/>
      <c r="E17" s="4"/>
      <c r="F17" s="4"/>
      <c r="G17" s="13">
        <f>SUM(G14:G16)</f>
        <v>88500</v>
      </c>
      <c r="H17" s="1"/>
      <c r="I17" s="4"/>
      <c r="J17" s="16"/>
      <c r="L17" s="1"/>
      <c r="M17" s="1"/>
      <c r="N17" s="1"/>
      <c r="O17" s="1"/>
      <c r="P17" s="1"/>
      <c r="Q17" s="34"/>
      <c r="R17" s="1"/>
    </row>
    <row r="18" spans="1:18" ht="17" customHeight="1" x14ac:dyDescent="0.2">
      <c r="A18" s="34"/>
      <c r="B18" s="4"/>
      <c r="C18" s="4"/>
      <c r="D18" s="4"/>
      <c r="E18" s="4"/>
      <c r="F18" s="4"/>
      <c r="G18" s="4"/>
      <c r="H18" s="1"/>
      <c r="I18" s="4"/>
      <c r="J18" s="29"/>
      <c r="K18" s="19" t="s">
        <v>24</v>
      </c>
      <c r="L18" s="40">
        <v>0.25</v>
      </c>
      <c r="M18" s="40">
        <v>0.85</v>
      </c>
      <c r="N18" s="41">
        <v>1.5</v>
      </c>
      <c r="O18" s="86" t="s">
        <v>25</v>
      </c>
      <c r="P18" s="54"/>
      <c r="Q18" s="34"/>
      <c r="R18" s="1"/>
    </row>
    <row r="19" spans="1:18" ht="17" customHeight="1" x14ac:dyDescent="0.2">
      <c r="A19" s="34"/>
      <c r="B19" s="4"/>
      <c r="C19" s="10" t="s">
        <v>22</v>
      </c>
      <c r="D19" s="11"/>
      <c r="E19" s="11"/>
      <c r="F19" s="4"/>
      <c r="G19" s="38"/>
      <c r="H19" s="1"/>
      <c r="I19" s="4"/>
      <c r="J19" s="29"/>
      <c r="K19" s="19" t="s">
        <v>27</v>
      </c>
      <c r="L19" s="43">
        <v>65000</v>
      </c>
      <c r="M19" s="43">
        <v>202200</v>
      </c>
      <c r="N19" s="43" t="s">
        <v>28</v>
      </c>
      <c r="O19" s="29"/>
      <c r="P19" s="18"/>
      <c r="Q19" s="34"/>
      <c r="R19" s="1"/>
    </row>
    <row r="20" spans="1:18" ht="17" customHeight="1" x14ac:dyDescent="0.2">
      <c r="A20" s="34"/>
      <c r="B20" s="4"/>
      <c r="C20" s="4" t="s">
        <v>23</v>
      </c>
      <c r="D20" s="4"/>
      <c r="E20" s="4"/>
      <c r="F20" s="4"/>
      <c r="G20" s="12">
        <f>IF(L22&lt;126,O24*L22,IF(L22&lt;161,31250+(L22-125)*O25,(O24*125)+(O25*35)+(L22-160)*O26))</f>
        <v>43750</v>
      </c>
      <c r="H20" s="1" t="e">
        <f>IF(L22&lt;126,O24*L22,IF(L22&lt;161,31250+(L22-125)*O25,48750+(L22-160)*O26))/(#REF!/#REF!)</f>
        <v>#REF!</v>
      </c>
      <c r="I20" s="4"/>
      <c r="J20" s="18"/>
      <c r="K20" s="22"/>
      <c r="L20" s="22"/>
      <c r="M20" s="22"/>
      <c r="N20" s="22"/>
      <c r="O20" s="18"/>
      <c r="P20" s="18"/>
      <c r="Q20" s="34"/>
      <c r="R20" s="42" t="e">
        <f>#REF!/#REF!</f>
        <v>#REF!</v>
      </c>
    </row>
    <row r="21" spans="1:18" ht="17" customHeight="1" x14ac:dyDescent="0.2">
      <c r="A21" s="34"/>
      <c r="B21" s="4"/>
      <c r="C21" s="11" t="s">
        <v>26</v>
      </c>
      <c r="D21" s="4"/>
      <c r="E21" s="4"/>
      <c r="F21" s="4"/>
      <c r="G21" s="17">
        <f>G20</f>
        <v>43750</v>
      </c>
      <c r="H21" s="1"/>
      <c r="I21" s="4"/>
      <c r="J21" s="18"/>
      <c r="K21" s="19" t="s">
        <v>56</v>
      </c>
      <c r="L21" s="81">
        <v>150000</v>
      </c>
      <c r="M21" s="22"/>
      <c r="N21" s="22"/>
      <c r="O21" s="18"/>
      <c r="P21" s="18"/>
      <c r="Q21" s="34"/>
      <c r="R21" s="42" t="s">
        <v>31</v>
      </c>
    </row>
    <row r="22" spans="1:18" ht="17" customHeight="1" x14ac:dyDescent="0.2">
      <c r="A22" s="34"/>
      <c r="B22" s="4"/>
      <c r="C22" s="4"/>
      <c r="D22" s="4"/>
      <c r="E22" s="4"/>
      <c r="F22" s="4"/>
      <c r="G22" s="4"/>
      <c r="H22" s="1"/>
      <c r="I22" s="4"/>
      <c r="J22" s="18"/>
      <c r="K22" s="19" t="s">
        <v>36</v>
      </c>
      <c r="L22" s="51">
        <v>150</v>
      </c>
      <c r="M22" s="24" t="s">
        <v>37</v>
      </c>
      <c r="N22" s="22"/>
      <c r="O22" s="18"/>
      <c r="P22" s="18"/>
      <c r="Q22" s="34"/>
      <c r="R22" s="42" t="s">
        <v>34</v>
      </c>
    </row>
    <row r="23" spans="1:18" ht="17" customHeight="1" x14ac:dyDescent="0.2">
      <c r="A23" s="34"/>
      <c r="B23" s="4"/>
      <c r="C23" s="10" t="s">
        <v>29</v>
      </c>
      <c r="D23" s="4"/>
      <c r="E23" s="4"/>
      <c r="F23" s="4"/>
      <c r="G23" s="4"/>
      <c r="H23" s="1"/>
      <c r="I23" s="4"/>
      <c r="J23" s="18"/>
      <c r="K23" s="19" t="s">
        <v>39</v>
      </c>
      <c r="L23" s="51">
        <v>0</v>
      </c>
      <c r="M23" s="18"/>
      <c r="N23" s="19" t="s">
        <v>38</v>
      </c>
      <c r="O23" s="24"/>
      <c r="P23" s="18"/>
      <c r="Q23" s="34"/>
      <c r="R23" s="1"/>
    </row>
    <row r="24" spans="1:18" ht="17" customHeight="1" x14ac:dyDescent="0.2">
      <c r="A24" s="34"/>
      <c r="B24" s="4"/>
      <c r="C24" s="4" t="s">
        <v>57</v>
      </c>
      <c r="D24" s="4"/>
      <c r="E24" s="4"/>
      <c r="F24" s="4"/>
      <c r="G24" s="12">
        <f>G17+G21</f>
        <v>132250</v>
      </c>
      <c r="H24" s="1"/>
      <c r="I24" s="4"/>
      <c r="J24" s="18"/>
      <c r="K24" s="19" t="s">
        <v>42</v>
      </c>
      <c r="L24" s="51">
        <v>0</v>
      </c>
      <c r="M24" s="22"/>
      <c r="N24" s="25" t="s">
        <v>40</v>
      </c>
      <c r="O24" s="24">
        <v>250</v>
      </c>
      <c r="P24" s="18"/>
      <c r="Q24" s="34"/>
      <c r="R24" s="1"/>
    </row>
    <row r="25" spans="1:18" ht="17" customHeight="1" x14ac:dyDescent="0.2">
      <c r="A25" s="34"/>
      <c r="B25" s="4"/>
      <c r="C25" s="4"/>
      <c r="D25" s="4"/>
      <c r="E25" s="4"/>
      <c r="F25" s="4"/>
      <c r="G25" s="12"/>
      <c r="H25" s="1"/>
      <c r="I25" s="4"/>
      <c r="J25" s="18"/>
      <c r="K25" s="19" t="s">
        <v>45</v>
      </c>
      <c r="L25" s="78">
        <f>L23/1000*L24</f>
        <v>0</v>
      </c>
      <c r="M25" s="22"/>
      <c r="N25" s="25" t="s">
        <v>43</v>
      </c>
      <c r="O25" s="24">
        <v>500</v>
      </c>
      <c r="P25" s="18"/>
      <c r="Q25" s="34"/>
      <c r="R25" s="1"/>
    </row>
    <row r="26" spans="1:18" ht="17" customHeight="1" x14ac:dyDescent="0.2">
      <c r="A26" s="34"/>
      <c r="B26" s="4"/>
      <c r="C26" s="4" t="s">
        <v>41</v>
      </c>
      <c r="D26" s="4"/>
      <c r="E26" s="4"/>
      <c r="F26" s="4"/>
      <c r="G26" s="12">
        <f>O28*-1</f>
        <v>-21700</v>
      </c>
      <c r="H26" s="1"/>
      <c r="I26" s="4"/>
      <c r="J26" s="18"/>
      <c r="K26" s="61"/>
      <c r="L26" s="61"/>
      <c r="M26" s="22"/>
      <c r="N26" s="26" t="s">
        <v>46</v>
      </c>
      <c r="O26" s="24">
        <v>950</v>
      </c>
      <c r="P26" s="18"/>
      <c r="Q26" s="34"/>
      <c r="R26" s="1"/>
    </row>
    <row r="27" spans="1:18" ht="17" customHeight="1" x14ac:dyDescent="0.2">
      <c r="A27" s="34"/>
      <c r="B27" s="4"/>
      <c r="C27" s="4" t="s">
        <v>44</v>
      </c>
      <c r="D27" s="4"/>
      <c r="E27" s="4"/>
      <c r="F27" s="4"/>
      <c r="G27" s="56">
        <f>G24+G26</f>
        <v>110550</v>
      </c>
      <c r="H27" s="1"/>
      <c r="I27" s="4"/>
      <c r="J27" s="18"/>
      <c r="K27" s="64"/>
      <c r="L27" s="61"/>
      <c r="M27" s="22"/>
      <c r="N27" s="24"/>
      <c r="O27" s="24"/>
      <c r="P27" s="18"/>
      <c r="Q27" s="34"/>
      <c r="R27" s="1"/>
    </row>
    <row r="28" spans="1:18" ht="17" customHeight="1" x14ac:dyDescent="0.2">
      <c r="A28" s="34"/>
      <c r="B28" s="4"/>
      <c r="C28" s="4"/>
      <c r="D28" s="4"/>
      <c r="E28" s="4"/>
      <c r="F28" s="4"/>
      <c r="G28" s="12"/>
      <c r="H28" s="1" t="e">
        <f>H20</f>
        <v>#REF!</v>
      </c>
      <c r="I28" s="4"/>
      <c r="J28" s="18"/>
      <c r="K28" s="76"/>
      <c r="L28" s="77"/>
      <c r="M28" s="22"/>
      <c r="N28" s="19" t="s">
        <v>41</v>
      </c>
      <c r="O28" s="44">
        <v>21700</v>
      </c>
      <c r="P28" s="18"/>
      <c r="Q28" s="34"/>
      <c r="R28" s="1"/>
    </row>
    <row r="29" spans="1:18" ht="17" customHeight="1" x14ac:dyDescent="0.2">
      <c r="A29" s="34"/>
      <c r="B29" s="4"/>
      <c r="C29" s="4" t="s">
        <v>47</v>
      </c>
      <c r="D29" s="4"/>
      <c r="E29" s="4"/>
      <c r="F29" s="4"/>
      <c r="G29" s="12">
        <f>G27*O32*-1</f>
        <v>0</v>
      </c>
      <c r="H29" s="1"/>
      <c r="I29" s="4"/>
      <c r="J29" s="18"/>
      <c r="K29" s="139"/>
      <c r="L29" s="133"/>
      <c r="M29" s="22"/>
      <c r="N29" s="19" t="s">
        <v>49</v>
      </c>
      <c r="O29" s="44">
        <v>50000</v>
      </c>
      <c r="P29" s="18"/>
      <c r="Q29" s="34"/>
      <c r="R29" s="1"/>
    </row>
    <row r="30" spans="1:18" ht="17" customHeight="1" x14ac:dyDescent="0.2">
      <c r="A30" s="34"/>
      <c r="B30" s="4"/>
      <c r="C30" s="4" t="s">
        <v>48</v>
      </c>
      <c r="D30" s="4"/>
      <c r="E30" s="4"/>
      <c r="F30" s="4"/>
      <c r="G30" s="12">
        <f>IF(L22&lt;1,O30,IF(L22&lt;50,O29,0))*-1</f>
        <v>0</v>
      </c>
      <c r="H30" s="1"/>
      <c r="I30" s="4"/>
      <c r="J30" s="18"/>
      <c r="K30" s="59"/>
      <c r="L30" s="24"/>
      <c r="M30" s="22"/>
      <c r="N30" s="19" t="s">
        <v>50</v>
      </c>
      <c r="O30" s="44">
        <v>170000</v>
      </c>
      <c r="P30" s="18"/>
      <c r="Q30" s="34"/>
      <c r="R30" s="1"/>
    </row>
    <row r="31" spans="1:18" ht="17" customHeight="1" x14ac:dyDescent="0.2">
      <c r="A31" s="34"/>
      <c r="B31" s="4"/>
      <c r="C31" s="11"/>
      <c r="D31" s="4"/>
      <c r="E31" s="4"/>
      <c r="F31" s="4"/>
      <c r="G31" s="13"/>
      <c r="H31" s="16">
        <f>G24+G29+G30+L21</f>
        <v>282250</v>
      </c>
      <c r="I31" s="15"/>
      <c r="J31" s="18"/>
      <c r="K31" s="59"/>
      <c r="L31" s="60"/>
      <c r="M31" s="22"/>
      <c r="N31" s="24"/>
      <c r="O31" s="24"/>
      <c r="P31" s="18"/>
      <c r="Q31" s="34"/>
      <c r="R31" s="1"/>
    </row>
    <row r="32" spans="1:18" ht="17" customHeight="1" thickBot="1" x14ac:dyDescent="0.25">
      <c r="A32" s="34"/>
      <c r="B32" s="4"/>
      <c r="C32" s="11" t="s">
        <v>52</v>
      </c>
      <c r="D32" s="4"/>
      <c r="E32" s="4"/>
      <c r="F32" s="4"/>
      <c r="G32" s="55">
        <f>IF(G29+G27+G30&lt;0,0,G27+G30+G29)</f>
        <v>110550</v>
      </c>
      <c r="H32" s="16" t="e">
        <f>H13+H28</f>
        <v>#REF!</v>
      </c>
      <c r="I32" s="15"/>
      <c r="J32" s="18"/>
      <c r="K32" s="22"/>
      <c r="L32" s="22"/>
      <c r="M32" s="22"/>
      <c r="N32" s="19" t="s">
        <v>53</v>
      </c>
      <c r="O32" s="30">
        <f>IF(L22&lt;1,60%,IF(L22&lt;50,55%,0))</f>
        <v>0</v>
      </c>
      <c r="P32" s="18"/>
      <c r="Q32" s="45"/>
      <c r="R32" s="1"/>
    </row>
    <row r="33" spans="1:18" ht="17" customHeight="1" thickTop="1" x14ac:dyDescent="0.2">
      <c r="A33" s="34"/>
      <c r="B33" s="4"/>
      <c r="C33" s="4"/>
      <c r="D33" s="4"/>
      <c r="E33" s="4"/>
      <c r="F33" s="4"/>
      <c r="G33" s="4"/>
      <c r="H33" s="16"/>
      <c r="I33" s="15"/>
      <c r="J33" s="18"/>
      <c r="K33" s="18"/>
      <c r="L33" s="18"/>
      <c r="M33" s="22"/>
      <c r="N33" s="19" t="s">
        <v>54</v>
      </c>
      <c r="O33" s="46">
        <v>1700</v>
      </c>
      <c r="P33" s="18"/>
      <c r="Q33" s="45"/>
      <c r="R33" s="1"/>
    </row>
    <row r="34" spans="1:18" ht="7.5" customHeight="1" x14ac:dyDescent="0.2">
      <c r="A34" s="34"/>
      <c r="B34" s="4"/>
      <c r="C34" s="4"/>
      <c r="D34" s="4"/>
      <c r="E34" s="4"/>
      <c r="F34" s="4"/>
      <c r="G34" s="4"/>
      <c r="H34" s="15" t="e">
        <f>(H32+#REF!)*-1</f>
        <v>#REF!</v>
      </c>
      <c r="I34" s="15"/>
      <c r="J34" s="18"/>
      <c r="K34" s="18"/>
      <c r="L34" s="18"/>
      <c r="M34" s="18"/>
      <c r="N34" s="47"/>
      <c r="O34" s="18"/>
      <c r="P34" s="18"/>
      <c r="Q34" s="34"/>
      <c r="R34" s="1"/>
    </row>
    <row r="35" spans="1:18" ht="17" customHeight="1" x14ac:dyDescent="0.2">
      <c r="A35" s="34"/>
      <c r="B35" s="34"/>
      <c r="C35" s="34"/>
      <c r="D35" s="34"/>
      <c r="E35" s="34"/>
      <c r="F35" s="34"/>
      <c r="G35" s="34"/>
      <c r="H35" s="48">
        <f>G32</f>
        <v>110550</v>
      </c>
      <c r="I35" s="48"/>
      <c r="J35" s="34"/>
      <c r="K35" s="57"/>
      <c r="L35" s="57"/>
      <c r="M35" s="34"/>
      <c r="N35" s="45"/>
      <c r="O35" s="34"/>
      <c r="P35" s="34"/>
      <c r="Q35" s="34"/>
      <c r="R35" s="1"/>
    </row>
  </sheetData>
  <sheetProtection algorithmName="SHA-512" hashValue="woJcB5BPEQKjGnaQjOSmPC9H/PRp45VW6i9pmZwOCxKUumlG+eAkj22ckQ/9sF3KiO2Mydf3X56WSUwp3mZGIA==" saltValue="C2exOVCmm83UZbLOVyBgKQ==" spinCount="100000" sheet="1" selectLockedCells="1"/>
  <mergeCells count="10">
    <mergeCell ref="K9:L9"/>
    <mergeCell ref="K13:L13"/>
    <mergeCell ref="K6:O8"/>
    <mergeCell ref="C2:O2"/>
    <mergeCell ref="K29:L29"/>
    <mergeCell ref="K16:O16"/>
    <mergeCell ref="K11:L11"/>
    <mergeCell ref="K12:L12"/>
    <mergeCell ref="M10:O12"/>
    <mergeCell ref="K10:L10"/>
  </mergeCells>
  <hyperlinks>
    <hyperlink ref="K9" location="'Brugte Personbiler'!A1" display="Tryk her" xr:uid="{00000000-0004-0000-0200-000000000000}"/>
    <hyperlink ref="K10" location="'Nye personbiler'!A1" display="'Nye personbiler'!A1" xr:uid="{00000000-0004-0000-0200-000001000000}"/>
    <hyperlink ref="M10" location="Forside!A1" display="Forside!A1" xr:uid="{00000000-0004-0000-0200-000002000000}"/>
    <hyperlink ref="K11" location="'Brugte Varebiler'!A1" display="'Brugte Varebiler'!A1" xr:uid="{00000000-0004-0000-0200-000003000000}"/>
    <hyperlink ref="K12" location="'Nye Varebil'!A1" display="'Nye Varebil'!A1" xr:uid="{00000000-0004-0000-0200-000004000000}"/>
    <hyperlink ref="K13" location="'Værktøj til CO2'!A1" display="'Værktøj til CO2'!A1" xr:uid="{00000000-0004-0000-0200-000005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40"/>
  <sheetViews>
    <sheetView topLeftCell="A8" zoomScale="85" zoomScaleNormal="85" workbookViewId="0">
      <selection activeCell="L24" sqref="L24"/>
    </sheetView>
  </sheetViews>
  <sheetFormatPr baseColWidth="10" defaultColWidth="9.1640625" defaultRowHeight="17" customHeight="1" x14ac:dyDescent="0.2"/>
  <cols>
    <col min="1" max="1" width="2.33203125" style="2" customWidth="1"/>
    <col min="2" max="2" width="3.1640625" style="2" customWidth="1"/>
    <col min="3" max="3" width="11.83203125" style="2" bestFit="1" customWidth="1"/>
    <col min="4" max="4" width="9.1640625" style="2" customWidth="1"/>
    <col min="5" max="5" width="5.33203125" style="2" customWidth="1"/>
    <col min="6" max="6" width="7.1640625" style="2" customWidth="1"/>
    <col min="7" max="7" width="18.83203125" style="2" customWidth="1"/>
    <col min="8" max="8" width="15.6640625" style="2" hidden="1" customWidth="1"/>
    <col min="9" max="9" width="2.5" style="2" customWidth="1"/>
    <col min="10" max="10" width="2.6640625" style="2" customWidth="1"/>
    <col min="11" max="11" width="25.1640625" style="2" customWidth="1"/>
    <col min="12" max="12" width="18.1640625" style="2" customWidth="1"/>
    <col min="13" max="13" width="18.5" style="2" customWidth="1"/>
    <col min="14" max="14" width="23.83203125" style="2" customWidth="1"/>
    <col min="15" max="15" width="14.5" style="2" customWidth="1"/>
    <col min="16" max="16" width="2.6640625" style="2" customWidth="1"/>
    <col min="17" max="17" width="3.5" style="2" customWidth="1"/>
    <col min="18" max="22" width="9.1640625" style="2" hidden="1" customWidth="1"/>
    <col min="23" max="23" width="13.6640625" style="2" hidden="1" customWidth="1"/>
    <col min="24" max="25" width="9.1640625" style="2" hidden="1" customWidth="1"/>
    <col min="26" max="26" width="10.83203125" style="2" hidden="1" customWidth="1"/>
    <col min="27" max="27" width="9.1640625" style="2" hidden="1" customWidth="1"/>
    <col min="28" max="28" width="13.1640625" style="2" hidden="1" customWidth="1"/>
    <col min="29" max="29" width="9.1640625" style="2" hidden="1" customWidth="1"/>
    <col min="30" max="30" width="13" style="2" hidden="1" customWidth="1"/>
    <col min="31" max="31" width="9.1640625" style="2" customWidth="1"/>
    <col min="32" max="16384" width="9.1640625" style="2"/>
  </cols>
  <sheetData>
    <row r="1" spans="1:22" ht="8.25" hidden="1" customHeight="1" x14ac:dyDescent="0.2">
      <c r="C1" s="1"/>
      <c r="D1" s="1"/>
      <c r="E1" s="1"/>
      <c r="F1" s="1"/>
      <c r="G1" s="1"/>
      <c r="H1" s="1"/>
      <c r="I1" s="1"/>
      <c r="J1" s="1"/>
      <c r="K1" s="1"/>
      <c r="L1" s="1"/>
      <c r="M1" s="1"/>
      <c r="N1" s="1"/>
      <c r="O1" s="1"/>
      <c r="P1" s="1"/>
      <c r="Q1" s="1"/>
      <c r="R1" s="1"/>
    </row>
    <row r="2" spans="1:22" ht="25.5" customHeight="1" x14ac:dyDescent="0.2">
      <c r="A2" s="142" t="s">
        <v>58</v>
      </c>
      <c r="B2" s="133"/>
      <c r="C2" s="133"/>
      <c r="D2" s="133"/>
      <c r="E2" s="133"/>
      <c r="F2" s="133"/>
      <c r="G2" s="133"/>
      <c r="H2" s="133"/>
      <c r="I2" s="133"/>
      <c r="J2" s="133"/>
      <c r="K2" s="133"/>
      <c r="L2" s="133"/>
      <c r="M2" s="133"/>
      <c r="N2" s="133"/>
      <c r="O2" s="133"/>
      <c r="P2" s="133"/>
      <c r="Q2" s="133"/>
      <c r="R2" s="1"/>
    </row>
    <row r="3" spans="1:22" ht="6" customHeight="1" x14ac:dyDescent="0.2">
      <c r="A3" s="3"/>
      <c r="B3" s="4"/>
      <c r="C3" s="4"/>
      <c r="D3" s="5"/>
      <c r="E3" s="5"/>
      <c r="F3" s="5"/>
      <c r="G3" s="5"/>
      <c r="H3" s="4"/>
      <c r="I3" s="4"/>
      <c r="J3" s="1"/>
      <c r="K3" s="1"/>
      <c r="L3" s="1"/>
      <c r="M3" s="1"/>
      <c r="N3" s="1"/>
      <c r="O3" s="1"/>
      <c r="P3" s="1"/>
      <c r="Q3" s="3"/>
      <c r="R3" s="1"/>
    </row>
    <row r="4" spans="1:22" ht="17" customHeight="1" x14ac:dyDescent="0.2">
      <c r="A4" s="3"/>
      <c r="B4" s="4"/>
      <c r="C4" s="4"/>
      <c r="D4" s="4"/>
      <c r="E4" s="4"/>
      <c r="F4" s="4"/>
      <c r="G4" s="4"/>
      <c r="H4" s="5"/>
      <c r="I4" s="5"/>
      <c r="J4" s="1"/>
      <c r="K4" s="6" t="s">
        <v>10</v>
      </c>
      <c r="L4" s="7"/>
      <c r="M4" s="8"/>
      <c r="N4" s="8"/>
      <c r="O4" s="8"/>
      <c r="P4" s="1"/>
      <c r="Q4" s="3"/>
      <c r="R4" s="1"/>
    </row>
    <row r="5" spans="1:22" ht="17" customHeight="1" x14ac:dyDescent="0.2">
      <c r="A5" s="3"/>
      <c r="B5" s="4"/>
      <c r="C5" s="4"/>
      <c r="D5" s="4"/>
      <c r="E5" s="4"/>
      <c r="F5" s="4"/>
      <c r="G5" s="4"/>
      <c r="H5" s="9"/>
      <c r="I5" s="9"/>
      <c r="J5" s="1"/>
      <c r="K5" s="6"/>
      <c r="L5" s="7"/>
      <c r="M5" s="8"/>
      <c r="N5" s="8"/>
      <c r="O5" s="8"/>
      <c r="P5" s="1"/>
      <c r="Q5" s="3"/>
      <c r="R5" s="1"/>
    </row>
    <row r="6" spans="1:22" ht="17" customHeight="1" x14ac:dyDescent="0.2">
      <c r="A6" s="3"/>
      <c r="B6" s="4"/>
      <c r="C6" s="10" t="s">
        <v>11</v>
      </c>
      <c r="D6" s="11"/>
      <c r="E6" s="11"/>
      <c r="F6" s="4"/>
      <c r="G6" s="4"/>
      <c r="H6" s="4"/>
      <c r="I6" s="4"/>
      <c r="J6" s="1"/>
      <c r="K6" s="134" t="s">
        <v>12</v>
      </c>
      <c r="L6" s="133"/>
      <c r="M6" s="133"/>
      <c r="N6" s="133"/>
      <c r="O6" s="133"/>
      <c r="P6" s="1"/>
      <c r="Q6" s="3"/>
      <c r="R6" s="1"/>
    </row>
    <row r="7" spans="1:22" ht="17" customHeight="1" x14ac:dyDescent="0.2">
      <c r="A7" s="3"/>
      <c r="B7" s="4"/>
      <c r="C7" s="4" t="s">
        <v>13</v>
      </c>
      <c r="D7" s="4"/>
      <c r="E7" s="4"/>
      <c r="F7" s="4"/>
      <c r="G7" s="12">
        <f>IF(L23&lt;50,IF(L26&lt;46,L26*O33,O33*45)*-1,0)</f>
        <v>0</v>
      </c>
      <c r="H7" s="5"/>
      <c r="I7" s="5"/>
      <c r="J7" s="1"/>
      <c r="K7" s="133"/>
      <c r="L7" s="133"/>
      <c r="M7" s="133"/>
      <c r="N7" s="133"/>
      <c r="O7" s="133"/>
      <c r="P7" s="1"/>
      <c r="Q7" s="3"/>
      <c r="R7" s="1"/>
    </row>
    <row r="8" spans="1:22" ht="17" customHeight="1" x14ac:dyDescent="0.2">
      <c r="A8" s="3"/>
      <c r="B8" s="4"/>
      <c r="C8" s="4"/>
      <c r="D8" s="4"/>
      <c r="E8" s="4"/>
      <c r="F8" s="4"/>
      <c r="G8" s="12"/>
      <c r="H8" s="5"/>
      <c r="I8" s="5"/>
      <c r="J8" s="1"/>
      <c r="K8" s="133"/>
      <c r="L8" s="133"/>
      <c r="M8" s="133"/>
      <c r="N8" s="133"/>
      <c r="O8" s="133"/>
      <c r="P8" s="1"/>
      <c r="Q8" s="3"/>
      <c r="R8" s="1"/>
    </row>
    <row r="9" spans="1:22" ht="17" customHeight="1" x14ac:dyDescent="0.2">
      <c r="A9" s="3"/>
      <c r="B9" s="4"/>
      <c r="C9" s="11" t="s">
        <v>14</v>
      </c>
      <c r="D9" s="4"/>
      <c r="E9" s="4"/>
      <c r="F9" s="4"/>
      <c r="G9" s="13">
        <f>G7</f>
        <v>0</v>
      </c>
      <c r="H9" s="5"/>
      <c r="I9" s="5"/>
      <c r="J9" s="1"/>
      <c r="K9" s="138" t="s">
        <v>2</v>
      </c>
      <c r="L9" s="130"/>
      <c r="M9" s="114"/>
      <c r="N9" s="114"/>
      <c r="O9" s="114"/>
      <c r="P9" s="1"/>
      <c r="Q9" s="3"/>
      <c r="R9" s="1"/>
    </row>
    <row r="10" spans="1:22" ht="17" customHeight="1" x14ac:dyDescent="0.2">
      <c r="A10" s="3"/>
      <c r="B10" s="4"/>
      <c r="C10" s="4"/>
      <c r="D10" s="4"/>
      <c r="E10" s="4"/>
      <c r="F10" s="4"/>
      <c r="G10" s="12"/>
      <c r="H10" s="14">
        <f>IF(H29&lt;=L19*R21,H29*L18,L19*R21*L18)</f>
        <v>0</v>
      </c>
      <c r="I10" s="14"/>
      <c r="J10" s="1"/>
      <c r="K10" s="137" t="s">
        <v>3</v>
      </c>
      <c r="L10" s="130"/>
      <c r="M10" s="141" t="s">
        <v>15</v>
      </c>
      <c r="N10" s="130"/>
      <c r="O10" s="130"/>
      <c r="P10" s="1"/>
      <c r="Q10" s="3"/>
      <c r="R10" s="1"/>
    </row>
    <row r="11" spans="1:22" ht="17" customHeight="1" x14ac:dyDescent="0.2">
      <c r="A11" s="3"/>
      <c r="B11" s="4"/>
      <c r="C11" s="10" t="s">
        <v>16</v>
      </c>
      <c r="D11" s="11"/>
      <c r="E11" s="11"/>
      <c r="F11" s="11"/>
      <c r="G11" s="12"/>
      <c r="H11" s="15">
        <f>IF(H29&gt;L19*R21,(H29-L19*R21)*M18,0)</f>
        <v>31818.181818181831</v>
      </c>
      <c r="I11" s="15"/>
      <c r="J11" s="1"/>
      <c r="K11" s="137" t="s">
        <v>4</v>
      </c>
      <c r="L11" s="130"/>
      <c r="M11" s="130"/>
      <c r="N11" s="130"/>
      <c r="O11" s="130"/>
      <c r="P11" s="1"/>
      <c r="Q11" s="3"/>
      <c r="R11" s="1"/>
    </row>
    <row r="12" spans="1:22" ht="17" customHeight="1" x14ac:dyDescent="0.2">
      <c r="A12" s="3"/>
      <c r="B12" s="4"/>
      <c r="C12" s="4" t="s">
        <v>17</v>
      </c>
      <c r="D12" s="4"/>
      <c r="E12" s="4"/>
      <c r="F12" s="4"/>
      <c r="G12" s="12">
        <f>IF(G22&lt;=L19*R21,G22*L18,L19*R21*L18)</f>
        <v>0</v>
      </c>
      <c r="H12" s="4"/>
      <c r="I12" s="4"/>
      <c r="J12" s="1"/>
      <c r="K12" s="137" t="s">
        <v>5</v>
      </c>
      <c r="L12" s="130"/>
      <c r="M12" s="130"/>
      <c r="N12" s="130"/>
      <c r="O12" s="130"/>
      <c r="P12" s="1"/>
      <c r="Q12" s="3"/>
      <c r="R12" s="1"/>
    </row>
    <row r="13" spans="1:22" ht="17" customHeight="1" x14ac:dyDescent="0.2">
      <c r="A13" s="3"/>
      <c r="B13" s="4"/>
      <c r="C13" s="4" t="s">
        <v>18</v>
      </c>
      <c r="D13" s="4"/>
      <c r="E13" s="4"/>
      <c r="F13" s="4"/>
      <c r="G13" s="12">
        <f>IF(G22&gt;L19*R21,(G22-L19*R21)*M18,0)</f>
        <v>17361.111111111117</v>
      </c>
      <c r="H13" s="15">
        <f>SUM(H10:H12)</f>
        <v>31818.181818181831</v>
      </c>
      <c r="I13" s="15"/>
      <c r="J13" s="1"/>
      <c r="K13" s="137" t="s">
        <v>6</v>
      </c>
      <c r="L13" s="130"/>
      <c r="M13" s="115"/>
      <c r="N13" s="115"/>
      <c r="O13" s="115"/>
      <c r="P13" s="1"/>
      <c r="Q13" s="3"/>
      <c r="R13" s="1"/>
    </row>
    <row r="14" spans="1:22" ht="17" customHeight="1" x14ac:dyDescent="0.2">
      <c r="A14" s="3"/>
      <c r="B14" s="4"/>
      <c r="C14" s="11" t="s">
        <v>20</v>
      </c>
      <c r="D14" s="4"/>
      <c r="E14" s="4"/>
      <c r="F14" s="4"/>
      <c r="G14" s="13">
        <f>SUM(G12:G13)</f>
        <v>17361.111111111117</v>
      </c>
      <c r="H14" s="15"/>
      <c r="I14" s="15"/>
      <c r="J14" s="1"/>
      <c r="K14" s="79"/>
      <c r="L14" s="79"/>
      <c r="M14" s="1"/>
      <c r="N14" s="1"/>
      <c r="O14" s="1"/>
      <c r="P14" s="1"/>
      <c r="Q14" s="3"/>
      <c r="R14" s="1"/>
    </row>
    <row r="15" spans="1:22" ht="17" customHeight="1" x14ac:dyDescent="0.2">
      <c r="A15" s="3"/>
      <c r="B15" s="4"/>
      <c r="C15" s="11"/>
      <c r="D15" s="4"/>
      <c r="E15" s="4"/>
      <c r="F15" s="4"/>
      <c r="G15" s="13"/>
      <c r="H15" s="15"/>
      <c r="I15" s="15"/>
      <c r="J15" s="1"/>
      <c r="L15" s="1"/>
      <c r="M15" s="1"/>
      <c r="N15" s="1"/>
      <c r="O15" s="1"/>
      <c r="P15" s="1"/>
      <c r="Q15" s="3"/>
      <c r="R15" s="1"/>
    </row>
    <row r="16" spans="1:22" ht="17" customHeight="1" x14ac:dyDescent="0.2">
      <c r="A16" s="3"/>
      <c r="B16" s="4"/>
      <c r="C16" s="11"/>
      <c r="D16" s="4"/>
      <c r="E16" s="4"/>
      <c r="F16" s="4"/>
      <c r="G16" s="13"/>
      <c r="H16" s="15"/>
      <c r="I16" s="15"/>
      <c r="J16" s="1"/>
      <c r="K16" s="140" t="s">
        <v>21</v>
      </c>
      <c r="L16" s="133"/>
      <c r="M16" s="133"/>
      <c r="N16" s="133"/>
      <c r="O16" s="133"/>
      <c r="P16" s="1"/>
      <c r="Q16" s="3"/>
      <c r="R16" s="1"/>
      <c r="V16" s="2" t="s">
        <v>59</v>
      </c>
    </row>
    <row r="17" spans="1:28" ht="17" customHeight="1" x14ac:dyDescent="0.2">
      <c r="A17" s="3"/>
      <c r="B17" s="4"/>
      <c r="C17" s="10" t="s">
        <v>22</v>
      </c>
      <c r="D17" s="11"/>
      <c r="E17" s="11"/>
      <c r="F17" s="4"/>
      <c r="G17" s="12"/>
      <c r="H17" s="15"/>
      <c r="I17" s="15"/>
      <c r="J17" s="1"/>
      <c r="P17" s="1"/>
      <c r="Q17" s="3"/>
      <c r="R17" s="1"/>
      <c r="V17" s="2" t="s">
        <v>60</v>
      </c>
    </row>
    <row r="18" spans="1:28" ht="17" customHeight="1" x14ac:dyDescent="0.2">
      <c r="A18" s="3"/>
      <c r="B18" s="4"/>
      <c r="C18" s="4" t="s">
        <v>23</v>
      </c>
      <c r="D18" s="4"/>
      <c r="E18" s="4"/>
      <c r="F18" s="4"/>
      <c r="G18" s="12">
        <f>L23*O24*R21</f>
        <v>11553.030303030304</v>
      </c>
      <c r="H18" s="15"/>
      <c r="I18" s="15"/>
      <c r="J18" s="18"/>
      <c r="K18" s="19" t="s">
        <v>24</v>
      </c>
      <c r="L18" s="20">
        <v>0</v>
      </c>
      <c r="M18" s="20">
        <v>0.5</v>
      </c>
      <c r="N18" s="21"/>
      <c r="O18" s="143" t="s">
        <v>25</v>
      </c>
      <c r="P18" s="133"/>
      <c r="Q18" s="3"/>
      <c r="R18" s="1"/>
    </row>
    <row r="19" spans="1:28" ht="17" customHeight="1" x14ac:dyDescent="0.2">
      <c r="A19" s="3"/>
      <c r="B19" s="4"/>
      <c r="C19" s="11" t="s">
        <v>26</v>
      </c>
      <c r="D19" s="4"/>
      <c r="E19" s="4"/>
      <c r="F19" s="4"/>
      <c r="G19" s="17">
        <f>G18</f>
        <v>11553.030303030304</v>
      </c>
      <c r="H19" s="15"/>
      <c r="I19" s="15"/>
      <c r="J19" s="18"/>
      <c r="K19" s="19" t="s">
        <v>27</v>
      </c>
      <c r="L19" s="23">
        <v>75000</v>
      </c>
      <c r="M19" s="23" t="s">
        <v>61</v>
      </c>
      <c r="N19" s="23" t="s">
        <v>62</v>
      </c>
      <c r="O19" s="18"/>
      <c r="P19" s="18"/>
      <c r="Q19" s="3"/>
      <c r="R19" s="1"/>
    </row>
    <row r="20" spans="1:28" ht="17" customHeight="1" thickBot="1" x14ac:dyDescent="0.25">
      <c r="A20" s="3"/>
      <c r="B20" s="4"/>
      <c r="C20" s="11"/>
      <c r="D20" s="4"/>
      <c r="E20" s="4"/>
      <c r="F20" s="4"/>
      <c r="G20" s="13"/>
      <c r="H20" s="4"/>
      <c r="I20" s="4"/>
      <c r="J20" s="18"/>
      <c r="K20" s="22"/>
      <c r="L20" s="22"/>
      <c r="M20" s="22"/>
      <c r="N20" s="22"/>
      <c r="O20" s="18"/>
      <c r="P20" s="18"/>
      <c r="Q20" s="3"/>
      <c r="R20" s="1"/>
      <c r="AB20" s="28">
        <f>IF(W29&gt;G26,G26,IF(W32=47000,W29,W32))</f>
        <v>21338.383838383845</v>
      </c>
    </row>
    <row r="21" spans="1:28" ht="17" customHeight="1" x14ac:dyDescent="0.2">
      <c r="A21" s="3"/>
      <c r="B21" s="4"/>
      <c r="C21" s="10" t="s">
        <v>29</v>
      </c>
      <c r="D21" s="11"/>
      <c r="E21" s="4"/>
      <c r="F21" s="4"/>
      <c r="G21" s="12"/>
      <c r="H21" s="4"/>
      <c r="I21" s="4"/>
      <c r="J21" s="18"/>
      <c r="K21" s="19" t="s">
        <v>30</v>
      </c>
      <c r="L21" s="52">
        <v>75000</v>
      </c>
      <c r="M21" s="22"/>
      <c r="N21" s="22"/>
      <c r="O21" s="18"/>
      <c r="P21" s="18"/>
      <c r="Q21" s="3"/>
      <c r="R21" s="22">
        <f>L21/L22</f>
        <v>0.25252525252525254</v>
      </c>
      <c r="W21" s="83">
        <f>L21-AB20</f>
        <v>53661.616161616155</v>
      </c>
    </row>
    <row r="22" spans="1:28" ht="17" customHeight="1" x14ac:dyDescent="0.2">
      <c r="A22" s="3"/>
      <c r="B22" s="4"/>
      <c r="C22" s="4" t="s">
        <v>32</v>
      </c>
      <c r="D22" s="4"/>
      <c r="E22" s="4"/>
      <c r="F22" s="4"/>
      <c r="G22" s="12">
        <f>IF((L21+G9-(G19+G25)*(1-O32)-G29)/(1+L18*(1-O32))&lt;L19*R21,(L21+G9-(G19+G25)*(1-O32)-G29)/(1+L18*(1-O32)),(L21+G9-L19*R21*L18*(1-O32)+L19*R21*M18*(1-O32)-(G19+G25)*(1-O32)-G29)/(1+M18*(1-O32)))</f>
        <v>53661.61616161617</v>
      </c>
      <c r="H22" s="4"/>
      <c r="I22" s="4"/>
      <c r="J22" s="18"/>
      <c r="K22" s="19" t="s">
        <v>33</v>
      </c>
      <c r="L22" s="52">
        <v>297000</v>
      </c>
      <c r="M22" s="22"/>
      <c r="N22" s="22"/>
      <c r="O22" s="18"/>
      <c r="P22" s="18"/>
      <c r="Q22" s="3"/>
      <c r="R22" s="22" t="s">
        <v>31</v>
      </c>
    </row>
    <row r="23" spans="1:28" ht="17" customHeight="1" x14ac:dyDescent="0.2">
      <c r="A23" s="3"/>
      <c r="B23" s="4"/>
      <c r="C23" s="4" t="s">
        <v>35</v>
      </c>
      <c r="D23" s="4"/>
      <c r="E23" s="4"/>
      <c r="F23" s="4"/>
      <c r="G23" s="12">
        <f>G14+G19</f>
        <v>28914.141414141421</v>
      </c>
      <c r="H23" s="4">
        <f>IF(L23&lt;126,O24*L23,IF(L23&lt;161,31250+(L23-125)*O25,48750+(L23-160)*O26))/(L22/L21)</f>
        <v>13762.626262626263</v>
      </c>
      <c r="I23" s="4"/>
      <c r="J23" s="18"/>
      <c r="K23" s="19" t="s">
        <v>36</v>
      </c>
      <c r="L23" s="51">
        <v>183</v>
      </c>
      <c r="M23" s="24" t="s">
        <v>37</v>
      </c>
      <c r="N23" s="19" t="s">
        <v>38</v>
      </c>
      <c r="O23" s="24"/>
      <c r="P23" s="18"/>
      <c r="Q23" s="3"/>
      <c r="R23" s="22" t="s">
        <v>34</v>
      </c>
    </row>
    <row r="24" spans="1:28" ht="17" customHeight="1" x14ac:dyDescent="0.2">
      <c r="A24" s="3"/>
      <c r="B24" s="4"/>
      <c r="C24" s="4"/>
      <c r="D24" s="4"/>
      <c r="E24" s="4"/>
      <c r="F24" s="4"/>
      <c r="G24" s="4"/>
      <c r="H24" s="4"/>
      <c r="I24" s="4"/>
      <c r="J24" s="18"/>
      <c r="K24" s="19" t="s">
        <v>39</v>
      </c>
      <c r="L24" s="51" t="s">
        <v>63</v>
      </c>
      <c r="M24" s="22"/>
      <c r="N24" s="25" t="s">
        <v>40</v>
      </c>
      <c r="O24" s="24">
        <v>250</v>
      </c>
      <c r="P24" s="18"/>
      <c r="Q24" s="3"/>
      <c r="R24" s="1"/>
    </row>
    <row r="25" spans="1:28" ht="17" customHeight="1" x14ac:dyDescent="0.2">
      <c r="A25" s="3"/>
      <c r="B25" s="4"/>
      <c r="C25" s="4" t="s">
        <v>41</v>
      </c>
      <c r="D25" s="4"/>
      <c r="E25" s="4"/>
      <c r="F25" s="4"/>
      <c r="G25" s="12">
        <f>O28*R21*-1</f>
        <v>-7575.757575757576</v>
      </c>
      <c r="H25" s="4"/>
      <c r="I25" s="4"/>
      <c r="J25" s="18"/>
      <c r="K25" s="19" t="s">
        <v>42</v>
      </c>
      <c r="L25" s="51">
        <v>0</v>
      </c>
      <c r="M25" s="22"/>
      <c r="N25" s="25" t="s">
        <v>43</v>
      </c>
      <c r="O25" s="24">
        <v>250</v>
      </c>
      <c r="P25" s="18"/>
      <c r="Q25" s="3"/>
      <c r="R25" s="1"/>
      <c r="W25" s="84">
        <f>IF((L21+G9-(G19+G25)*(1-O32)-G29)/(1+L18*(1-O32))&lt;L19*R21,(L21+G9-(G19+G25)*(1-O32)-G29)/(1+L18*(1-O32)),(L21+G9-L19*R21*L18*(1-O32)+L19*R21*M18*(1-O32)-(G19+G25)*(1-O32)-G29)/(1+M18*(1-O32)))</f>
        <v>53661.61616161617</v>
      </c>
    </row>
    <row r="26" spans="1:28" ht="17" customHeight="1" x14ac:dyDescent="0.2">
      <c r="A26" s="3"/>
      <c r="B26" s="4"/>
      <c r="C26" s="4" t="s">
        <v>44</v>
      </c>
      <c r="D26" s="4"/>
      <c r="E26" s="4"/>
      <c r="F26" s="4"/>
      <c r="G26" s="12">
        <f>G23+G25</f>
        <v>21338.383838383845</v>
      </c>
      <c r="H26" s="4" t="e">
        <f>#REF!*R21</f>
        <v>#REF!</v>
      </c>
      <c r="I26" s="4"/>
      <c r="J26" s="18"/>
      <c r="K26" s="19" t="s">
        <v>45</v>
      </c>
      <c r="L26" s="75" t="e">
        <f>ge/1000*gw</f>
        <v>#VALUE!</v>
      </c>
      <c r="M26" s="22"/>
      <c r="N26" s="26" t="s">
        <v>46</v>
      </c>
      <c r="O26" s="24">
        <v>250</v>
      </c>
      <c r="P26" s="18"/>
      <c r="Q26" s="3"/>
      <c r="R26" s="1"/>
    </row>
    <row r="27" spans="1:28" ht="17" customHeight="1" x14ac:dyDescent="0.2">
      <c r="A27" s="3"/>
      <c r="B27" s="4"/>
      <c r="C27" s="4"/>
      <c r="D27" s="4"/>
      <c r="E27" s="4"/>
      <c r="F27" s="4"/>
      <c r="G27" s="4"/>
      <c r="H27" s="4"/>
      <c r="I27" s="4"/>
      <c r="J27" s="18"/>
      <c r="K27" s="53" t="s">
        <v>64</v>
      </c>
      <c r="L27" s="128" t="s">
        <v>60</v>
      </c>
      <c r="M27" s="22"/>
      <c r="N27" s="24"/>
      <c r="O27" s="24"/>
      <c r="P27" s="18"/>
      <c r="Q27" s="3"/>
      <c r="R27" s="1"/>
    </row>
    <row r="28" spans="1:28" ht="17" customHeight="1" x14ac:dyDescent="0.2">
      <c r="A28" s="3"/>
      <c r="B28" s="4"/>
      <c r="C28" s="4" t="s">
        <v>47</v>
      </c>
      <c r="D28" s="4"/>
      <c r="E28" s="4"/>
      <c r="F28" s="4"/>
      <c r="G28" s="12">
        <f>G26*O32*-1</f>
        <v>0</v>
      </c>
      <c r="H28" s="4"/>
      <c r="I28" s="4"/>
      <c r="J28" s="18"/>
      <c r="K28" s="144"/>
      <c r="L28" s="133"/>
      <c r="M28" s="22"/>
      <c r="N28" s="19" t="s">
        <v>41</v>
      </c>
      <c r="O28" s="27">
        <v>30000</v>
      </c>
      <c r="P28" s="18"/>
      <c r="Q28" s="3"/>
      <c r="R28" s="1"/>
      <c r="W28" s="83">
        <f>W32*(L21/L22)</f>
        <v>5388.4807672686484</v>
      </c>
    </row>
    <row r="29" spans="1:28" ht="17" customHeight="1" x14ac:dyDescent="0.2">
      <c r="A29" s="3"/>
      <c r="B29" s="4"/>
      <c r="C29" s="4" t="s">
        <v>48</v>
      </c>
      <c r="D29" s="4"/>
      <c r="E29" s="4"/>
      <c r="F29" s="4"/>
      <c r="G29" s="12">
        <f>IF(L23&lt;1,O30,IF(L23&lt;50,O29,0))*R21*-1</f>
        <v>0</v>
      </c>
      <c r="H29" s="15">
        <f>G23+G28+G29+G22</f>
        <v>82575.757575757598</v>
      </c>
      <c r="I29" s="15"/>
      <c r="J29" s="18"/>
      <c r="K29" s="133"/>
      <c r="L29" s="133"/>
      <c r="M29" s="22"/>
      <c r="N29" s="19" t="s">
        <v>49</v>
      </c>
      <c r="O29" s="27">
        <v>50000</v>
      </c>
      <c r="P29" s="18"/>
      <c r="Q29" s="3"/>
      <c r="R29" s="1"/>
      <c r="W29" s="83">
        <f>W28+G19+G25</f>
        <v>9365.7534945413754</v>
      </c>
    </row>
    <row r="30" spans="1:28" ht="17" customHeight="1" x14ac:dyDescent="0.2">
      <c r="A30" s="3"/>
      <c r="B30" s="4"/>
      <c r="C30" s="4"/>
      <c r="D30" s="4"/>
      <c r="E30" s="4"/>
      <c r="F30" s="4"/>
      <c r="G30" s="12"/>
      <c r="H30" s="15" t="e">
        <f>H13+H26</f>
        <v>#REF!</v>
      </c>
      <c r="I30" s="15"/>
      <c r="J30" s="18"/>
      <c r="K30" s="133"/>
      <c r="L30" s="133"/>
      <c r="M30" s="18"/>
      <c r="N30" s="19" t="s">
        <v>50</v>
      </c>
      <c r="O30" s="27">
        <v>80000</v>
      </c>
      <c r="P30" s="18"/>
      <c r="Q30" s="3"/>
      <c r="R30" s="1"/>
      <c r="AB30" s="2">
        <f>IF(AND(L27="over 3.000 kg og som enten er åben eller uden sideruder bag føresædet",(AB31*(L22/L21)&gt;47000*(L21/L22))),47000*(L21/L22),AB31)</f>
        <v>21338.383838383845</v>
      </c>
    </row>
    <row r="31" spans="1:28" ht="17" customHeight="1" thickBot="1" x14ac:dyDescent="0.25">
      <c r="A31" s="3"/>
      <c r="B31" s="4"/>
      <c r="C31" s="11" t="s">
        <v>51</v>
      </c>
      <c r="D31" s="4"/>
      <c r="E31" s="4"/>
      <c r="F31" s="4"/>
      <c r="G31" s="13">
        <f>IF(AND(W21=W25,G9=0),IF((L21+G9-(G19+G25)*(1-O32)-G29)/(1+L18*(1-O32))&lt;L19*R21,(L21+G9-(G19+G25)*(1-O32)-G29)/(1+L18*(1-O32)),(L21+G9-L19*R21*L18*(1-O32)+L19*R21*M18*(1-O32)-(G19+G25)*(1-O32)-G29)/(1+M18*(1-O32))),W21)+G9</f>
        <v>53661.61616161617</v>
      </c>
      <c r="H31" s="4"/>
      <c r="I31" s="4"/>
      <c r="J31" s="18"/>
      <c r="K31" s="22"/>
      <c r="L31" s="43"/>
      <c r="M31" s="22"/>
      <c r="N31" s="24"/>
      <c r="O31" s="24"/>
      <c r="P31" s="18"/>
      <c r="Q31" s="3"/>
      <c r="R31" s="1"/>
      <c r="AB31" s="125">
        <f>IF(AND(L27="over 3.000 kg og som enten er åben eller uden sideruder bag føresædet",L23&lt;50),0,AB20)</f>
        <v>21338.383838383845</v>
      </c>
    </row>
    <row r="32" spans="1:28" ht="17" customHeight="1" thickTop="1" x14ac:dyDescent="0.2">
      <c r="A32" s="3"/>
      <c r="B32" s="4"/>
      <c r="C32" s="11" t="s">
        <v>52</v>
      </c>
      <c r="D32" s="4"/>
      <c r="E32" s="4"/>
      <c r="F32" s="4"/>
      <c r="G32" s="126">
        <f>IF(AB31&lt;AB30,AB31,AB30)</f>
        <v>21338.383838383845</v>
      </c>
      <c r="H32" s="15" t="e">
        <f>H30*O32*-1</f>
        <v>#REF!</v>
      </c>
      <c r="I32" s="15"/>
      <c r="J32" s="29"/>
      <c r="K32" s="59"/>
      <c r="L32" s="24"/>
      <c r="M32" s="22"/>
      <c r="N32" s="19" t="s">
        <v>53</v>
      </c>
      <c r="O32" s="30">
        <f>IF(L23&lt;1,60%,IF(L23&lt;50,55%,0))</f>
        <v>0</v>
      </c>
      <c r="P32" s="18"/>
      <c r="Q32" s="3"/>
      <c r="R32" s="1"/>
      <c r="W32" s="2">
        <f>IF((G26+G28+G29)&lt;47000*(L21/L22),IF(G28+G26+G29&lt;0,0,G26+G29+G28),IF(L27="Alle andre",G26+G28+G29,47000))</f>
        <v>21338.383838383845</v>
      </c>
    </row>
    <row r="33" spans="1:27" ht="17" customHeight="1" x14ac:dyDescent="0.2">
      <c r="A33" s="3"/>
      <c r="B33" s="4"/>
      <c r="C33" s="4"/>
      <c r="D33" s="4"/>
      <c r="E33" s="4"/>
      <c r="F33" s="4"/>
      <c r="G33" s="4"/>
      <c r="H33" s="15" t="e">
        <f>(H30+H32)*-1</f>
        <v>#REF!</v>
      </c>
      <c r="I33" s="15"/>
      <c r="J33" s="29"/>
      <c r="K33" s="59"/>
      <c r="L33" s="60"/>
      <c r="M33" s="22"/>
      <c r="N33" s="19" t="s">
        <v>54</v>
      </c>
      <c r="O33" s="27">
        <v>1700</v>
      </c>
      <c r="P33" s="18"/>
      <c r="Q33" s="3"/>
      <c r="R33" s="1"/>
    </row>
    <row r="34" spans="1:27" ht="5.25" customHeight="1" x14ac:dyDescent="0.2">
      <c r="A34" s="3"/>
      <c r="B34" s="4"/>
      <c r="C34" s="4"/>
      <c r="D34" s="4"/>
      <c r="E34" s="4"/>
      <c r="F34" s="4"/>
      <c r="G34" s="4"/>
      <c r="H34" s="4"/>
      <c r="I34" s="4"/>
      <c r="J34" s="18"/>
      <c r="K34" s="18"/>
      <c r="L34" s="18"/>
      <c r="M34" s="18"/>
      <c r="N34" s="18"/>
      <c r="O34" s="18"/>
      <c r="P34" s="18"/>
      <c r="Q34" s="3"/>
      <c r="R34" s="1"/>
    </row>
    <row r="35" spans="1:27" ht="17" customHeight="1" x14ac:dyDescent="0.2">
      <c r="A35" s="3"/>
      <c r="B35" s="3"/>
      <c r="C35" s="3"/>
      <c r="D35" s="3"/>
      <c r="E35" s="3"/>
      <c r="F35" s="3"/>
      <c r="G35" s="3"/>
      <c r="H35" s="31">
        <f>AB20</f>
        <v>21338.383838383845</v>
      </c>
      <c r="I35" s="31"/>
      <c r="J35" s="3"/>
      <c r="K35" s="3"/>
      <c r="L35" s="3"/>
      <c r="M35" s="3"/>
      <c r="N35" s="32"/>
      <c r="O35" s="3"/>
      <c r="P35" s="3"/>
      <c r="Q35" s="3"/>
      <c r="R35" s="1"/>
    </row>
    <row r="40" spans="1:27" ht="17" customHeight="1" x14ac:dyDescent="0.2">
      <c r="AA40" s="2">
        <f>L21/L22</f>
        <v>0.25252525252525254</v>
      </c>
    </row>
  </sheetData>
  <sheetProtection algorithmName="SHA-512" hashValue="XYq2T1yeQ4TF19CjimHU35RPP+O1AWEuoQymkrTFjIAH5YMPseB8l8PQZcPNZQCuSlOyE3Sz/U6TqXNHOLcpLQ==" saltValue="ZhyKrjuagFN/brA//aqUxw==" spinCount="100000" sheet="1" selectLockedCells="1"/>
  <mergeCells count="11">
    <mergeCell ref="K9:L9"/>
    <mergeCell ref="A2:Q2"/>
    <mergeCell ref="O18:P18"/>
    <mergeCell ref="K28:L30"/>
    <mergeCell ref="K13:L13"/>
    <mergeCell ref="K6:O8"/>
    <mergeCell ref="K16:O16"/>
    <mergeCell ref="K11:L11"/>
    <mergeCell ref="K12:L12"/>
    <mergeCell ref="M10:O12"/>
    <mergeCell ref="K10:L10"/>
  </mergeCells>
  <dataValidations count="2">
    <dataValidation type="list" allowBlank="1" showInputMessage="1" showErrorMessage="1" sqref="L31" xr:uid="{00000000-0002-0000-0300-000000000000}">
      <formula1>$R$22:$R$23</formula1>
    </dataValidation>
    <dataValidation type="list" allowBlank="1" showInputMessage="1" showErrorMessage="1" sqref="L27" xr:uid="{00000000-0002-0000-0300-000001000000}">
      <formula1>$V$16:$V$17</formula1>
    </dataValidation>
  </dataValidations>
  <hyperlinks>
    <hyperlink ref="K9" location="'Brugte Personbiler'!A1" display="Tryk her" xr:uid="{00000000-0004-0000-0300-000000000000}"/>
    <hyperlink ref="K10" location="'Nye personbiler'!A1" display="'Nye personbiler'!A1" xr:uid="{00000000-0004-0000-0300-000001000000}"/>
    <hyperlink ref="M10" location="Forside!A1" display="Forside!A1" xr:uid="{00000000-0004-0000-0300-000002000000}"/>
    <hyperlink ref="K11" location="'Brugte Varebiler'!A1" display="'Brugte Varebiler'!A1" xr:uid="{00000000-0004-0000-0300-000003000000}"/>
    <hyperlink ref="K12" location="'Nye Varebil'!A1" display="'Nye Varebil'!A1" xr:uid="{00000000-0004-0000-0300-000004000000}"/>
    <hyperlink ref="K13" location="'Værktøj til CO2'!A1" display="'Værktøj til CO2'!A1" xr:uid="{00000000-0004-0000-0300-00000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35"/>
  <sheetViews>
    <sheetView topLeftCell="A2" zoomScale="85" zoomScaleNormal="85" workbookViewId="0">
      <selection activeCell="M10" sqref="M10:O12"/>
    </sheetView>
  </sheetViews>
  <sheetFormatPr baseColWidth="10" defaultColWidth="9.1640625" defaultRowHeight="17" customHeight="1" x14ac:dyDescent="0.2"/>
  <cols>
    <col min="1" max="1" width="2.33203125" style="2" customWidth="1"/>
    <col min="2" max="2" width="3.1640625" style="2" customWidth="1"/>
    <col min="3" max="3" width="11.83203125" style="2" bestFit="1" customWidth="1"/>
    <col min="4" max="4" width="9.1640625" style="2" customWidth="1"/>
    <col min="5" max="5" width="5.33203125" style="2" customWidth="1"/>
    <col min="6" max="6" width="7.1640625" style="2" customWidth="1"/>
    <col min="7" max="7" width="18.83203125" style="2" customWidth="1"/>
    <col min="8" max="8" width="15.6640625" style="2" hidden="1" customWidth="1"/>
    <col min="9" max="9" width="2.5" style="2" customWidth="1"/>
    <col min="10" max="10" width="2.6640625" style="2" customWidth="1"/>
    <col min="11" max="11" width="25.1640625" style="2" customWidth="1"/>
    <col min="12" max="12" width="18.1640625" style="2" customWidth="1"/>
    <col min="13" max="13" width="18.5" style="2" customWidth="1"/>
    <col min="14" max="14" width="23.83203125" style="2" customWidth="1"/>
    <col min="15" max="15" width="14.5" style="2" customWidth="1"/>
    <col min="16" max="16" width="2.6640625" style="2" customWidth="1"/>
    <col min="17" max="17" width="3.5" style="2" customWidth="1"/>
    <col min="18" max="18" width="13" style="2" hidden="1" customWidth="1"/>
    <col min="19" max="19" width="9.1640625" style="2" customWidth="1"/>
    <col min="20" max="20" width="12.1640625" style="2" hidden="1" customWidth="1"/>
    <col min="21" max="23" width="13" style="2" hidden="1" customWidth="1"/>
    <col min="24" max="24" width="10.83203125" style="2" hidden="1" customWidth="1"/>
    <col min="25" max="27" width="13" style="2" hidden="1" customWidth="1"/>
    <col min="28" max="28" width="11.33203125" style="2" hidden="1" customWidth="1"/>
    <col min="29" max="29" width="13" style="2" hidden="1" customWidth="1"/>
    <col min="30" max="30" width="9.1640625" style="2" customWidth="1"/>
    <col min="31" max="16384" width="9.1640625" style="2"/>
  </cols>
  <sheetData>
    <row r="1" spans="1:22" ht="18" hidden="1" customHeight="1" x14ac:dyDescent="0.2">
      <c r="C1" s="1"/>
      <c r="D1" s="1"/>
      <c r="E1" s="1"/>
      <c r="F1" s="1"/>
      <c r="G1" s="1"/>
      <c r="H1" s="1"/>
      <c r="I1" s="1"/>
      <c r="J1" s="1"/>
      <c r="K1" s="1"/>
      <c r="L1" s="1"/>
      <c r="M1" s="1"/>
      <c r="N1" s="1"/>
      <c r="O1" s="1"/>
      <c r="P1" s="1"/>
      <c r="Q1" s="1"/>
      <c r="R1" s="1"/>
    </row>
    <row r="2" spans="1:22" ht="28.5" customHeight="1" x14ac:dyDescent="0.2">
      <c r="A2" s="142" t="s">
        <v>58</v>
      </c>
      <c r="B2" s="133"/>
      <c r="C2" s="133"/>
      <c r="D2" s="133"/>
      <c r="E2" s="133"/>
      <c r="F2" s="133"/>
      <c r="G2" s="133"/>
      <c r="H2" s="133"/>
      <c r="I2" s="133"/>
      <c r="J2" s="133"/>
      <c r="K2" s="133"/>
      <c r="L2" s="133"/>
      <c r="M2" s="133"/>
      <c r="N2" s="133"/>
      <c r="O2" s="133"/>
      <c r="P2" s="133"/>
      <c r="Q2" s="133"/>
      <c r="R2" s="1"/>
    </row>
    <row r="3" spans="1:22" ht="18" customHeight="1" x14ac:dyDescent="0.2">
      <c r="A3" s="3"/>
      <c r="B3" s="4"/>
      <c r="C3" s="4"/>
      <c r="D3" s="5"/>
      <c r="E3" s="5"/>
      <c r="F3" s="5"/>
      <c r="G3" s="5"/>
      <c r="H3" s="4"/>
      <c r="I3" s="4"/>
      <c r="J3" s="1"/>
      <c r="K3" s="1"/>
      <c r="L3" s="1"/>
      <c r="M3" s="1"/>
      <c r="N3" s="1"/>
      <c r="O3" s="1"/>
      <c r="P3" s="1"/>
      <c r="Q3" s="3"/>
      <c r="R3" s="1"/>
    </row>
    <row r="4" spans="1:22" ht="18" customHeight="1" x14ac:dyDescent="0.2">
      <c r="A4" s="3"/>
      <c r="B4" s="4"/>
      <c r="C4" s="4"/>
      <c r="D4" s="4"/>
      <c r="E4" s="4"/>
      <c r="F4" s="4"/>
      <c r="G4" s="4"/>
      <c r="H4" s="5"/>
      <c r="I4" s="5"/>
      <c r="J4" s="1"/>
      <c r="K4" s="6" t="s">
        <v>10</v>
      </c>
      <c r="L4" s="7"/>
      <c r="M4" s="8"/>
      <c r="N4" s="8"/>
      <c r="O4" s="8"/>
      <c r="P4" s="1"/>
      <c r="Q4" s="3"/>
      <c r="R4" s="1"/>
    </row>
    <row r="5" spans="1:22" ht="18" customHeight="1" x14ac:dyDescent="0.2">
      <c r="A5" s="3"/>
      <c r="B5" s="4"/>
      <c r="C5" s="4"/>
      <c r="D5" s="4"/>
      <c r="E5" s="4"/>
      <c r="F5" s="4"/>
      <c r="G5" s="4"/>
      <c r="H5" s="9"/>
      <c r="I5" s="9"/>
      <c r="J5" s="1"/>
      <c r="K5" s="6"/>
      <c r="L5" s="7"/>
      <c r="M5" s="8"/>
      <c r="N5" s="8"/>
      <c r="O5" s="8"/>
      <c r="P5" s="1"/>
      <c r="Q5" s="3"/>
      <c r="R5" s="1"/>
    </row>
    <row r="6" spans="1:22" ht="18" customHeight="1" x14ac:dyDescent="0.2">
      <c r="A6" s="3"/>
      <c r="B6" s="4"/>
      <c r="C6" s="10" t="s">
        <v>11</v>
      </c>
      <c r="D6" s="11"/>
      <c r="E6" s="11"/>
      <c r="F6" s="4"/>
      <c r="G6" s="4"/>
      <c r="H6" s="4"/>
      <c r="I6" s="4"/>
      <c r="J6" s="1"/>
      <c r="K6" s="134" t="s">
        <v>12</v>
      </c>
      <c r="L6" s="133"/>
      <c r="M6" s="133"/>
      <c r="N6" s="133"/>
      <c r="O6" s="133"/>
      <c r="P6" s="1"/>
      <c r="Q6" s="3"/>
      <c r="R6" s="1"/>
    </row>
    <row r="7" spans="1:22" ht="18" customHeight="1" x14ac:dyDescent="0.2">
      <c r="A7" s="3"/>
      <c r="B7" s="4"/>
      <c r="C7" s="4" t="s">
        <v>13</v>
      </c>
      <c r="D7" s="4"/>
      <c r="E7" s="4"/>
      <c r="F7" s="4"/>
      <c r="G7" s="12">
        <f>IF(L22&lt;50,IF(L25&lt;46,L25*O33,O33*45)*-1,0)</f>
        <v>0</v>
      </c>
      <c r="H7" s="5"/>
      <c r="I7" s="5"/>
      <c r="J7" s="1"/>
      <c r="K7" s="133"/>
      <c r="L7" s="133"/>
      <c r="M7" s="133"/>
      <c r="N7" s="133"/>
      <c r="O7" s="133"/>
      <c r="P7" s="1"/>
      <c r="Q7" s="3"/>
      <c r="R7" s="1"/>
    </row>
    <row r="8" spans="1:22" ht="18" customHeight="1" x14ac:dyDescent="0.2">
      <c r="A8" s="3"/>
      <c r="B8" s="4"/>
      <c r="C8" s="4"/>
      <c r="D8" s="4"/>
      <c r="E8" s="4"/>
      <c r="F8" s="4"/>
      <c r="G8" s="12"/>
      <c r="H8" s="5"/>
      <c r="I8" s="5"/>
      <c r="J8" s="1"/>
      <c r="K8" s="133"/>
      <c r="L8" s="133"/>
      <c r="M8" s="133"/>
      <c r="N8" s="133"/>
      <c r="O8" s="133"/>
      <c r="P8" s="1"/>
      <c r="Q8" s="3"/>
      <c r="R8" s="1"/>
    </row>
    <row r="9" spans="1:22" ht="18" customHeight="1" x14ac:dyDescent="0.2">
      <c r="A9" s="3"/>
      <c r="B9" s="4"/>
      <c r="C9" s="11" t="s">
        <v>14</v>
      </c>
      <c r="D9" s="4"/>
      <c r="E9" s="4"/>
      <c r="F9" s="4"/>
      <c r="G9" s="13">
        <f>G7</f>
        <v>0</v>
      </c>
      <c r="H9" s="5"/>
      <c r="I9" s="5"/>
      <c r="J9" s="1"/>
      <c r="K9" s="138" t="s">
        <v>2</v>
      </c>
      <c r="L9" s="130"/>
      <c r="M9" s="114"/>
      <c r="N9" s="114"/>
      <c r="O9" s="114"/>
      <c r="P9" s="1"/>
      <c r="Q9" s="3"/>
      <c r="R9" s="1"/>
    </row>
    <row r="10" spans="1:22" ht="18" customHeight="1" x14ac:dyDescent="0.2">
      <c r="A10" s="3"/>
      <c r="B10" s="4"/>
      <c r="C10" s="4"/>
      <c r="D10" s="4"/>
      <c r="E10" s="4"/>
      <c r="F10" s="4"/>
      <c r="G10" s="12"/>
      <c r="H10" s="14" t="e">
        <f>IF(H29&lt;=L19*R21,H29*L18,L19*R21*L18)</f>
        <v>#REF!</v>
      </c>
      <c r="I10" s="14"/>
      <c r="J10" s="1"/>
      <c r="K10" s="137" t="s">
        <v>3</v>
      </c>
      <c r="L10" s="130"/>
      <c r="M10" s="141" t="s">
        <v>15</v>
      </c>
      <c r="N10" s="130"/>
      <c r="O10" s="130"/>
      <c r="P10" s="1"/>
      <c r="Q10" s="3"/>
      <c r="R10" s="1"/>
    </row>
    <row r="11" spans="1:22" ht="18" customHeight="1" x14ac:dyDescent="0.2">
      <c r="A11" s="3"/>
      <c r="B11" s="4"/>
      <c r="C11" s="58" t="s">
        <v>55</v>
      </c>
      <c r="D11" s="4"/>
      <c r="E11" s="4"/>
      <c r="F11" s="4"/>
      <c r="G11" s="56">
        <f>L21+G9</f>
        <v>250000</v>
      </c>
      <c r="H11" s="15" t="e">
        <f>IF(H29&gt;L19*R21,(H29-L19*R21)*M18,0)</f>
        <v>#REF!</v>
      </c>
      <c r="I11" s="15"/>
      <c r="J11" s="1"/>
      <c r="K11" s="137" t="s">
        <v>4</v>
      </c>
      <c r="L11" s="130"/>
      <c r="M11" s="130"/>
      <c r="N11" s="130"/>
      <c r="O11" s="130"/>
      <c r="P11" s="1"/>
      <c r="Q11" s="3"/>
      <c r="R11" s="1"/>
    </row>
    <row r="12" spans="1:22" ht="18" customHeight="1" x14ac:dyDescent="0.2">
      <c r="A12" s="3"/>
      <c r="B12" s="4"/>
      <c r="C12" s="4"/>
      <c r="D12" s="4"/>
      <c r="E12" s="4"/>
      <c r="F12" s="4"/>
      <c r="G12" s="4"/>
      <c r="H12" s="4"/>
      <c r="I12" s="4"/>
      <c r="J12" s="1"/>
      <c r="K12" s="137" t="s">
        <v>5</v>
      </c>
      <c r="L12" s="130"/>
      <c r="M12" s="130"/>
      <c r="N12" s="130"/>
      <c r="O12" s="130"/>
      <c r="P12" s="1"/>
      <c r="Q12" s="3"/>
      <c r="R12" s="1"/>
    </row>
    <row r="13" spans="1:22" ht="18" customHeight="1" x14ac:dyDescent="0.2">
      <c r="A13" s="3"/>
      <c r="B13" s="4"/>
      <c r="C13" s="10" t="s">
        <v>16</v>
      </c>
      <c r="D13" s="11"/>
      <c r="E13" s="11"/>
      <c r="F13" s="11"/>
      <c r="G13" s="12"/>
      <c r="H13" s="15" t="e">
        <f>SUM(H10:H12)</f>
        <v>#REF!</v>
      </c>
      <c r="I13" s="15"/>
      <c r="J13" s="1"/>
      <c r="K13" s="137" t="s">
        <v>6</v>
      </c>
      <c r="L13" s="130"/>
      <c r="M13" s="115"/>
      <c r="N13" s="115"/>
      <c r="O13" s="115"/>
      <c r="P13" s="1"/>
      <c r="Q13" s="3"/>
      <c r="R13" s="1"/>
    </row>
    <row r="14" spans="1:22" ht="18" customHeight="1" x14ac:dyDescent="0.2">
      <c r="A14" s="3"/>
      <c r="B14" s="4"/>
      <c r="C14" s="4" t="s">
        <v>17</v>
      </c>
      <c r="D14" s="4"/>
      <c r="E14" s="4"/>
      <c r="F14" s="4"/>
      <c r="G14" s="12">
        <f>IF(G11&lt;=L19,G11*L18,L19*L18)</f>
        <v>0</v>
      </c>
      <c r="H14" s="15"/>
      <c r="I14" s="15"/>
      <c r="J14" s="1"/>
      <c r="K14" s="1"/>
      <c r="L14" s="1"/>
      <c r="M14" s="1"/>
      <c r="N14" s="1"/>
      <c r="O14" s="1"/>
      <c r="P14" s="1"/>
      <c r="Q14" s="3"/>
      <c r="R14" s="1"/>
    </row>
    <row r="15" spans="1:22" ht="18" customHeight="1" x14ac:dyDescent="0.2">
      <c r="A15" s="3"/>
      <c r="B15" s="4"/>
      <c r="C15" s="4" t="s">
        <v>18</v>
      </c>
      <c r="D15" s="4"/>
      <c r="E15" s="4"/>
      <c r="F15" s="4"/>
      <c r="G15" s="12">
        <f>IF(G11&gt;L19,(G11-L19)*M18,0)</f>
        <v>87500</v>
      </c>
      <c r="H15" s="15"/>
      <c r="I15" s="15"/>
      <c r="J15" s="1"/>
      <c r="L15" s="1"/>
      <c r="M15" s="1"/>
      <c r="N15" s="1"/>
      <c r="O15" s="1"/>
      <c r="P15" s="1"/>
      <c r="Q15" s="3"/>
      <c r="R15" s="1"/>
    </row>
    <row r="16" spans="1:22" ht="19.5" customHeight="1" x14ac:dyDescent="0.2">
      <c r="A16" s="3"/>
      <c r="B16" s="4"/>
      <c r="C16" s="11" t="s">
        <v>20</v>
      </c>
      <c r="D16" s="4"/>
      <c r="E16" s="4"/>
      <c r="F16" s="4"/>
      <c r="G16" s="13">
        <f>SUM(G14:G15)</f>
        <v>87500</v>
      </c>
      <c r="H16" s="15"/>
      <c r="I16" s="15"/>
      <c r="J16" s="1"/>
      <c r="K16" s="140" t="s">
        <v>21</v>
      </c>
      <c r="L16" s="133"/>
      <c r="M16" s="133"/>
      <c r="N16" s="133"/>
      <c r="O16" s="133"/>
      <c r="P16" s="1"/>
      <c r="Q16" s="3"/>
      <c r="R16" s="1"/>
      <c r="V16" s="2" t="s">
        <v>59</v>
      </c>
    </row>
    <row r="17" spans="1:28" ht="18" customHeight="1" x14ac:dyDescent="0.2">
      <c r="A17" s="3"/>
      <c r="B17" s="4"/>
      <c r="C17" s="4"/>
      <c r="D17" s="4"/>
      <c r="E17" s="4"/>
      <c r="F17" s="4"/>
      <c r="G17" s="4"/>
      <c r="H17" s="15"/>
      <c r="I17" s="15"/>
      <c r="J17" s="1"/>
      <c r="L17" s="1"/>
      <c r="M17" s="1"/>
      <c r="N17" s="1"/>
      <c r="P17" s="1"/>
      <c r="Q17" s="3"/>
      <c r="R17" s="1"/>
      <c r="V17" s="2" t="s">
        <v>60</v>
      </c>
    </row>
    <row r="18" spans="1:28" ht="22.5" customHeight="1" x14ac:dyDescent="0.2">
      <c r="A18" s="3"/>
      <c r="B18" s="4"/>
      <c r="C18" s="10" t="s">
        <v>22</v>
      </c>
      <c r="D18" s="11"/>
      <c r="E18" s="11"/>
      <c r="F18" s="4"/>
      <c r="G18" s="12"/>
      <c r="H18" s="15"/>
      <c r="I18" s="15"/>
      <c r="J18" s="18"/>
      <c r="K18" s="19" t="s">
        <v>24</v>
      </c>
      <c r="L18" s="20">
        <v>0</v>
      </c>
      <c r="M18" s="20">
        <v>0.5</v>
      </c>
      <c r="N18" s="21"/>
      <c r="O18" s="143" t="s">
        <v>25</v>
      </c>
      <c r="P18" s="133"/>
      <c r="Q18" s="3"/>
      <c r="R18" s="1"/>
    </row>
    <row r="19" spans="1:28" ht="18" customHeight="1" x14ac:dyDescent="0.2">
      <c r="A19" s="3"/>
      <c r="B19" s="4"/>
      <c r="C19" s="4" t="s">
        <v>23</v>
      </c>
      <c r="D19" s="4"/>
      <c r="E19" s="4"/>
      <c r="F19" s="4"/>
      <c r="G19" s="12">
        <f>L22*O23</f>
        <v>12500</v>
      </c>
      <c r="H19" s="15"/>
      <c r="I19" s="15"/>
      <c r="J19" s="18"/>
      <c r="K19" s="19" t="s">
        <v>27</v>
      </c>
      <c r="L19" s="116">
        <v>75000</v>
      </c>
      <c r="M19" s="23" t="s">
        <v>61</v>
      </c>
      <c r="N19" s="23" t="s">
        <v>62</v>
      </c>
      <c r="O19" s="18"/>
      <c r="P19" s="18"/>
      <c r="Q19" s="3"/>
      <c r="R19" s="1"/>
    </row>
    <row r="20" spans="1:28" ht="18" customHeight="1" x14ac:dyDescent="0.2">
      <c r="A20" s="3"/>
      <c r="B20" s="4"/>
      <c r="C20" s="11" t="s">
        <v>26</v>
      </c>
      <c r="D20" s="4"/>
      <c r="E20" s="4"/>
      <c r="F20" s="4"/>
      <c r="G20" s="17">
        <f>G19</f>
        <v>12500</v>
      </c>
      <c r="H20" s="4"/>
      <c r="I20" s="4"/>
      <c r="J20" s="18"/>
      <c r="K20" s="22"/>
      <c r="L20" s="22"/>
      <c r="M20" s="22"/>
      <c r="N20" s="22"/>
      <c r="O20" s="18"/>
      <c r="P20" s="18"/>
      <c r="Q20" s="3"/>
      <c r="R20" s="1"/>
    </row>
    <row r="21" spans="1:28" ht="18" customHeight="1" x14ac:dyDescent="0.2">
      <c r="A21" s="3"/>
      <c r="B21" s="4"/>
      <c r="C21" s="4"/>
      <c r="D21" s="11"/>
      <c r="E21" s="4"/>
      <c r="F21" s="4"/>
      <c r="G21" s="12"/>
      <c r="H21" s="4"/>
      <c r="I21" s="4"/>
      <c r="J21" s="18"/>
      <c r="K21" s="19" t="s">
        <v>65</v>
      </c>
      <c r="L21" s="81">
        <v>250000</v>
      </c>
      <c r="M21" s="22"/>
      <c r="N21" s="22"/>
      <c r="O21" s="18"/>
      <c r="P21" s="18"/>
      <c r="Q21" s="3"/>
      <c r="R21" s="22" t="e">
        <f>#REF!/#REF!</f>
        <v>#REF!</v>
      </c>
    </row>
    <row r="22" spans="1:28" ht="18" customHeight="1" x14ac:dyDescent="0.2">
      <c r="A22" s="3"/>
      <c r="B22" s="4"/>
      <c r="C22" s="10" t="s">
        <v>29</v>
      </c>
      <c r="D22" s="4"/>
      <c r="E22" s="4"/>
      <c r="F22" s="4"/>
      <c r="G22" s="4"/>
      <c r="H22" s="4"/>
      <c r="I22" s="4"/>
      <c r="J22" s="18"/>
      <c r="K22" s="19" t="s">
        <v>36</v>
      </c>
      <c r="L22" s="51">
        <v>50</v>
      </c>
      <c r="M22" s="22"/>
      <c r="N22" s="19" t="s">
        <v>38</v>
      </c>
      <c r="O22" s="24"/>
      <c r="P22" s="18"/>
      <c r="Q22" s="3"/>
      <c r="R22" s="22" t="s">
        <v>31</v>
      </c>
      <c r="T22" s="83"/>
    </row>
    <row r="23" spans="1:28" ht="18" customHeight="1" x14ac:dyDescent="0.2">
      <c r="A23" s="3"/>
      <c r="B23" s="4"/>
      <c r="C23" s="4" t="s">
        <v>35</v>
      </c>
      <c r="D23" s="4"/>
      <c r="E23" s="4"/>
      <c r="F23" s="4"/>
      <c r="G23" s="12">
        <f>G16+G20</f>
        <v>100000</v>
      </c>
      <c r="H23" s="4" t="e">
        <f>IF(L22&lt;126,O23*L22,IF(L22&lt;161,31250+(L22-125)*O24,48750+(L22-160)*O25))/(#REF!/#REF!)</f>
        <v>#REF!</v>
      </c>
      <c r="I23" s="4"/>
      <c r="J23" s="18"/>
      <c r="K23" s="19" t="s">
        <v>39</v>
      </c>
      <c r="L23" s="51">
        <v>0</v>
      </c>
      <c r="M23" s="24" t="s">
        <v>37</v>
      </c>
      <c r="N23" s="25" t="s">
        <v>40</v>
      </c>
      <c r="O23" s="24">
        <v>250</v>
      </c>
      <c r="P23" s="18"/>
      <c r="Q23" s="3"/>
      <c r="R23" s="22" t="s">
        <v>34</v>
      </c>
    </row>
    <row r="24" spans="1:28" ht="18.75" customHeight="1" thickBot="1" x14ac:dyDescent="0.25">
      <c r="A24" s="3"/>
      <c r="B24" s="4"/>
      <c r="C24" s="4"/>
      <c r="D24" s="4"/>
      <c r="E24" s="4"/>
      <c r="F24" s="4"/>
      <c r="G24" s="4"/>
      <c r="H24" s="4"/>
      <c r="I24" s="4"/>
      <c r="J24" s="18"/>
      <c r="K24" s="19" t="s">
        <v>42</v>
      </c>
      <c r="L24" s="51">
        <v>0</v>
      </c>
      <c r="M24" s="22"/>
      <c r="N24" s="25" t="s">
        <v>43</v>
      </c>
      <c r="O24" s="24">
        <v>250</v>
      </c>
      <c r="P24" s="18"/>
      <c r="Q24" s="3"/>
      <c r="R24" s="1"/>
      <c r="X24" s="28">
        <f>IF((G26+G29+G30)&lt;47000,IF(G29+G26+G30&lt;0,0,G26+G30+G29),IF(L26="Alle andre",G26+G29+G30,47000))</f>
        <v>47000</v>
      </c>
    </row>
    <row r="25" spans="1:28" ht="18" customHeight="1" x14ac:dyDescent="0.2">
      <c r="A25" s="3"/>
      <c r="B25" s="4"/>
      <c r="C25" s="4" t="s">
        <v>41</v>
      </c>
      <c r="D25" s="4"/>
      <c r="E25" s="4"/>
      <c r="F25" s="4"/>
      <c r="G25" s="12">
        <f>O28*-1</f>
        <v>-30000</v>
      </c>
      <c r="H25" s="4"/>
      <c r="I25" s="4"/>
      <c r="J25" s="18"/>
      <c r="K25" s="19" t="s">
        <v>45</v>
      </c>
      <c r="L25" s="75">
        <f>L23/1000*L24</f>
        <v>0</v>
      </c>
      <c r="M25" s="22"/>
      <c r="N25" s="26" t="s">
        <v>46</v>
      </c>
      <c r="O25" s="24">
        <v>250</v>
      </c>
      <c r="P25" s="18"/>
      <c r="Q25" s="3"/>
      <c r="R25" s="1"/>
    </row>
    <row r="26" spans="1:28" ht="18.75" customHeight="1" thickBot="1" x14ac:dyDescent="0.25">
      <c r="A26" s="3"/>
      <c r="B26" s="4"/>
      <c r="C26" s="4" t="s">
        <v>44</v>
      </c>
      <c r="D26" s="4"/>
      <c r="E26" s="4"/>
      <c r="F26" s="4"/>
      <c r="G26" s="12">
        <f>G23+G25</f>
        <v>70000</v>
      </c>
      <c r="H26" s="4" t="e">
        <f>#REF!*R21</f>
        <v>#REF!</v>
      </c>
      <c r="I26" s="4"/>
      <c r="J26" s="18"/>
      <c r="K26" s="53" t="s">
        <v>64</v>
      </c>
      <c r="L26" s="82" t="s">
        <v>59</v>
      </c>
      <c r="M26" s="22"/>
      <c r="N26" s="18"/>
      <c r="O26" s="18"/>
      <c r="P26" s="18"/>
      <c r="Q26" s="3"/>
      <c r="R26" s="1"/>
      <c r="AB26" s="85">
        <f>IF(L26="Alle andre",X24,X31)</f>
        <v>29500</v>
      </c>
    </row>
    <row r="27" spans="1:28" ht="18" customHeight="1" x14ac:dyDescent="0.2">
      <c r="A27" s="3"/>
      <c r="B27" s="4"/>
      <c r="C27" s="4" t="s">
        <v>66</v>
      </c>
      <c r="D27" s="4"/>
      <c r="E27" s="4"/>
      <c r="F27" s="4"/>
      <c r="G27" s="12">
        <v>47000</v>
      </c>
      <c r="H27" s="4"/>
      <c r="I27" s="4"/>
      <c r="J27" s="18"/>
      <c r="K27" s="144"/>
      <c r="L27" s="133"/>
      <c r="M27" s="22"/>
      <c r="N27" s="24"/>
      <c r="O27" s="24"/>
      <c r="P27" s="18"/>
      <c r="Q27" s="3"/>
      <c r="R27" s="1"/>
    </row>
    <row r="28" spans="1:28" ht="18" customHeight="1" x14ac:dyDescent="0.2">
      <c r="A28" s="3"/>
      <c r="B28" s="4"/>
      <c r="C28" s="4"/>
      <c r="D28" s="4"/>
      <c r="E28" s="4"/>
      <c r="F28" s="4"/>
      <c r="G28" s="4"/>
      <c r="H28" s="4"/>
      <c r="I28" s="4"/>
      <c r="J28" s="18"/>
      <c r="K28" s="133"/>
      <c r="L28" s="133"/>
      <c r="M28" s="22"/>
      <c r="N28" s="19" t="s">
        <v>41</v>
      </c>
      <c r="O28" s="27">
        <v>30000</v>
      </c>
      <c r="P28" s="18"/>
      <c r="Q28" s="3"/>
      <c r="R28" s="1"/>
      <c r="T28" s="83">
        <f>G25+G20+G27</f>
        <v>29500</v>
      </c>
      <c r="X28" s="2">
        <f>IF(X24&lt;T28,X24,T28)</f>
        <v>29500</v>
      </c>
    </row>
    <row r="29" spans="1:28" ht="18" customHeight="1" x14ac:dyDescent="0.2">
      <c r="A29" s="3"/>
      <c r="B29" s="4"/>
      <c r="C29" s="4" t="s">
        <v>47</v>
      </c>
      <c r="D29" s="4"/>
      <c r="E29" s="4"/>
      <c r="F29" s="4"/>
      <c r="G29" s="12">
        <f>G26*O32*-1</f>
        <v>0</v>
      </c>
      <c r="H29" s="15">
        <f>G23+G29+G30+L21</f>
        <v>350000</v>
      </c>
      <c r="I29" s="15"/>
      <c r="J29" s="18"/>
      <c r="K29" s="133"/>
      <c r="L29" s="133"/>
      <c r="M29" s="22"/>
      <c r="N29" s="19" t="s">
        <v>49</v>
      </c>
      <c r="O29" s="27">
        <v>50000</v>
      </c>
      <c r="P29" s="18"/>
      <c r="Q29" s="3"/>
      <c r="R29" s="1"/>
      <c r="X29" s="2">
        <f>IF(G26&gt;G27,X28+(G26-G27),X28)</f>
        <v>52500</v>
      </c>
    </row>
    <row r="30" spans="1:28" ht="18" customHeight="1" x14ac:dyDescent="0.2">
      <c r="A30" s="3"/>
      <c r="B30" s="4"/>
      <c r="C30" s="4" t="s">
        <v>48</v>
      </c>
      <c r="D30" s="4"/>
      <c r="E30" s="4"/>
      <c r="F30" s="4"/>
      <c r="G30" s="12">
        <f>IF(L22&lt;1,O30,IF(L22&lt;50,O29,0))*-1</f>
        <v>0</v>
      </c>
      <c r="H30" s="15" t="e">
        <f>H13+H26</f>
        <v>#REF!</v>
      </c>
      <c r="I30" s="15"/>
      <c r="J30" s="18"/>
      <c r="K30" s="22"/>
      <c r="L30" s="43"/>
      <c r="M30" s="18"/>
      <c r="N30" s="19" t="s">
        <v>50</v>
      </c>
      <c r="O30" s="27">
        <v>80000</v>
      </c>
      <c r="P30" s="18"/>
      <c r="Q30" s="3"/>
      <c r="R30" s="1"/>
      <c r="X30" s="2">
        <f>IF(X29&gt;T28,T28,X29)</f>
        <v>29500</v>
      </c>
    </row>
    <row r="31" spans="1:28" ht="18" customHeight="1" x14ac:dyDescent="0.2">
      <c r="A31" s="3"/>
      <c r="B31" s="4"/>
      <c r="C31" s="11"/>
      <c r="D31" s="4"/>
      <c r="E31" s="4"/>
      <c r="F31" s="4"/>
      <c r="G31" s="13"/>
      <c r="H31" s="4"/>
      <c r="I31" s="4"/>
      <c r="J31" s="18"/>
      <c r="K31" s="59"/>
      <c r="L31" s="24"/>
      <c r="M31" s="22"/>
      <c r="N31" s="24"/>
      <c r="O31" s="24"/>
      <c r="P31" s="18"/>
      <c r="Q31" s="3"/>
      <c r="R31" s="1"/>
      <c r="X31" s="2">
        <f>IF(AND(L22&lt;50,L26="over 3.000 kg og som enten er åben eller uden sideruder bag føresædet"),0,X30)</f>
        <v>29500</v>
      </c>
    </row>
    <row r="32" spans="1:28" ht="18.75" customHeight="1" thickBot="1" x14ac:dyDescent="0.25">
      <c r="A32" s="3"/>
      <c r="B32" s="4"/>
      <c r="C32" s="11" t="s">
        <v>52</v>
      </c>
      <c r="D32" s="4"/>
      <c r="E32" s="4"/>
      <c r="F32" s="4"/>
      <c r="G32" s="127">
        <f>IF(AND(AB26&gt;47000,L26="over 3.000 kg og som enten er åben eller uden sideruder bag føresædet"),47000,AB26)</f>
        <v>29500</v>
      </c>
      <c r="H32" s="15" t="e">
        <f>H30*O32*-1</f>
        <v>#REF!</v>
      </c>
      <c r="I32" s="15"/>
      <c r="J32" s="29"/>
      <c r="K32" s="59"/>
      <c r="L32" s="60"/>
      <c r="M32" s="22"/>
      <c r="N32" s="19" t="s">
        <v>53</v>
      </c>
      <c r="O32" s="30">
        <f>IF(L22&lt;1,60%,IF(L22&lt;50,55%,0))</f>
        <v>0</v>
      </c>
      <c r="P32" s="18"/>
      <c r="Q32" s="3"/>
      <c r="R32" s="1"/>
    </row>
    <row r="33" spans="1:18" ht="18.75" customHeight="1" thickTop="1" x14ac:dyDescent="0.2">
      <c r="A33" s="3"/>
      <c r="B33" s="4"/>
      <c r="C33" s="4"/>
      <c r="D33" s="4"/>
      <c r="E33" s="4"/>
      <c r="F33" s="4"/>
      <c r="G33" s="4"/>
      <c r="H33" s="15" t="e">
        <f>(H30+H32)*-1</f>
        <v>#REF!</v>
      </c>
      <c r="I33" s="15"/>
      <c r="J33" s="29"/>
      <c r="K33" s="18"/>
      <c r="L33" s="18"/>
      <c r="M33" s="22"/>
      <c r="N33" s="19" t="s">
        <v>54</v>
      </c>
      <c r="O33" s="27">
        <v>1700</v>
      </c>
      <c r="P33" s="18"/>
      <c r="Q33" s="3"/>
      <c r="R33" s="1"/>
    </row>
    <row r="34" spans="1:18" ht="18" customHeight="1" x14ac:dyDescent="0.2">
      <c r="A34" s="3"/>
      <c r="B34" s="4"/>
      <c r="C34" s="4"/>
      <c r="D34" s="4"/>
      <c r="E34" s="4"/>
      <c r="F34" s="4"/>
      <c r="G34" s="4"/>
      <c r="H34" s="4"/>
      <c r="I34" s="4"/>
      <c r="J34" s="18"/>
      <c r="K34" s="18"/>
      <c r="L34" s="18"/>
      <c r="M34" s="18"/>
      <c r="N34" s="18"/>
      <c r="O34" s="18"/>
      <c r="P34" s="18"/>
      <c r="Q34" s="3"/>
      <c r="R34" s="1"/>
    </row>
    <row r="35" spans="1:18" ht="18" customHeight="1" x14ac:dyDescent="0.2">
      <c r="A35" s="3"/>
      <c r="B35" s="3"/>
      <c r="C35" s="3"/>
      <c r="D35" s="3"/>
      <c r="E35" s="3"/>
      <c r="F35" s="3"/>
      <c r="G35" s="3"/>
      <c r="H35" s="31">
        <f>X24</f>
        <v>47000</v>
      </c>
      <c r="I35" s="31"/>
      <c r="J35" s="3"/>
      <c r="K35" s="3"/>
      <c r="L35" s="3"/>
      <c r="M35" s="3"/>
      <c r="N35" s="32"/>
      <c r="O35" s="3"/>
      <c r="P35" s="3"/>
      <c r="Q35" s="3"/>
      <c r="R35" s="1"/>
    </row>
  </sheetData>
  <sheetProtection algorithmName="SHA-512" hashValue="f8D6p/TR2aK4NIA25Hte13S+LpbktotohuhbmRvOfmxLzOas8cVJ6W4IMQd+8/C4s2OyxQvEPNFcm4qv5uwuXg==" saltValue="8ZA/6muzKaHZd0tr6X47cw==" spinCount="100000" sheet="1" objects="1" scenarios="1" selectLockedCells="1"/>
  <mergeCells count="11">
    <mergeCell ref="K9:L9"/>
    <mergeCell ref="A2:Q2"/>
    <mergeCell ref="O18:P18"/>
    <mergeCell ref="K27:L29"/>
    <mergeCell ref="K13:L13"/>
    <mergeCell ref="K6:O8"/>
    <mergeCell ref="K16:O16"/>
    <mergeCell ref="K11:L11"/>
    <mergeCell ref="K12:L12"/>
    <mergeCell ref="M10:O12"/>
    <mergeCell ref="K10:L10"/>
  </mergeCells>
  <dataValidations count="2">
    <dataValidation type="list" allowBlank="1" showInputMessage="1" showErrorMessage="1" sqref="L30" xr:uid="{00000000-0002-0000-0400-000000000000}">
      <formula1>$R$22:$R$23</formula1>
    </dataValidation>
    <dataValidation type="list" allowBlank="1" showInputMessage="1" showErrorMessage="1" sqref="L26" xr:uid="{00000000-0002-0000-0400-000001000000}">
      <formula1>$V$16:$V$17</formula1>
    </dataValidation>
  </dataValidations>
  <hyperlinks>
    <hyperlink ref="K9" location="'Brugte Personbiler'!A1" display="Tryk her" xr:uid="{00000000-0004-0000-0400-000000000000}"/>
    <hyperlink ref="K10" location="'Nye personbiler'!A1" display="'Nye personbiler'!A1" xr:uid="{00000000-0004-0000-0400-000001000000}"/>
    <hyperlink ref="M10" location="Forside!A1" display="Forside!A1" xr:uid="{00000000-0004-0000-0400-000002000000}"/>
    <hyperlink ref="K11" location="'Brugte Varebiler'!A1" display="'Brugte Varebiler'!A1" xr:uid="{00000000-0004-0000-0400-000003000000}"/>
    <hyperlink ref="K12" location="'Nye Varebil'!A1" display="'Nye Varebil'!A1" xr:uid="{00000000-0004-0000-0400-000004000000}"/>
    <hyperlink ref="K13" location="'Værktøj til CO2'!A1" display="'Værktøj til CO2'!A1" xr:uid="{00000000-0004-0000-0400-000005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6"/>
  <sheetViews>
    <sheetView workbookViewId="0">
      <selection activeCell="C10" sqref="C10"/>
    </sheetView>
  </sheetViews>
  <sheetFormatPr baseColWidth="10" defaultColWidth="8.83203125" defaultRowHeight="15" x14ac:dyDescent="0.2"/>
  <cols>
    <col min="1" max="1" width="12.6640625" style="68" customWidth="1"/>
    <col min="2" max="2" width="22.33203125" style="68" customWidth="1"/>
    <col min="3" max="3" width="15.6640625" style="68" customWidth="1"/>
    <col min="4" max="4" width="17.33203125" style="68" customWidth="1"/>
    <col min="5" max="5" width="7.5" style="68" customWidth="1"/>
    <col min="6" max="6" width="25.5" style="68" customWidth="1"/>
    <col min="7" max="7" width="22.1640625" style="68" customWidth="1"/>
    <col min="8" max="8" width="16" style="68" customWidth="1"/>
    <col min="9" max="9" width="21.5" style="68" hidden="1" customWidth="1"/>
    <col min="10" max="10" width="20.5" style="68" hidden="1" customWidth="1"/>
    <col min="11" max="11" width="11.5" style="68" customWidth="1"/>
    <col min="12" max="14" width="8.83203125" style="68" hidden="1" customWidth="1"/>
    <col min="15" max="15" width="8.83203125" style="68" customWidth="1"/>
    <col min="16" max="16" width="13" style="68" hidden="1" customWidth="1"/>
    <col min="17" max="17" width="8.83203125" style="68" customWidth="1"/>
    <col min="18" max="16384" width="8.83203125" style="68"/>
  </cols>
  <sheetData>
    <row r="1" spans="1:10" x14ac:dyDescent="0.2">
      <c r="B1" s="145" t="s">
        <v>67</v>
      </c>
      <c r="C1" s="133"/>
      <c r="D1" s="133"/>
      <c r="E1" s="133"/>
      <c r="F1" s="133"/>
      <c r="G1" s="133"/>
    </row>
    <row r="2" spans="1:10" ht="17" customHeight="1" thickBot="1" x14ac:dyDescent="0.25">
      <c r="B2" s="133"/>
      <c r="C2" s="133"/>
      <c r="D2" s="133"/>
      <c r="E2" s="133"/>
      <c r="F2" s="133"/>
      <c r="G2" s="133"/>
    </row>
    <row r="3" spans="1:10" x14ac:dyDescent="0.2">
      <c r="B3" s="98"/>
      <c r="C3" s="99" t="s">
        <v>31</v>
      </c>
      <c r="D3" s="100" t="s">
        <v>34</v>
      </c>
      <c r="F3" s="152" t="s">
        <v>68</v>
      </c>
      <c r="G3" s="147"/>
      <c r="I3" s="91" t="s">
        <v>69</v>
      </c>
      <c r="J3" s="91" t="s">
        <v>31</v>
      </c>
    </row>
    <row r="4" spans="1:10" x14ac:dyDescent="0.2">
      <c r="B4" s="101" t="s">
        <v>70</v>
      </c>
      <c r="C4" s="87">
        <v>29</v>
      </c>
      <c r="D4" s="102">
        <v>32</v>
      </c>
      <c r="F4" s="153"/>
      <c r="G4" s="151"/>
      <c r="I4" s="91" t="s">
        <v>71</v>
      </c>
      <c r="J4" s="91" t="s">
        <v>34</v>
      </c>
    </row>
    <row r="5" spans="1:10" ht="18" customHeight="1" x14ac:dyDescent="0.2">
      <c r="A5" s="65"/>
      <c r="B5" s="101"/>
      <c r="C5" s="69"/>
      <c r="D5" s="103"/>
      <c r="F5" s="153"/>
      <c r="G5" s="151"/>
      <c r="I5" s="91" t="s">
        <v>72</v>
      </c>
    </row>
    <row r="6" spans="1:10" ht="14.5" customHeight="1" x14ac:dyDescent="0.2">
      <c r="A6" s="66"/>
      <c r="B6" s="104" t="s">
        <v>73</v>
      </c>
      <c r="C6" s="69"/>
      <c r="D6" s="103"/>
      <c r="F6" s="153"/>
      <c r="G6" s="151"/>
    </row>
    <row r="7" spans="1:10" ht="14.5" customHeight="1" x14ac:dyDescent="0.2">
      <c r="A7" s="66"/>
      <c r="B7" s="104" t="s">
        <v>74</v>
      </c>
      <c r="C7" s="69"/>
      <c r="D7" s="103"/>
      <c r="F7" s="153"/>
      <c r="G7" s="151"/>
      <c r="I7" s="94" t="s">
        <v>75</v>
      </c>
    </row>
    <row r="8" spans="1:10" ht="14.5" customHeight="1" x14ac:dyDescent="0.2">
      <c r="A8" s="66"/>
      <c r="B8" s="101"/>
      <c r="C8" s="69"/>
      <c r="D8" s="103"/>
      <c r="F8" s="153"/>
      <c r="G8" s="151"/>
      <c r="I8" s="91" t="s">
        <v>76</v>
      </c>
      <c r="J8" s="90">
        <v>3</v>
      </c>
    </row>
    <row r="9" spans="1:10" ht="18" customHeight="1" x14ac:dyDescent="0.2">
      <c r="A9" s="2"/>
      <c r="B9" s="104" t="s">
        <v>77</v>
      </c>
      <c r="C9" s="88">
        <v>7.4</v>
      </c>
      <c r="D9" s="103"/>
      <c r="F9" s="104" t="s">
        <v>78</v>
      </c>
      <c r="G9" s="117">
        <v>42644</v>
      </c>
      <c r="I9" s="91" t="s">
        <v>79</v>
      </c>
      <c r="J9" s="95">
        <v>5.0000000000000001E-3</v>
      </c>
    </row>
    <row r="10" spans="1:10" x14ac:dyDescent="0.2">
      <c r="B10" s="104" t="s">
        <v>80</v>
      </c>
      <c r="C10" s="88" t="s">
        <v>69</v>
      </c>
      <c r="D10" s="103"/>
      <c r="F10" s="104" t="s">
        <v>81</v>
      </c>
      <c r="G10" s="118">
        <v>2400</v>
      </c>
      <c r="I10" s="91" t="s">
        <v>82</v>
      </c>
      <c r="J10" s="90">
        <v>0.875</v>
      </c>
    </row>
    <row r="11" spans="1:10" x14ac:dyDescent="0.2">
      <c r="B11" s="104" t="s">
        <v>83</v>
      </c>
      <c r="C11" s="88" t="s">
        <v>31</v>
      </c>
      <c r="D11" s="103"/>
      <c r="F11" s="104" t="s">
        <v>84</v>
      </c>
      <c r="G11" s="118" t="s">
        <v>85</v>
      </c>
      <c r="J11" s="80"/>
    </row>
    <row r="12" spans="1:10" x14ac:dyDescent="0.2">
      <c r="B12" s="101"/>
      <c r="C12" s="69"/>
      <c r="D12" s="103"/>
      <c r="F12" s="104" t="s">
        <v>86</v>
      </c>
      <c r="G12" s="118" t="s">
        <v>31</v>
      </c>
      <c r="I12" s="94" t="s">
        <v>87</v>
      </c>
      <c r="J12" s="80"/>
    </row>
    <row r="13" spans="1:10" x14ac:dyDescent="0.2">
      <c r="B13" s="104" t="s">
        <v>88</v>
      </c>
      <c r="C13" s="124">
        <f>IF(AND(C11="Diesel",C10="WLTP"),C9*D4*D37,IF(AND(C11="Benzin",C10="WLTP"),C9*C4*D37,IF(AND(C11="Diesel",C10="NEDC"),C9*D4,C9*C4)))</f>
        <v>177.35509700000003</v>
      </c>
      <c r="D13" s="103" t="s">
        <v>89</v>
      </c>
      <c r="F13" s="101"/>
      <c r="G13" s="107"/>
      <c r="I13" s="91" t="s">
        <v>90</v>
      </c>
      <c r="J13" s="90">
        <v>2585</v>
      </c>
    </row>
    <row r="14" spans="1:10" x14ac:dyDescent="0.2">
      <c r="B14" s="101"/>
      <c r="C14" s="121"/>
      <c r="D14" s="103"/>
      <c r="F14" s="104" t="str">
        <f>IF(G17=J17,"Opfylder som minimum Euro 6",IF(G17=J18,"Opfylder som minimum Euro 5, men ikke 6",IF(G17=J19,"Opfylder IKKE minimum Euro 5","Euro-norm har ikke betydning på biler under 2585 kg")))</f>
        <v>Euro-norm har ikke betydning på biler under 2585 kg</v>
      </c>
      <c r="G14" s="107"/>
      <c r="I14" s="91" t="s">
        <v>91</v>
      </c>
      <c r="J14" s="95">
        <v>2E-3</v>
      </c>
    </row>
    <row r="15" spans="1:10" x14ac:dyDescent="0.2">
      <c r="B15" s="101"/>
      <c r="C15" s="105"/>
      <c r="D15" s="103"/>
      <c r="F15" s="101"/>
      <c r="G15" s="107"/>
      <c r="J15" s="80"/>
    </row>
    <row r="16" spans="1:10" ht="15.75" customHeight="1" thickBot="1" x14ac:dyDescent="0.25">
      <c r="B16" s="106"/>
      <c r="C16" s="122"/>
      <c r="D16" s="92"/>
      <c r="F16" s="101" t="s">
        <v>92</v>
      </c>
      <c r="G16" s="108">
        <f>IF(G10&lt;=J13,J8,0)</f>
        <v>3</v>
      </c>
      <c r="I16" s="96" t="s">
        <v>93</v>
      </c>
      <c r="J16" s="80"/>
    </row>
    <row r="17" spans="2:16" x14ac:dyDescent="0.2">
      <c r="D17" s="89"/>
      <c r="F17" s="101" t="s">
        <v>94</v>
      </c>
      <c r="G17" s="108">
        <f>IF(G10&gt;J13,P32,0)</f>
        <v>0</v>
      </c>
      <c r="I17" s="91" t="s">
        <v>95</v>
      </c>
      <c r="J17" s="90">
        <v>6.41</v>
      </c>
    </row>
    <row r="18" spans="2:16" ht="15.75" customHeight="1" thickBot="1" x14ac:dyDescent="0.25">
      <c r="F18" s="104"/>
      <c r="G18" s="109"/>
      <c r="I18" s="91" t="s">
        <v>96</v>
      </c>
      <c r="J18" s="90">
        <v>7.41</v>
      </c>
    </row>
    <row r="19" spans="2:16" x14ac:dyDescent="0.2">
      <c r="B19" s="98"/>
      <c r="C19" s="99" t="s">
        <v>31</v>
      </c>
      <c r="D19" s="100" t="s">
        <v>34</v>
      </c>
      <c r="F19" s="101" t="s">
        <v>97</v>
      </c>
      <c r="G19" s="110">
        <f>IF(G10&lt;=J13,G10*J9,0)</f>
        <v>12</v>
      </c>
      <c r="I19" s="91" t="s">
        <v>98</v>
      </c>
      <c r="J19" s="90">
        <v>9.01</v>
      </c>
    </row>
    <row r="20" spans="2:16" x14ac:dyDescent="0.2">
      <c r="B20" s="101" t="s">
        <v>70</v>
      </c>
      <c r="C20" s="87">
        <v>29</v>
      </c>
      <c r="D20" s="102">
        <v>32</v>
      </c>
      <c r="F20" s="101" t="s">
        <v>99</v>
      </c>
      <c r="G20" s="108">
        <f>IF(G10&gt;J13,SUM(G10-J13)*J14,0)</f>
        <v>0</v>
      </c>
      <c r="I20" s="91" t="s">
        <v>100</v>
      </c>
      <c r="J20" s="97">
        <v>40544</v>
      </c>
    </row>
    <row r="21" spans="2:16" x14ac:dyDescent="0.2">
      <c r="B21" s="101"/>
      <c r="C21" s="69"/>
      <c r="D21" s="107"/>
      <c r="F21" s="101"/>
      <c r="G21" s="111"/>
      <c r="I21" s="91" t="s">
        <v>101</v>
      </c>
      <c r="J21" s="97">
        <v>42248</v>
      </c>
    </row>
    <row r="22" spans="2:16" x14ac:dyDescent="0.2">
      <c r="B22" s="104" t="s">
        <v>102</v>
      </c>
      <c r="C22" s="69"/>
      <c r="D22" s="107"/>
      <c r="F22" s="101" t="s">
        <v>103</v>
      </c>
      <c r="G22" s="110">
        <f>SUM(G16:G20)</f>
        <v>15</v>
      </c>
      <c r="J22" s="80"/>
    </row>
    <row r="23" spans="2:16" x14ac:dyDescent="0.2">
      <c r="B23" s="104" t="s">
        <v>74</v>
      </c>
      <c r="C23" s="69"/>
      <c r="D23" s="107"/>
      <c r="F23" s="101" t="s">
        <v>104</v>
      </c>
      <c r="G23" s="110">
        <f>IF(AND(G10&gt;2585,G12="Benzin"),G22*1.1-G22,IF(AND(G12="Diesel",G10&lt;2585),G22*0.875-G22,0))</f>
        <v>0</v>
      </c>
      <c r="I23" s="91" t="s">
        <v>105</v>
      </c>
      <c r="J23" s="80"/>
    </row>
    <row r="24" spans="2:16" x14ac:dyDescent="0.2">
      <c r="B24" s="101"/>
      <c r="C24" s="69"/>
      <c r="D24" s="107"/>
      <c r="F24" s="101"/>
      <c r="G24" s="107"/>
      <c r="I24" s="91" t="s">
        <v>100</v>
      </c>
      <c r="J24" s="97">
        <v>40909</v>
      </c>
      <c r="L24" s="68" t="s">
        <v>106</v>
      </c>
    </row>
    <row r="25" spans="2:16" x14ac:dyDescent="0.2">
      <c r="B25" s="104" t="s">
        <v>107</v>
      </c>
      <c r="C25" s="88">
        <v>22.2</v>
      </c>
      <c r="D25" s="107"/>
      <c r="F25" s="101" t="s">
        <v>103</v>
      </c>
      <c r="G25" s="110">
        <f>SUM(G22:G23)</f>
        <v>15</v>
      </c>
      <c r="I25" s="91" t="s">
        <v>101</v>
      </c>
      <c r="J25" s="97">
        <v>42614</v>
      </c>
      <c r="L25" s="68" t="s">
        <v>85</v>
      </c>
    </row>
    <row r="26" spans="2:16" x14ac:dyDescent="0.2">
      <c r="B26" s="104" t="s">
        <v>80</v>
      </c>
      <c r="C26" s="88" t="s">
        <v>71</v>
      </c>
      <c r="D26" s="107"/>
      <c r="F26" s="101"/>
      <c r="G26" s="107"/>
    </row>
    <row r="27" spans="2:16" ht="15.75" customHeight="1" thickBot="1" x14ac:dyDescent="0.25">
      <c r="B27" s="104" t="s">
        <v>83</v>
      </c>
      <c r="C27" s="88" t="s">
        <v>34</v>
      </c>
      <c r="D27" s="107"/>
      <c r="F27" s="104" t="s">
        <v>108</v>
      </c>
      <c r="G27" s="112">
        <f>IF(G12="Diesel",G25*32,G25*29)</f>
        <v>435</v>
      </c>
    </row>
    <row r="28" spans="2:16" ht="16.5" customHeight="1" thickTop="1" thickBot="1" x14ac:dyDescent="0.25">
      <c r="B28" s="101"/>
      <c r="C28" s="69"/>
      <c r="D28" s="107"/>
      <c r="F28" s="106"/>
      <c r="G28" s="93"/>
    </row>
    <row r="29" spans="2:16" ht="15.75" customHeight="1" thickBot="1" x14ac:dyDescent="0.25">
      <c r="B29" s="104" t="s">
        <v>77</v>
      </c>
      <c r="C29" s="113">
        <f>IF(C26="NEDC",100/C25,IF(C26="NEDC-2",100/C25*1.1,100/C25))</f>
        <v>4.5045045045045047</v>
      </c>
      <c r="D29" s="107"/>
      <c r="L29" s="68" t="s">
        <v>109</v>
      </c>
    </row>
    <row r="30" spans="2:16" ht="18" customHeight="1" x14ac:dyDescent="0.2">
      <c r="B30" s="104" t="s">
        <v>88</v>
      </c>
      <c r="C30" s="124">
        <f>IF(AND(C27="Benzin",C26="WLTP"),C29*C20*D37,IF(AND(C27="Diesel",C26="WLTP"),C29*D20*D37,IF(C27="Benzin",C29*C20,C29*D20)))</f>
        <v>144.14414414414415</v>
      </c>
      <c r="D30" s="103" t="s">
        <v>89</v>
      </c>
      <c r="F30" s="146" t="s">
        <v>2</v>
      </c>
      <c r="G30" s="147"/>
      <c r="L30" s="68" t="s">
        <v>110</v>
      </c>
    </row>
    <row r="31" spans="2:16" ht="18" customHeight="1" x14ac:dyDescent="0.2">
      <c r="B31" s="101"/>
      <c r="C31" s="69"/>
      <c r="D31" s="107"/>
      <c r="F31" s="150" t="s">
        <v>3</v>
      </c>
      <c r="G31" s="151"/>
      <c r="L31" s="68" t="s">
        <v>111</v>
      </c>
    </row>
    <row r="32" spans="2:16" ht="18" customHeight="1" x14ac:dyDescent="0.2">
      <c r="B32" s="101"/>
      <c r="C32" s="123"/>
      <c r="D32" s="107"/>
      <c r="F32" s="150" t="s">
        <v>4</v>
      </c>
      <c r="G32" s="151"/>
      <c r="P32" s="68">
        <f t="array" ref="P32">IF(AND(G11="Personbil",G9&lt;J20),J19:J20,IF(AND(G11="Personbil",G9&lt;J21),J18,IF(AND(G11="Personbil",G9&gt;J21),J17,IF(AND(G11="Van",G9&lt;J24),J19:J20,IF(AND(G11="Van",G9&lt;J25),J18,IF(AND(G11="Van",G9&gt;J25),J17))))))</f>
        <v>6.41</v>
      </c>
    </row>
    <row r="33" spans="2:12" ht="18.75" customHeight="1" thickBot="1" x14ac:dyDescent="0.25">
      <c r="B33" s="106"/>
      <c r="C33" s="122"/>
      <c r="D33" s="93"/>
      <c r="F33" s="150" t="s">
        <v>5</v>
      </c>
      <c r="G33" s="151"/>
    </row>
    <row r="34" spans="2:12" ht="18.75" customHeight="1" thickBot="1" x14ac:dyDescent="0.25">
      <c r="F34" s="148" t="s">
        <v>6</v>
      </c>
      <c r="G34" s="149"/>
      <c r="L34" s="68" t="s">
        <v>112</v>
      </c>
    </row>
    <row r="35" spans="2:12" x14ac:dyDescent="0.2">
      <c r="L35" s="68" t="s">
        <v>113</v>
      </c>
    </row>
    <row r="37" spans="2:12" hidden="1" x14ac:dyDescent="0.2">
      <c r="D37" s="68">
        <v>0.82644499999999999</v>
      </c>
    </row>
    <row r="38" spans="2:12" x14ac:dyDescent="0.2">
      <c r="L38" s="68" t="s">
        <v>114</v>
      </c>
    </row>
    <row r="39" spans="2:12" x14ac:dyDescent="0.2">
      <c r="L39" s="68" t="s">
        <v>114</v>
      </c>
    </row>
    <row r="40" spans="2:12" x14ac:dyDescent="0.2">
      <c r="L40" s="68" t="s">
        <v>114</v>
      </c>
    </row>
    <row r="41" spans="2:12" x14ac:dyDescent="0.2">
      <c r="L41" s="68" t="s">
        <v>115</v>
      </c>
    </row>
    <row r="42" spans="2:12" x14ac:dyDescent="0.2">
      <c r="L42" s="68" t="s">
        <v>115</v>
      </c>
    </row>
    <row r="45" spans="2:12" x14ac:dyDescent="0.2">
      <c r="L45" s="68" t="s">
        <v>115</v>
      </c>
    </row>
    <row r="46" spans="2:12" x14ac:dyDescent="0.2">
      <c r="L46" s="68" t="s">
        <v>115</v>
      </c>
    </row>
  </sheetData>
  <sheetProtection algorithmName="SHA-512" hashValue="eJ2BU4MZdWMnwgQoPhmkP9aPtNwZB0cpX1vEqeraRZknFtFKipyCSeHCZbwsEpkf7wWLHg5Myew+x1cEo/dskg==" saltValue="rxvufZpFBe+6intRFiJIhQ==" spinCount="100000" sheet="1" selectLockedCells="1"/>
  <mergeCells count="7">
    <mergeCell ref="B1:G2"/>
    <mergeCell ref="F30:G30"/>
    <mergeCell ref="F34:G34"/>
    <mergeCell ref="F33:G33"/>
    <mergeCell ref="F31:G31"/>
    <mergeCell ref="F32:G32"/>
    <mergeCell ref="F3:G8"/>
  </mergeCells>
  <dataValidations count="4">
    <dataValidation type="list" allowBlank="1" showInputMessage="1" showErrorMessage="1" sqref="G11" xr:uid="{00000000-0002-0000-0500-000000000000}">
      <formula1>$L$24:$L$25</formula1>
    </dataValidation>
    <dataValidation type="list" allowBlank="1" showInputMessage="1" showErrorMessage="1" sqref="C11 C27 G12" xr:uid="{00000000-0002-0000-0500-000001000000}">
      <formula1>$J$3:$J$4</formula1>
    </dataValidation>
    <dataValidation type="list" allowBlank="1" showInputMessage="1" showErrorMessage="1" sqref="C10" xr:uid="{00000000-0002-0000-0500-000002000000}">
      <formula1>$I$3:$I$4</formula1>
    </dataValidation>
    <dataValidation type="list" allowBlank="1" showInputMessage="1" showErrorMessage="1" sqref="C26" xr:uid="{00000000-0002-0000-0500-000003000000}">
      <formula1>$I$3:$I$5</formula1>
    </dataValidation>
  </dataValidations>
  <hyperlinks>
    <hyperlink ref="F30" location="'Brugte Personbiler'!A1" display="Tryk her" xr:uid="{00000000-0004-0000-0500-000000000000}"/>
    <hyperlink ref="F31" location="'Nye personbiler'!A1" display="'Nye personbiler'!A1" xr:uid="{00000000-0004-0000-0500-000001000000}"/>
    <hyperlink ref="F32" location="'Brugte Varebiler'!A1" display="'Brugte Varebiler'!A1" xr:uid="{00000000-0004-0000-0500-000002000000}"/>
    <hyperlink ref="F33" location="'Nye Varebil'!A1" display="'Nye Varebil'!A1" xr:uid="{00000000-0004-0000-0500-000003000000}"/>
    <hyperlink ref="F34" location="'Værktøj til CO2'!A1" display="'Værktøj til CO2'!A1" xr:uid="{00000000-0004-0000-05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6</vt:i4>
      </vt:variant>
      <vt:variant>
        <vt:lpstr>Navngivne områder</vt:lpstr>
      </vt:variant>
      <vt:variant>
        <vt:i4>10</vt:i4>
      </vt:variant>
    </vt:vector>
  </HeadingPairs>
  <TitlesOfParts>
    <vt:vector size="16" baseType="lpstr">
      <vt:lpstr>Forside</vt:lpstr>
      <vt:lpstr>Brugte Personbiler</vt:lpstr>
      <vt:lpstr>Nye personbiler</vt:lpstr>
      <vt:lpstr>Brugte Varebiler</vt:lpstr>
      <vt:lpstr>Nye Varebil</vt:lpstr>
      <vt:lpstr>Værktøj til CO2</vt:lpstr>
      <vt:lpstr>batCapacity01</vt:lpstr>
      <vt:lpstr>co2km01</vt:lpstr>
      <vt:lpstr>elwidth01</vt:lpstr>
      <vt:lpstr>finalTax01</vt:lpstr>
      <vt:lpstr>ge</vt:lpstr>
      <vt:lpstr>gw</vt:lpstr>
      <vt:lpstr>handelspris01</vt:lpstr>
      <vt:lpstr>nypris01</vt:lpstr>
      <vt:lpstr>'Brugte Personbiler'!Udskriftsområde</vt:lpstr>
      <vt:lpstr>whkm01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Fjord</dc:creator>
  <cp:lastModifiedBy>Victor Rahbek | autobasen.dk</cp:lastModifiedBy>
  <cp:lastPrinted>2020-12-15T10:47:46Z</cp:lastPrinted>
  <dcterms:created xsi:type="dcterms:W3CDTF">2015-06-05T18:19:34Z</dcterms:created>
  <dcterms:modified xsi:type="dcterms:W3CDTF">2025-02-10T14:59:33Z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0x010100B86281C2C3CC194AA1AEF94A029FD73A</vt:lpwstr>
  </property>
</Properties>
</file>